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SD_ToLoad\"/>
    </mc:Choice>
  </mc:AlternateContent>
  <xr:revisionPtr revIDLastSave="0" documentId="8_{D1DAAF36-3F16-4F91-9997-D7602311CA7E}" xr6:coauthVersionLast="36" xr6:coauthVersionMax="36" xr10:uidLastSave="{00000000-0000-0000-0000-000000000000}"/>
  <bookViews>
    <workbookView xWindow="-28920" yWindow="-120" windowWidth="29040" windowHeight="15840" tabRatio="768" xr2:uid="{00000000-000D-0000-FFFF-FFFF00000000}"/>
  </bookViews>
  <sheets>
    <sheet name="COVER" sheetId="24" r:id="rId1"/>
    <sheet name="TOC" sheetId="168" r:id="rId2"/>
    <sheet name="Aud Quest 2" sheetId="28" r:id="rId3"/>
    <sheet name="Signature page" sheetId="187"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Wipfli SEFA" sheetId="184" r:id="rId30"/>
    <sheet name="SEFA NOTES" sheetId="173" r:id="rId31"/>
    <sheet name="SF&amp;QC Sec-1" sheetId="174" r:id="rId32"/>
    <sheet name="SF&amp;QC Sec-2" sheetId="175" r:id="rId33"/>
    <sheet name="SF&amp;QC Sec-2 (2)" sheetId="185" r:id="rId34"/>
    <sheet name="SF&amp;QC Sec-2 (3)" sheetId="186" r:id="rId35"/>
    <sheet name="SF&amp;QC Sec-3" sheetId="176" r:id="rId36"/>
    <sheet name="SSPAF" sheetId="177" r:id="rId37"/>
  </sheets>
  <definedNames>
    <definedName name="_xlnm._FilterDatabase" localSheetId="24" hidden="1">'AFR20'!$A$1:$F$7884</definedName>
    <definedName name="_xlnm.Print_Area" localSheetId="28">' SEFA'!$B$1:$M$46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5">'SF&amp;QC Sec-3'!$A$1:$K$48</definedName>
    <definedName name="_xlnm.Print_Area" localSheetId="26">'Single Audit Checklist'!$A$1:$D$124</definedName>
    <definedName name="_xlnm.Print_Area" localSheetId="25">'Single Audit Cover'!$A$1:$L$51</definedName>
    <definedName name="_xlnm.Print_Area" localSheetId="29">'Wipfli SEFA'!$A$1:$O$70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B4" i="186"/>
  <c r="C10" i="185"/>
  <c r="B4" i="185"/>
  <c r="D45" i="174"/>
  <c r="G38" i="174"/>
  <c r="D35" i="171"/>
  <c r="M53" i="184"/>
  <c r="M33" i="184"/>
  <c r="M31" i="184"/>
  <c r="F35" i="184"/>
  <c r="M24" i="184"/>
  <c r="K24" i="184"/>
  <c r="J24" i="184"/>
  <c r="I24" i="184"/>
  <c r="H24" i="184"/>
  <c r="G24" i="184"/>
  <c r="F24" i="184"/>
  <c r="K21" i="184"/>
  <c r="J21" i="184"/>
  <c r="H21" i="184"/>
  <c r="G21" i="184"/>
  <c r="F21" i="184"/>
  <c r="M64" i="184"/>
  <c r="M63" i="184"/>
  <c r="M62" i="184"/>
  <c r="M54" i="184"/>
  <c r="M55" i="184" s="1"/>
  <c r="M52" i="184"/>
  <c r="M47" i="184"/>
  <c r="M46" i="184"/>
  <c r="M42" i="184"/>
  <c r="M41" i="184"/>
  <c r="M40" i="184"/>
  <c r="M34" i="184"/>
  <c r="M30" i="184"/>
  <c r="M29" i="184"/>
  <c r="M20" i="184"/>
  <c r="M19" i="184"/>
  <c r="M18" i="184"/>
  <c r="M17" i="184"/>
  <c r="M16" i="184"/>
  <c r="M15" i="184"/>
  <c r="M14" i="184"/>
  <c r="M13" i="184"/>
  <c r="M12" i="184"/>
  <c r="M11" i="184"/>
  <c r="M10" i="184"/>
  <c r="M21" i="184" s="1"/>
  <c r="N65" i="184"/>
  <c r="J65" i="184"/>
  <c r="H65" i="184"/>
  <c r="G65" i="184"/>
  <c r="F65" i="184"/>
  <c r="L57" i="184"/>
  <c r="L67" i="184" s="1"/>
  <c r="I57" i="184"/>
  <c r="N55" i="184"/>
  <c r="L55" i="184"/>
  <c r="J55" i="184"/>
  <c r="H55" i="184"/>
  <c r="G55" i="184"/>
  <c r="F55" i="184"/>
  <c r="N48" i="184"/>
  <c r="J48" i="184"/>
  <c r="H48" i="184"/>
  <c r="G48" i="184"/>
  <c r="F48" i="184"/>
  <c r="N43" i="184"/>
  <c r="J43" i="184"/>
  <c r="H43" i="184"/>
  <c r="G43" i="184"/>
  <c r="F43" i="184"/>
  <c r="F57" i="184" s="1"/>
  <c r="N35" i="184"/>
  <c r="K35" i="184"/>
  <c r="K57" i="184" s="1"/>
  <c r="J35" i="184"/>
  <c r="I35" i="184"/>
  <c r="H35" i="184"/>
  <c r="G35" i="184"/>
  <c r="K39" i="3"/>
  <c r="J39" i="3"/>
  <c r="I39" i="3"/>
  <c r="H39" i="3"/>
  <c r="G39" i="3"/>
  <c r="F39" i="3"/>
  <c r="D39" i="3"/>
  <c r="C39" i="3"/>
  <c r="G301" i="29"/>
  <c r="D280" i="29"/>
  <c r="F75" i="29"/>
  <c r="E75" i="29"/>
  <c r="C75" i="29"/>
  <c r="J57" i="184" l="1"/>
  <c r="J67" i="184" s="1"/>
  <c r="N57" i="184"/>
  <c r="N67" i="184" s="1"/>
  <c r="H57" i="184"/>
  <c r="H67" i="184" s="1"/>
  <c r="G57" i="184"/>
  <c r="G67" i="184" s="1"/>
  <c r="I67" i="184"/>
  <c r="K67" i="184"/>
  <c r="M48" i="184"/>
  <c r="M65" i="184"/>
  <c r="M43" i="184"/>
  <c r="M35" i="184"/>
  <c r="F67" i="184"/>
  <c r="E39" i="3"/>
  <c r="N21" i="3" s="1"/>
  <c r="D8" i="11"/>
  <c r="I4" i="3"/>
  <c r="H4" i="3"/>
  <c r="G4" i="3"/>
  <c r="E4" i="3"/>
  <c r="M57" i="184" l="1"/>
  <c r="F35" i="183"/>
  <c r="F34" i="183"/>
  <c r="F33" i="183"/>
  <c r="F32" i="183"/>
  <c r="F31" i="183"/>
  <c r="F30" i="183"/>
  <c r="F29" i="183"/>
  <c r="F28" i="183"/>
  <c r="F27" i="183"/>
  <c r="F26" i="183"/>
  <c r="F25" i="183"/>
  <c r="F24" i="183"/>
  <c r="F23" i="183"/>
  <c r="F22" i="183"/>
  <c r="F21" i="183"/>
  <c r="F20"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M67" i="184" l="1"/>
  <c r="F80" i="34"/>
  <c r="C39" i="145" l="1"/>
  <c r="C33" i="145"/>
  <c r="K18" i="145" l="1"/>
  <c r="K17" i="145"/>
  <c r="K16" i="145"/>
  <c r="K15" i="145"/>
  <c r="K14" i="145"/>
  <c r="K13" i="145"/>
  <c r="K12" i="145"/>
  <c r="J19" i="145"/>
  <c r="B7885" i="106" l="1"/>
  <c r="D7885" i="106" s="1"/>
  <c r="B7884" i="106"/>
  <c r="B7883" i="106"/>
  <c r="B7882" i="106"/>
  <c r="D7882" i="106" s="1"/>
  <c r="D7884" i="106"/>
  <c r="D7883" i="106"/>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F56" i="34" s="1"/>
  <c r="B7832" i="106" s="1"/>
  <c r="D7832"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L22" i="37"/>
  <c r="H342" i="29" l="1"/>
  <c r="C342" i="29"/>
  <c r="B7216" i="106" s="1"/>
  <c r="D7216" i="106" s="1"/>
  <c r="D14" i="4"/>
  <c r="B2570" i="106" s="1"/>
  <c r="D2570" i="106" s="1"/>
  <c r="G39" i="108"/>
  <c r="G30" i="108"/>
  <c r="C352" i="29"/>
  <c r="F77" i="4"/>
  <c r="B3255" i="106" s="1"/>
  <c r="D3255" i="106" s="1"/>
  <c r="D22" i="37"/>
  <c r="B2805" i="106"/>
  <c r="D2805" i="106" s="1"/>
  <c r="B7076" i="106"/>
  <c r="D7076" i="106" s="1"/>
  <c r="J129" i="29"/>
  <c r="B7038" i="106" s="1"/>
  <c r="D7038" i="106" s="1"/>
  <c r="F50" i="34"/>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H151" i="29" l="1"/>
  <c r="B1273" i="106" s="1"/>
  <c r="D1273" i="106" s="1"/>
  <c r="C151" i="29"/>
  <c r="B1226" i="106" s="1"/>
  <c r="D1226" i="106" s="1"/>
  <c r="F41" i="108"/>
  <c r="G43" i="108" s="1"/>
  <c r="B6216" i="106"/>
  <c r="D6216" i="106" s="1"/>
  <c r="D44" i="36"/>
  <c r="N23" i="3"/>
  <c r="B284" i="106" s="1"/>
  <c r="D284" i="106" s="1"/>
  <c r="K28" i="118"/>
  <c r="O27" i="118" s="1"/>
  <c r="O29" i="118" s="1"/>
  <c r="B7235" i="106"/>
  <c r="D7235" i="106" s="1"/>
  <c r="L114" i="29"/>
  <c r="K365" i="29"/>
  <c r="B7243" i="106" s="1"/>
  <c r="D7243" i="106" s="1"/>
  <c r="E367" i="29"/>
  <c r="B3635" i="106"/>
  <c r="D3635" i="106" s="1"/>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B7224" i="106"/>
  <c r="D7224" i="106" s="1"/>
  <c r="K367" i="29"/>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20" i="4"/>
  <c r="F8" i="4"/>
  <c r="F10" i="4" s="1"/>
  <c r="B4125" i="106" s="1"/>
  <c r="D4125" i="106" s="1"/>
  <c r="K17" i="4"/>
  <c r="B3575" i="106" s="1"/>
  <c r="D3575"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<sst xmlns="http://schemas.openxmlformats.org/spreadsheetml/2006/main" count="5411" uniqueCount="2186">
  <si>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</si>
  <si>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</si>
  <si>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</si>
  <si>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</si>
  <si>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</si>
  <si>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</si>
  <si>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</si>
  <si>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</si>
  <si>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</si>
  <si>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</si>
  <si>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</si>
  <si>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</si>
  <si>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</si>
  <si>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</si>
  <si>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</si>
  <si>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</si>
  <si>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</si>
  <si>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</si>
  <si>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</si>
  <si>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</si>
  <si>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</si>
  <si>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</si>
  <si>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</si>
  <si>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</si>
  <si>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</si>
  <si>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</si>
  <si>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</si>
  <si>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</si>
  <si>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</si>
  <si>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</si>
  <si>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</si>
  <si>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</si>
  <si>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</si>
  <si>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</si>
  <si>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</si>
  <si>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</si>
  <si>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</si>
  <si>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</si>
  <si>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</si>
  <si>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</si>
  <si>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</si>
  <si>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</si>
  <si>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</si>
  <si>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</si>
  <si>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</si>
  <si>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</si>
  <si>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</si>
  <si>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</si>
  <si>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</si>
  <si>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</si>
  <si>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</si>
  <si>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</si>
  <si>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</si>
  <si>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</si>
  <si>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</si>
  <si>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</si>
  <si>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</si>
  <si>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</si>
  <si>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</si>
  <si>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</si>
  <si>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</si>
  <si>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</si>
  <si>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</si>
  <si>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</si>
  <si>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</si>
  <si>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</si>
  <si>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</si>
  <si>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</si>
  <si>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</si>
  <si>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</si>
  <si>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</si>
  <si>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</si>
  <si>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</si>
  <si>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</si>
  <si>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</si>
  <si>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</si>
  <si>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</si>
  <si>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</si>
  <si>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</si>
  <si>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</si>
  <si>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</si>
  <si>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</si>
  <si>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</si>
  <si>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</si>
  <si>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</si>
  <si>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</si>
  <si>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</si>
  <si>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</si>
  <si>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</si>
  <si>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</si>
  <si>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</si>
  <si>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</si>
  <si>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</si>
  <si>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</si>
  <si>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</si>
  <si>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</si>
  <si>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</si>
  <si>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</si>
  <si>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</si>
  <si>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</si>
  <si>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</si>
  <si>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</si>
  <si>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</si>
  <si>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</si>
  <si>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</si>
  <si>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</si>
  <si>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</si>
  <si>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</si>
  <si>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</si>
  <si>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</si>
  <si>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</si>
  <si>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</si>
  <si>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</si>
  <si>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</si>
  <si>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</si>
  <si>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</si>
  <si>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</si>
  <si>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</si>
  <si>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</si>
  <si>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</si>
  <si>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</si>
  <si>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</si>
  <si>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</si>
  <si>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</si>
  <si>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</si>
  <si>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</si>
  <si>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</si>
  <si>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</si>
  <si>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</si>
  <si>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</si>
  <si>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</si>
  <si>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</si>
  <si>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</si>
  <si>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</si>
  <si>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</si>
  <si>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</si>
  <si>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</si>
  <si>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</si>
  <si>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</si>
  <si>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</si>
  <si>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</si>
  <si>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</si>
  <si>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</si>
  <si>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</si>
  <si>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</si>
  <si>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</si>
  <si>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</si>
  <si>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</si>
  <si>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</si>
  <si>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</si>
  <si>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</si>
  <si>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</si>
  <si>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</si>
  <si>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</si>
  <si>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</si>
  <si>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</si>
  <si>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</si>
  <si>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</si>
  <si>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</si>
  <si>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</si>
  <si>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</si>
  <si>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</si>
  <si>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</si>
  <si>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</si>
  <si>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</si>
  <si>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</si>
  <si>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</si>
  <si>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</si>
  <si>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</si>
  <si>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</si>
  <si>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</si>
  <si>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</si>
  <si>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</si>
  <si>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</si>
  <si>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</si>
  <si>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</si>
  <si>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</si>
  <si>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</si>
  <si>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</si>
  <si>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</si>
  <si>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</si>
  <si>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</si>
  <si>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</si>
  <si>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</si>
  <si>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</si>
  <si>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</si>
  <si>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</si>
  <si>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</si>
  <si>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</si>
  <si>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</si>
  <si>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</si>
  <si>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</si>
  <si>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</si>
  <si>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</si>
  <si>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</si>
  <si>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</si>
  <si>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</si>
  <si>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</si>
  <si>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</si>
  <si>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</si>
  <si>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</si>
  <si>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</si>
  <si>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</si>
  <si>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</si>
  <si>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</si>
  <si>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</si>
  <si>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</si>
  <si>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</si>
  <si>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</si>
  <si>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</si>
  <si>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</si>
  <si>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</si>
  <si>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</si>
  <si>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</si>
  <si>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</si>
  <si>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</si>
  <si>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</si>
  <si>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</si>
  <si>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</si>
  <si>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</si>
  <si>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</si>
  <si>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</si>
  <si>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</si>
  <si>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</si>
  <si>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</si>
  <si>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</si>
  <si>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</si>
  <si>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</si>
  <si>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</si>
  <si>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</si>
  <si>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</si>
  <si>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</si>
  <si>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</si>
  <si>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</si>
  <si>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</si>
  <si>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</si>
  <si>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</si>
  <si>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</si>
  <si>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</si>
  <si>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</si>
  <si>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</si>
  <si>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</si>
  <si>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</si>
  <si>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</si>
  <si>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</si>
  <si>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</si>
  <si>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</si>
  <si>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</si>
  <si>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</si>
  <si>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</si>
  <si>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</si>
  <si>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</si>
  <si>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</si>
  <si>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</si>
  <si>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</si>
  <si>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</si>
  <si>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</si>
  <si>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</si>
  <si>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</si>
  <si>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</si>
  <si>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</si>
  <si>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</si>
  <si>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</si>
  <si>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</si>
  <si>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</si>
  <si>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</si>
  <si>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</si>
  <si>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</si>
  <si>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</si>
  <si>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</si>
  <si>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</si>
  <si>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</si>
  <si>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</si>
  <si>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</si>
  <si>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</si>
  <si>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</si>
  <si>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</si>
  <si>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</si>
  <si>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</si>
  <si>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</si>
  <si>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</si>
  <si>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</si>
  <si>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</si>
  <si>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</si>
  <si>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</si>
  <si>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</si>
  <si>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</si>
  <si>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</si>
  <si>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</si>
  <si>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</si>
  <si>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</si>
  <si>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</si>
  <si>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</si>
  <si>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</si>
  <si>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</si>
  <si>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</si>
  <si>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</si>
  <si>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</si>
  <si>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</si>
  <si>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</si>
  <si>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</si>
  <si>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</si>
  <si>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</si>
  <si>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</si>
  <si>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</si>
  <si>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</si>
  <si>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</si>
  <si>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</si>
  <si>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</si>
  <si>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</si>
  <si>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</si>
  <si>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</si>
  <si>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</si>
  <si>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</si>
  <si>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</si>
  <si>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</si>
  <si>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</si>
  <si>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</si>
  <si>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</si>
  <si>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</si>
  <si>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</si>
  <si>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</si>
  <si>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</si>
  <si>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</si>
  <si>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</si>
  <si>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</si>
  <si>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</si>
  <si>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</si>
  <si>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</si>
  <si>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</si>
  <si>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</si>
  <si>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</si>
  <si>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</si>
  <si>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</si>
  <si>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</si>
  <si>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</si>
  <si>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</si>
  <si>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</si>
  <si>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</si>
  <si>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</si>
  <si>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</si>
  <si>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</si>
  <si>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</si>
  <si>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</si>
  <si>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</si>
  <si>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</si>
  <si>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</si>
  <si>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</si>
  <si>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</si>
  <si>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</si>
  <si>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</si>
  <si>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</si>
  <si>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</si>
  <si>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</si>
  <si>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</si>
  <si>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</si>
  <si>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</si>
  <si>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</si>
  <si>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</si>
  <si>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</si>
  <si>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</si>
  <si>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</si>
  <si>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</si>
  <si>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</si>
  <si>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</si>
  <si>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</si>
  <si>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</si>
  <si>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</si>
  <si>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</si>
  <si>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</si>
  <si>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</si>
  <si>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</si>
  <si>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</si>
  <si>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</si>
  <si>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</si>
  <si>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</si>
  <si>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</si>
  <si>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</si>
  <si>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</si>
  <si>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</si>
  <si>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</si>
  <si>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</si>
  <si>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</si>
  <si>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</si>
  <si>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</si>
  <si>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</si>
  <si>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</si>
  <si>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</si>
  <si>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</si>
  <si>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</si>
  <si>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</si>
  <si>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</si>
  <si>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</si>
  <si>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</si>
  <si>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</si>
  <si>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</si>
  <si>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</si>
  <si>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</si>
  <si>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</si>
  <si>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</si>
  <si>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</si>
  <si>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</si>
  <si>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</si>
  <si>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</si>
  <si>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</si>
  <si>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</si>
  <si>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</si>
  <si>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</si>
  <si>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</si>
  <si>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</si>
  <si>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</si>
  <si>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</si>
  <si>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</si>
  <si>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</si>
  <si>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</si>
  <si>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</si>
  <si>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</si>
  <si>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</si>
  <si>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</si>
  <si>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</si>
  <si>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</si>
  <si>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</si>
  <si>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</si>
  <si>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</si>
  <si>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</si>
  <si>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</si>
  <si>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</si>
  <si>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</si>
  <si>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</si>
  <si>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</si>
  <si>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</si>
  <si>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</si>
  <si>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</si>
  <si>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</si>
  <si>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</si>
  <si>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</si>
  <si>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</si>
  <si>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</si>
  <si>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</si>
  <si>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</si>
  <si>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</si>
  <si>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</si>
  <si>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</si>
  <si>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</si>
  <si>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</si>
  <si>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</si>
  <si>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</si>
  <si>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</si>
  <si>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</si>
  <si>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</si>
  <si>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</si>
  <si>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</si>
  <si>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</si>
  <si>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</si>
  <si>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</si>
  <si>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</si>
  <si>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</si>
  <si>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</si>
  <si>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</si>
  <si>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</si>
  <si>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</si>
  <si>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</si>
  <si>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</si>
  <si>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</si>
  <si>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</si>
  <si>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</si>
  <si>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</si>
  <si>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</si>
  <si>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</si>
  <si>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</si>
  <si>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</si>
  <si>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</si>
  <si>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</si>
  <si>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</si>
  <si>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</si>
  <si>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</si>
  <si>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</si>
  <si>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</si>
  <si>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</si>
  <si>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</si>
  <si>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</si>
  <si>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</si>
  <si>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</si>
  <si>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</si>
  <si>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</si>
  <si>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</si>
  <si>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</si>
  <si>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</si>
  <si>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</si>
  <si>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</si>
  <si>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</si>
  <si>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</si>
  <si>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</si>
  <si>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</si>
  <si>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</si>
  <si>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</si>
  <si>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</si>
  <si>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</si>
  <si>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</si>
  <si>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</si>
  <si>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</si>
  <si>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</si>
  <si>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</si>
  <si>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</si>
  <si>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</si>
  <si>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</si>
  <si>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</si>
  <si>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</si>
  <si>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</si>
  <si>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</si>
  <si>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</si>
  <si>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</si>
  <si>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</si>
  <si>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</si>
  <si>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</si>
  <si>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</si>
  <si>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</si>
  <si>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</si>
  <si>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</si>
  <si>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</si>
  <si>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</si>
  <si>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</si>
  <si>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</si>
  <si>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</si>
  <si>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</si>
  <si>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</si>
  <si>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</si>
  <si>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</si>
  <si>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</si>
  <si>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</si>
  <si>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</si>
  <si>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</si>
  <si>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</si>
  <si>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</si>
  <si>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</si>
  <si>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</si>
  <si>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</si>
  <si>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</si>
  <si>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</si>
  <si>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</si>
  <si>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</si>
  <si>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</si>
  <si>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</si>
  <si>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</si>
  <si>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</si>
  <si>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</si>
  <si>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</si>
  <si>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</si>
  <si>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</si>
  <si>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</si>
  <si>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</si>
  <si>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</si>
  <si>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</si>
  <si>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</si>
  <si>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</si>
  <si>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</si>
  <si>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</si>
  <si>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</si>
  <si>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</si>
  <si>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</si>
  <si>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</si>
  <si>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</si>
  <si>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</si>
  <si>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</si>
  <si>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</si>
  <si>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</si>
  <si>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</si>
  <si>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</si>
  <si>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</si>
  <si>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</si>
  <si>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</si>
  <si>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</si>
  <si>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</si>
  <si>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</si>
  <si>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</si>
  <si>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</si>
  <si>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</si>
  <si>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</si>
  <si>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</si>
  <si>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</si>
  <si>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</si>
  <si>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</si>
  <si>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</si>
  <si>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</si>
  <si>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</si>
  <si>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</si>
  <si>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</si>
  <si>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</si>
  <si>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</si>
  <si>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</si>
  <si>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</si>
  <si>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</si>
  <si>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</si>
  <si>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</si>
  <si>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</si>
  <si>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</si>
  <si>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</si>
  <si>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</si>
  <si>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</si>
  <si>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</si>
  <si>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</si>
  <si>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</si>
  <si>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</si>
  <si>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</si>
  <si>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</si>
  <si>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</si>
  <si>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</si>
  <si>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</si>
  <si>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</si>
  <si>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</si>
  <si>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</si>
  <si>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</si>
  <si>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</si>
  <si>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</si>
  <si>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</si>
  <si>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</si>
  <si>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</si>
  <si>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</si>
  <si>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</si>
  <si>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</si>
  <si>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</si>
  <si>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</si>
  <si>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</si>
  <si>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</si>
  <si>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</si>
  <si>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</si>
  <si>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</si>
  <si>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</si>
  <si>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</si>
  <si>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</si>
  <si>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</si>
  <si>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</si>
  <si>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</si>
  <si>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</si>
  <si>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</si>
  <si>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</si>
  <si>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</si>
  <si>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</si>
  <si>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</si>
  <si>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</si>
  <si>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</si>
  <si>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</si>
  <si>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</si>
  <si>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</si>
  <si>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</si>
  <si>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</si>
  <si>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</si>
  <si>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</si>
  <si>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</si>
  <si>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</si>
  <si>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</si>
  <si>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</si>
  <si>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</si>
  <si>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</si>
  <si>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</si>
  <si>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</si>
  <si>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</si>
  <si>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</si>
  <si>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</si>
  <si>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</si>
  <si>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</si>
  <si>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</si>
  <si>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</si>
  <si>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</si>
  <si>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</si>
  <si>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</si>
  <si>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</si>
  <si>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</si>
  <si>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</si>
  <si>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</si>
  <si>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</si>
  <si>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</si>
  <si>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</si>
  <si>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</si>
  <si>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</si>
  <si>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</si>
  <si>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</si>
  <si>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</si>
  <si>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</si>
  <si>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</si>
  <si>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</si>
  <si>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</si>
  <si>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</si>
  <si>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</si>
  <si>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</si>
  <si>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</si>
  <si>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</si>
  <si>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</si>
  <si>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</si>
  <si>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</si>
  <si>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</si>
  <si>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</si>
  <si>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</si>
  <si>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</si>
  <si>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</si>
  <si>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</si>
  <si>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</si>
  <si>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</si>
  <si>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</si>
  <si>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</si>
  <si>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</si>
  <si>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</si>
  <si>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</si>
  <si>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</si>
  <si>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</si>
  <si>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</si>
  <si>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</si>
  <si>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</si>
  <si>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</si>
  <si>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</si>
  <si>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</si>
  <si>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</si>
  <si>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</si>
  <si>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</si>
  <si>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</si>
  <si>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</si>
  <si>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</si>
  <si>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</si>
  <si>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</si>
  <si>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</si>
  <si>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</si>
  <si>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</si>
  <si>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</si>
  <si>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</si>
  <si>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</si>
  <si>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</si>
  <si>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</si>
  <si>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</si>
  <si>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</si>
  <si>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</si>
  <si>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</si>
  <si>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</si>
  <si>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</si>
  <si>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</si>
  <si>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</si>
  <si>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</si>
  <si>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</si>
  <si>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</si>
  <si>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</si>
  <si>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</si>
  <si>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</si>
  <si>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</si>
  <si>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</si>
  <si>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</si>
  <si>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</si>
  <si>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</si>
  <si>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</si>
  <si>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</si>
  <si>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</si>
  <si>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</si>
  <si>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</si>
  <si>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</si>
  <si>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</si>
  <si>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</si>
  <si>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</si>
  <si>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</si>
  <si>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</si>
  <si>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</si>
  <si>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</si>
  <si>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</si>
  <si>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</si>
  <si>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</si>
  <si>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</si>
  <si>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</si>
  <si>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</si>
  <si>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</si>
  <si>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</si>
  <si>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</si>
  <si>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</si>
  <si>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</si>
  <si>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</si>
  <si>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</si>
  <si>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</si>
  <si>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</si>
  <si>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</si>
  <si>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</si>
  <si>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</si>
  <si>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</si>
  <si>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</si>
  <si>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</si>
  <si>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</si>
  <si>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</si>
  <si>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</si>
  <si>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</si>
  <si>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</si>
  <si>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</si>
  <si>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</si>
  <si>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</si>
  <si>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</si>
  <si>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</si>
  <si>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</si>
  <si>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</si>
  <si>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</si>
  <si>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</si>
  <si>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</si>
  <si>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</si>
  <si>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</si>
  <si>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</si>
  <si>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</si>
  <si>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</si>
  <si>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</si>
  <si>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</si>
  <si>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</si>
  <si>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</si>
  <si>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</si>
  <si>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</si>
  <si>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</si>
  <si>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</si>
  <si>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</si>
  <si>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</si>
  <si>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</si>
  <si>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</si>
  <si>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</si>
  <si>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</si>
  <si>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</si>
  <si>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</si>
  <si>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</si>
  <si>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</si>
  <si>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</si>
  <si>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</si>
  <si>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</si>
  <si>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</si>
  <si>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</si>
  <si>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</si>
  <si>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</si>
  <si>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</si>
  <si>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</si>
  <si>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</si>
  <si>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</si>
  <si>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</si>
  <si>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</si>
  <si>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</si>
  <si>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</si>
  <si>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</si>
  <si>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</si>
  <si>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</si>
  <si>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</si>
  <si>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</si>
  <si>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</si>
  <si>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</si>
  <si>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</si>
  <si>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</si>
  <si>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</si>
  <si>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</si>
  <si>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</si>
  <si>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</si>
  <si>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</si>
  <si>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</si>
  <si>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</si>
  <si>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</si>
  <si>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</si>
  <si>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</si>
  <si>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</si>
  <si>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</si>
  <si>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</si>
  <si>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</si>
  <si>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</si>
  <si>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</si>
  <si>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</si>
  <si>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</si>
  <si>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</si>
  <si>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</si>
  <si>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</si>
  <si>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</si>
  <si>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</si>
  <si>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</si>
  <si>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</si>
  <si>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</si>
  <si>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</si>
  <si>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</si>
  <si>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</si>
  <si>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</si>
  <si>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</si>
  <si>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</si>
  <si>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</si>
  <si>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</si>
  <si>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</si>
  <si>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</si>
  <si>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</si>
  <si>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</si>
  <si>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</si>
  <si>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</si>
  <si>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</si>
  <si>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</si>
  <si>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</si>
  <si>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</si>
  <si>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</si>
  <si>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</si>
  <si>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</si>
  <si>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</si>
  <si>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</si>
  <si>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</si>
  <si>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</si>
  <si>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</si>
  <si>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</si>
  <si>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</si>
  <si>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</si>
  <si>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</si>
  <si>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</si>
  <si>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</si>
  <si>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</si>
  <si>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</si>
  <si>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</si>
  <si>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</si>
  <si>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</si>
  <si>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</si>
  <si>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</si>
  <si>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</si>
  <si>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</si>
  <si>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</si>
  <si>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</si>
  <si>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</si>
  <si>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</si>
  <si>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</si>
  <si>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</si>
  <si>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</si>
  <si>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</si>
  <si>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</si>
  <si>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</si>
  <si>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</si>
  <si>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</si>
  <si>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</si>
  <si>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</si>
  <si>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</si>
  <si>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</si>
  <si>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</si>
  <si>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</si>
  <si>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</si>
  <si>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</si>
  <si>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</si>
  <si>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</si>
  <si>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</si>
  <si>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</si>
  <si>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</si>
  <si>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</si>
  <si>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</si>
  <si>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</si>
  <si>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</si>
  <si>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</si>
  <si>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</si>
  <si>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</si>
  <si>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</si>
  <si>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</si>
  <si>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</si>
  <si>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</si>
  <si>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</si>
  <si>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</si>
  <si>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</si>
  <si>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</si>
  <si>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</si>
  <si>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</si>
  <si>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</si>
  <si>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</si>
  <si>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</si>
  <si>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</si>
  <si>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</si>
  <si>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</si>
  <si>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</si>
  <si>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</si>
  <si>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</si>
  <si>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</si>
  <si>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</si>
  <si>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</si>
  <si>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</si>
  <si>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</si>
  <si>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</si>
  <si>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</si>
  <si>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</si>
  <si>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</si>
  <si>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</si>
  <si>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</si>
  <si>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</si>
  <si>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</si>
  <si>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</si>
  <si>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</si>
  <si>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</si>
  <si>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</si>
  <si>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</si>
  <si>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</si>
  <si>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</si>
  <si>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</si>
  <si>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</si>
  <si>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</si>
  <si>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</si>
  <si>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</si>
  <si>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</si>
  <si>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</si>
  <si>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</si>
  <si>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</si>
  <si>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</si>
  <si>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</si>
  <si>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</si>
  <si>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</si>
  <si>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</si>
  <si>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</si>
  <si>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</si>
  <si>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</si>
  <si>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</si>
  <si>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</si>
  <si>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</si>
  <si>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</si>
  <si>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</si>
  <si>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</si>
  <si>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</si>
  <si>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</si>
  <si>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</si>
  <si>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</si>
  <si>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</si>
  <si>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</si>
  <si>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</si>
  <si>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</si>
  <si>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</si>
  <si>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</si>
  <si>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</si>
  <si>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</si>
  <si>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</si>
  <si>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</si>
  <si>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</si>
  <si>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</si>
  <si>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</si>
  <si>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</si>
  <si>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</si>
  <si>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</si>
  <si>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</si>
  <si>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</si>
  <si>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</si>
  <si>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</si>
  <si>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</si>
  <si>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</si>
  <si>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</si>
  <si>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</si>
  <si>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</si>
  <si>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</si>
  <si>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</si>
  <si>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</si>
  <si>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</si>
  <si>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</si>
  <si>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</si>
  <si>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</si>
  <si>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</si>
  <si>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</si>
  <si>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</si>
  <si>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</si>
  <si>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</si>
  <si>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</si>
  <si>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</si>
  <si>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</si>
  <si>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</si>
  <si>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</si>
  <si>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</si>
  <si>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</si>
  <si>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</si>
  <si>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</si>
  <si>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</si>
  <si>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</si>
  <si>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</si>
  <si>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</si>
  <si>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</si>
  <si>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</si>
  <si>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</si>
  <si>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</si>
  <si>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</si>
  <si>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</si>
  <si>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</si>
  <si>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</si>
  <si>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</si>
  <si>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</si>
  <si>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</si>
  <si>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</si>
  <si>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</si>
  <si>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</si>
  <si>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</si>
  <si>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</si>
  <si>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</si>
  <si>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</si>
  <si>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</si>
  <si>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</si>
  <si>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</si>
  <si>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</si>
  <si>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</si>
  <si>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</si>
  <si>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</si>
  <si>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</si>
  <si>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</si>
  <si>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</si>
  <si>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</si>
  <si>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</si>
  <si>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</si>
  <si>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</si>
  <si>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</si>
  <si>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</si>
  <si>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</si>
  <si>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</si>
  <si>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</si>
  <si>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</si>
  <si>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</si>
  <si>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</si>
  <si>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</si>
  <si>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</si>
  <si>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</si>
  <si>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</si>
  <si>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</si>
  <si>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</si>
  <si>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</si>
  <si>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</si>
  <si>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</si>
  <si>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</si>
  <si>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</si>
  <si>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</si>
  <si>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</si>
  <si>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</si>
  <si>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</si>
  <si>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</si>
  <si>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</si>
  <si>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</si>
  <si>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</si>
  <si>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</si>
  <si>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</si>
  <si>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</si>
  <si>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</si>
  <si>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</si>
  <si>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</si>
  <si>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</si>
  <si>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</si>
  <si>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</si>
  <si>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</si>
  <si>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</si>
  <si>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</si>
  <si>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</si>
  <si>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</si>
  <si>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</si>
  <si>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</si>
  <si>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</si>
  <si>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</si>
  <si>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</si>
  <si>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</si>
  <si>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</si>
  <si>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</si>
  <si>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</si>
  <si>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</si>
  <si>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</si>
  <si>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</si>
  <si>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</si>
  <si>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</si>
  <si>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</si>
  <si>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</si>
  <si>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</si>
  <si>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</si>
  <si>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</si>
  <si>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</si>
  <si>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</si>
  <si>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</si>
  <si>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</si>
  <si>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</si>
  <si>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</si>
  <si>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</si>
  <si>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</si>
  <si>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</si>
  <si>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</si>
  <si>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</si>
  <si>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</si>
  <si>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</si>
  <si>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</si>
  <si>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</si>
  <si>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</si>
  <si>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</si>
  <si>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</si>
  <si>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</si>
  <si>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</si>
  <si>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</si>
  <si>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</si>
  <si>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</si>
  <si>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</si>
  <si>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</si>
  <si>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</si>
  <si>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</si>
  <si>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</si>
  <si>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</si>
  <si>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</si>
  <si>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</si>
  <si>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</si>
  <si>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</si>
  <si>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</si>
  <si>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</si>
  <si>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</si>
  <si>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</si>
  <si>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</si>
  <si>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</si>
  <si>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</si>
  <si>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</si>
  <si>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</si>
  <si>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</si>
  <si>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</si>
  <si>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</si>
  <si>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</si>
  <si>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</si>
  <si>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</si>
  <si>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</si>
  <si>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</si>
  <si>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</si>
  <si>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</si>
  <si>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</si>
  <si>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</si>
  <si>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</si>
  <si>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</si>
  <si>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</si>
  <si>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</si>
  <si>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</si>
  <si>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</si>
  <si>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</si>
  <si>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</si>
  <si>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</si>
  <si>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</si>
  <si>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</si>
  <si>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</si>
  <si>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</si>
  <si>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</si>
  <si>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</si>
  <si>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</si>
  <si>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</si>
  <si>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</si>
  <si>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</si>
  <si>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</si>
  <si>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</si>
  <si>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</si>
  <si>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</si>
  <si>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</si>
  <si>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</si>
  <si>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</si>
  <si>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</si>
  <si>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</si>
  <si>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</si>
  <si>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</si>
  <si>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</si>
  <si>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</si>
  <si>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</si>
  <si>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</si>
  <si>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</si>
  <si>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</si>
  <si>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</si>
  <si>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</si>
  <si>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</si>
  <si>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</si>
  <si>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</si>
  <si>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</si>
  <si>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</si>
  <si>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</si>
  <si>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</si>
  <si>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</si>
  <si>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</si>
  <si>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</si>
  <si>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</si>
  <si>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</si>
  <si>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</si>
  <si>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</si>
  <si>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</si>
  <si>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</si>
  <si>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</si>
  <si>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</si>
  <si>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</si>
  <si>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</si>
  <si>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</si>
  <si>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</si>
  <si>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</si>
  <si>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</si>
  <si>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</si>
  <si>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</si>
  <si>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</si>
  <si>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</si>
  <si>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</si>
  <si>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</si>
  <si>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</si>
  <si>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</si>
  <si>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</si>
  <si>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</si>
  <si>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</si>
  <si>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</si>
  <si>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</si>
  <si>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</si>
  <si>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</si>
  <si>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</si>
  <si>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</si>
  <si>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</si>
  <si>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</si>
  <si>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</si>
  <si>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</si>
  <si>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</si>
  <si>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</si>
  <si>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</si>
  <si>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</si>
  <si>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</si>
  <si>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</si>
  <si>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</si>
  <si>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</si>
  <si>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</si>
  <si>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</si>
  <si>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</si>
  <si>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</si>
  <si>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</si>
  <si>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</si>
  <si>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</si>
  <si>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</si>
  <si>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</si>
  <si>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</si>
  <si>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</si>
  <si>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</si>
  <si>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</si>
  <si>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</si>
  <si>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</si>
  <si>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</si>
  <si>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</si>
  <si>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</si>
  <si>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</si>
  <si>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</si>
  <si>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</si>
  <si>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</si>
  <si>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</si>
  <si>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</si>
  <si>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</si>
  <si>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</si>
  <si>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</si>
  <si>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</si>
  <si>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</si>
  <si>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</si>
  <si>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</si>
  <si>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</si>
  <si>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</si>
  <si>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</si>
  <si>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</si>
  <si>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</si>
  <si>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</si>
  <si>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</si>
  <si>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</si>
  <si>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</si>
  <si>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</si>
  <si>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</si>
  <si>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</si>
  <si>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</si>
  <si>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</si>
  <si>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</si>
  <si>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</si>
  <si>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</si>
  <si>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</si>
  <si>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</si>
  <si>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</si>
  <si>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</si>
  <si>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</si>
  <si>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</si>
  <si>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</si>
  <si>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</si>
  <si>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</si>
  <si>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</si>
  <si>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</si>
  <si>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</si>
  <si>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</si>
  <si>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</si>
  <si>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</si>
  <si>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</si>
  <si>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</si>
  <si>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</si>
  <si>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</si>
  <si>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</si>
  <si>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</si>
  <si>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</si>
  <si>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</si>
  <si>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</si>
  <si>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</si>
  <si>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</si>
  <si>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</si>
  <si>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</si>
  <si>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</si>
  <si>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</si>
  <si>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</si>
  <si>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</si>
  <si>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</si>
  <si>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</si>
  <si>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</si>
  <si>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</si>
  <si>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</si>
  <si>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</si>
  <si>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</si>
  <si>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</si>
  <si>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</si>
  <si>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</si>
  <si>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</si>
  <si>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</si>
  <si>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</si>
  <si>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</si>
  <si>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</si>
  <si>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</si>
  <si>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</si>
  <si>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</si>
  <si>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</si>
  <si>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</si>
  <si>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</si>
  <si>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</si>
  <si>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</si>
  <si>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</si>
  <si>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</si>
  <si>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</si>
  <si>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</si>
  <si>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</si>
  <si>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</si>
  <si>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</si>
  <si>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</si>
  <si>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</si>
  <si>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</si>
  <si>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</si>
  <si>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</si>
  <si>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</si>
  <si>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</si>
  <si>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</si>
  <si>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</si>
  <si>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</si>
  <si>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</si>
  <si>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</si>
  <si>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</si>
  <si>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</si>
  <si>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</si>
  <si>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</si>
  <si>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</si>
  <si>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</si>
  <si>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</si>
  <si>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</si>
  <si>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</si>
  <si>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</si>
  <si>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</si>
  <si>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</si>
  <si>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</si>
  <si>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</si>
  <si>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</si>
  <si>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</si>
  <si>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</si>
  <si>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</si>
  <si>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</si>
  <si>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</si>
  <si>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</si>
  <si>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</si>
  <si>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</si>
  <si>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</si>
  <si>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</si>
  <si>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</si>
  <si>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</si>
  <si>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</si>
  <si>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</si>
  <si>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</si>
  <si>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</si>
  <si>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</si>
  <si>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</si>
  <si>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</si>
  <si>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</si>
  <si>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</si>
  <si>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</si>
  <si>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</si>
  <si>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</si>
  <si>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</si>
  <si>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</si>
  <si>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</si>
  <si>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</si>
  <si>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</si>
  <si>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</si>
  <si>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</si>
  <si>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</si>
  <si>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</si>
  <si>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</si>
  <si>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</si>
  <si>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</si>
  <si>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</si>
  <si>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</si>
  <si>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</si>
  <si>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</si>
  <si>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</si>
  <si>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</si>
  <si>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</si>
  <si>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</si>
  <si>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</si>
  <si>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</si>
  <si>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</si>
  <si>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</si>
  <si>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</si>
  <si>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</si>
  <si>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</si>
  <si>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</si>
  <si>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</si>
  <si>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</si>
  <si>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</si>
  <si>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</si>
  <si>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</si>
  <si>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</si>
  <si>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</si>
  <si>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</si>
  <si>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</si>
  <si>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</si>
  <si>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</si>
  <si>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</si>
  <si>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</si>
  <si>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</si>
  <si>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</si>
  <si>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</si>
  <si>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</si>
  <si>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</si>
  <si>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</si>
  <si>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</si>
  <si>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</si>
  <si>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</si>
  <si>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</si>
  <si>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</si>
  <si>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</si>
  <si>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</si>
  <si>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</si>
  <si>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</si>
  <si>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</si>
  <si>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</si>
  <si>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</si>
  <si>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</si>
  <si>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</si>
  <si>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</si>
  <si>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</si>
  <si>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</si>
  <si>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</si>
  <si>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</si>
  <si>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</si>
  <si>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</si>
  <si>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</si>
  <si>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</si>
  <si>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</si>
  <si>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</si>
  <si>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</si>
  <si>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</si>
  <si>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</si>
  <si>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</si>
  <si>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</si>
  <si>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</si>
  <si>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</si>
  <si>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</si>
  <si>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</si>
  <si>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</si>
  <si>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</si>
  <si>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</si>
  <si>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</si>
  <si>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</si>
  <si>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</si>
  <si>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</si>
  <si>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</si>
  <si>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</si>
  <si>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</si>
  <si>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</si>
  <si>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</si>
  <si>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</si>
  <si>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</si>
  <si>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</si>
  <si>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</si>
  <si>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</si>
  <si>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</si>
  <si>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</si>
  <si>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</si>
  <si>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</si>
  <si>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</si>
  <si>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</si>
  <si>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</si>
  <si>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</si>
  <si>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</si>
  <si>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</si>
  <si>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</si>
  <si>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</si>
  <si>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</si>
  <si>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</si>
  <si>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</si>
  <si>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</si>
  <si>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</si>
  <si>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</si>
  <si>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</si>
  <si>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</si>
  <si>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</si>
  <si>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</si>
  <si>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</si>
  <si>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</si>
  <si>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</si>
  <si>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</si>
  <si>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</si>
  <si>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</si>
  <si>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</si>
  <si>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</si>
  <si>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</si>
  <si>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</si>
  <si>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</si>
  <si>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</si>
  <si>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</si>
  <si>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</si>
  <si>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</si>
  <si>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</si>
  <si>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</si>
  <si>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</si>
  <si>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</si>
  <si>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</si>
  <si>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</si>
  <si>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</si>
  <si>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</si>
  <si>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</si>
  <si>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</si>
  <si>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</si>
  <si>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</si>
  <si>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</si>
  <si>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</si>
  <si>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</si>
  <si>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</si>
  <si>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</si>
  <si>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</si>
  <si>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</si>
  <si>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</si>
  <si>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</si>
  <si>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</si>
  <si>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</si>
  <si>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</si>
  <si>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</si>
  <si>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</si>
  <si>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</si>
  <si>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</si>
  <si>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</si>
  <si>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</si>
  <si>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</si>
  <si>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</si>
  <si>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</si>
  <si>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</si>
  <si>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</si>
  <si>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</si>
  <si>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</si>
  <si>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</si>
  <si>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</si>
  <si>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</si>
  <si>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</si>
  <si>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</si>
  <si>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</si>
  <si>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</si>
  <si>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</si>
  <si>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</si>
  <si>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</si>
  <si>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</si>
  <si>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</si>
  <si>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</si>
  <si>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</si>
  <si>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</si>
  <si>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</si>
  <si>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</si>
  <si>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</si>
  <si>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</si>
  <si>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</si>
  <si>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</si>
  <si>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</si>
  <si>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</si>
  <si>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</si>
  <si>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</si>
  <si>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</si>
  <si>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</si>
  <si>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</si>
  <si>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</si>
  <si>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</si>
  <si>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</si>
  <si>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</si>
  <si>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</si>
  <si>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</si>
  <si>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</si>
  <si>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</si>
  <si>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</si>
  <si>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</si>
  <si>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</si>
  <si>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</si>
  <si>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</si>
  <si>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</si>
  <si>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</si>
  <si>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</si>
  <si>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</si>
  <si>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</si>
  <si>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</si>
  <si>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</si>
  <si>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</si>
  <si>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</si>
  <si>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</si>
  <si>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</si>
  <si>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</si>
  <si>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</si>
  <si>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</si>
  <si>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</si>
  <si>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</si>
  <si>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</si>
  <si>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</si>
  <si>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</si>
  <si>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</si>
  <si>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</si>
  <si>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</si>
  <si>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</si>
  <si>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</si>
  <si>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</si>
  <si>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</si>
  <si>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</si>
  <si>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</si>
  <si>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</si>
  <si>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</si>
  <si>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</si>
  <si>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</si>
  <si>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</si>
  <si>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</si>
  <si>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</si>
  <si>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</si>
  <si>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</si>
  <si>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</si>
  <si>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</si>
  <si>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</si>
  <si>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</si>
  <si>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</si>
  <si>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</si>
  <si>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</si>
  <si>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</si>
  <si>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</si>
  <si>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</si>
  <si>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</si>
  <si>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</si>
  <si>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</si>
  <si>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</si>
  <si>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</si>
  <si>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</si>
  <si>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</si>
  <si>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</si>
  <si>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</si>
  <si>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</si>
  <si>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</si>
  <si>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</si>
  <si>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</si>
  <si>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</si>
  <si>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</si>
  <si>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</si>
  <si>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</si>
  <si>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</si>
  <si>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</si>
  <si>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</si>
  <si>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</si>
  <si>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</si>
  <si>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</si>
  <si>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</si>
  <si>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</si>
  <si>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</si>
  <si>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</si>
  <si>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</si>
  <si>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</si>
  <si>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</si>
  <si>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</si>
  <si>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</si>
  <si>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</si>
  <si>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</si>
  <si>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</si>
  <si>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</si>
  <si>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</si>
  <si>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</si>
  <si>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</si>
  <si>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</si>
  <si>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</si>
  <si>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</si>
  <si>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</si>
  <si>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</si>
  <si>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</si>
  <si>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</si>
  <si>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</si>
  <si>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</si>
  <si>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</si>
  <si>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</si>
  <si>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</si>
  <si>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</si>
  <si>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</si>
  <si>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</si>
  <si>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</si>
  <si>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</si>
  <si>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</si>
  <si>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</si>
  <si>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</si>
  <si>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</si>
  <si>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</si>
  <si>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</si>
  <si>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</si>
  <si>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</si>
  <si>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</si>
  <si>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</si>
  <si>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</si>
  <si>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</si>
  <si>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</si>
  <si>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</si>
  <si>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</si>
  <si>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</si>
  <si>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</si>
  <si>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</si>
  <si>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</si>
  <si>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</si>
  <si>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</si>
  <si>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</si>
  <si>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</si>
  <si>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</si>
  <si>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</si>
  <si>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</si>
  <si>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</si>
  <si>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</si>
  <si>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</si>
  <si>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</si>
  <si>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</si>
  <si>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</si>
  <si>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</si>
  <si>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</si>
  <si>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</si>
  <si>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</si>
  <si>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</si>
  <si>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</si>
  <si>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</si>
  <si>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</si>
  <si>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</si>
  <si>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</si>
  <si>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</si>
  <si>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</si>
  <si>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</si>
  <si>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</si>
  <si>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</si>
  <si>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</si>
  <si>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</si>
  <si>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</si>
  <si>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</si>
  <si>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</si>
  <si>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</si>
  <si>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</si>
  <si>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</si>
  <si>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</si>
  <si>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</si>
  <si>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</si>
  <si>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</si>
  <si>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</si>
  <si>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</si>
  <si>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</si>
  <si>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</si>
  <si>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</si>
  <si>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</si>
  <si>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</si>
  <si>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</si>
  <si>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</si>
  <si>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</si>
  <si>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</si>
  <si>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</si>
  <si>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</si>
  <si>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</si>
  <si>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</si>
  <si>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</si>
  <si>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</si>
  <si>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</si>
  <si>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</si>
  <si>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</si>
  <si>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</si>
  <si>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</si>
  <si>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</si>
  <si>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</si>
  <si>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</si>
  <si>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</si>
  <si>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</si>
  <si>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</si>
  <si>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</si>
  <si>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</si>
  <si>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</si>
  <si>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</si>
  <si>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</si>
  <si>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</si>
  <si>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</si>
  <si>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</si>
  <si>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</si>
  <si>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</si>
  <si>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</si>
  <si>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</si>
  <si>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</si>
  <si>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</si>
  <si>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</si>
  <si>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</si>
  <si>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</si>
  <si>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</si>
  <si>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</si>
  <si>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</si>
  <si>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</si>
  <si>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</si>
  <si>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</si>
  <si>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</si>
  <si>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</si>
  <si>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</si>
  <si>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</si>
  <si>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</si>
  <si>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</si>
  <si>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</si>
  <si>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</si>
  <si>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</si>
  <si>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</si>
  <si>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</si>
  <si>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</si>
  <si>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</si>
  <si>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</si>
  <si>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</si>
  <si>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</si>
  <si>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</si>
  <si>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</si>
  <si>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</si>
  <si>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</si>
  <si>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</si>
  <si>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</si>
  <si>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</si>
  <si>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</si>
  <si>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</si>
  <si>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</si>
  <si>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</si>
  <si>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</si>
  <si>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</si>
  <si>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</si>
  <si>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</si>
  <si>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</si>
  <si>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</si>
  <si>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</si>
  <si>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</si>
  <si>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</si>
  <si>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</si>
  <si>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</si>
  <si>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</si>
  <si>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</si>
  <si>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</si>
  <si>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</si>
  <si>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</si>
  <si>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</si>
  <si>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</si>
  <si>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</si>
  <si>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</si>
  <si>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</si>
  <si>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</si>
  <si>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</si>
  <si>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</si>
  <si>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</si>
  <si>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</si>
  <si>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</si>
  <si>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</si>
  <si>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</si>
  <si>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</si>
  <si>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</si>
  <si>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</si>
  <si>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</si>
  <si>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</si>
  <si>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</si>
  <si>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</si>
  <si>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</si>
  <si>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</si>
  <si>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</si>
  <si>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</si>
  <si>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</si>
  <si>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</si>
  <si>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</si>
  <si>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</si>
  <si>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</si>
  <si>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</si>
  <si>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</si>
  <si>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</si>
  <si>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</si>
  <si>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</si>
  <si>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</si>
  <si>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</si>
  <si>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</si>
  <si>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</si>
  <si>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</si>
  <si>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</si>
  <si>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</si>
  <si>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</si>
  <si>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</si>
  <si>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</si>
  <si>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</si>
  <si>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</si>
  <si>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</si>
  <si>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</si>
  <si>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</si>
  <si>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</si>
  <si>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</si>
  <si>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</si>
  <si>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</si>
  <si>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</si>
  <si>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</si>
  <si>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</si>
  <si>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</si>
  <si>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</si>
  <si>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</si>
  <si>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</si>
  <si>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</si>
  <si>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</si>
  <si>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</si>
  <si>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</si>
  <si>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</si>
  <si>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</si>
  <si>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</si>
  <si>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</si>
  <si>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</si>
  <si>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</si>
  <si>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</si>
  <si>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</si>
  <si>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</si>
  <si>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</si>
  <si>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</si>
  <si>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</si>
  <si>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</si>
  <si>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</si>
  <si>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</si>
  <si>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</si>
  <si>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</si>
  <si>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</si>
  <si>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</si>
  <si>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</si>
  <si>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</si>
  <si>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</si>
  <si>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</si>
  <si>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</si>
  <si>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</si>
  <si>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</si>
  <si>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</si>
  <si>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</si>
  <si>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</si>
  <si>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</si>
  <si>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</si>
  <si>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</si>
  <si>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</si>
  <si>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</si>
  <si>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</si>
  <si>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</si>
  <si>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</si>
  <si>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</si>
  <si>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</si>
  <si>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47-052-1700-22</t>
  </si>
  <si>
    <t>Lee</t>
  </si>
  <si>
    <t>1355 Franklin Grove Road</t>
  </si>
  <si>
    <t>Dixon</t>
  </si>
  <si>
    <t>mcampbell@dps170.com</t>
  </si>
  <si>
    <t>Margo Empen</t>
  </si>
  <si>
    <t>X</t>
  </si>
  <si>
    <t>mempen@dps170.org</t>
  </si>
  <si>
    <t>815.284.7722</t>
  </si>
  <si>
    <t>815.284.8576</t>
  </si>
  <si>
    <t>General Obligation School Bonds, Series 2014</t>
  </si>
  <si>
    <t>General Obligation School Bonds, Series 2016</t>
  </si>
  <si>
    <t>General Obligation School Bonds, Series 2017</t>
  </si>
  <si>
    <t>General Obligation School Bonds, Series 2018A</t>
  </si>
  <si>
    <t>General Obligation School Bonds, Series 2019A</t>
  </si>
  <si>
    <t>General Obligation School Bonds, Series 201B</t>
  </si>
  <si>
    <t>General Obligation Refunding School Bonds, Series 2018B</t>
  </si>
  <si>
    <t>1.  One School Board member filed late.</t>
  </si>
  <si>
    <t>Year Ended June 30, 2020</t>
  </si>
  <si>
    <t>PROGRAMS - NON LOAN PROGRAMS</t>
  </si>
  <si>
    <t>CFDA#</t>
  </si>
  <si>
    <t>Identifying Number</t>
  </si>
  <si>
    <t>Grant Term</t>
  </si>
  <si>
    <t>Revenue (7/1/18-6/30/19)</t>
  </si>
  <si>
    <t>Revenue (7/1/19-6/30/20)</t>
  </si>
  <si>
    <t>Expenditures (7/1/18-6/30/19)</t>
  </si>
  <si>
    <t>Passed Through to Subrecipients (7/1/18-6/30/19)</t>
  </si>
  <si>
    <t>Expenditures (7/1/19-6/30/20)</t>
  </si>
  <si>
    <t>Passed Through to Subrecipients (7/1/19-6/30/20)</t>
  </si>
  <si>
    <t>Obligations</t>
  </si>
  <si>
    <t>Total Expenses</t>
  </si>
  <si>
    <t>Final Status</t>
  </si>
  <si>
    <t>US Dept of Agriculture</t>
  </si>
  <si>
    <t>Pass-thru: IL State Board of Education</t>
  </si>
  <si>
    <t>18-4220-00</t>
  </si>
  <si>
    <t>09/01/17-09/30/18</t>
  </si>
  <si>
    <t>n/a</t>
  </si>
  <si>
    <t>19-4220-00</t>
  </si>
  <si>
    <t>09/01/18-09/30/19</t>
  </si>
  <si>
    <t>20-4220-00</t>
  </si>
  <si>
    <t>09/01/19-09/30/20</t>
  </si>
  <si>
    <t>18-4210-00</t>
  </si>
  <si>
    <t>19-4210-00</t>
  </si>
  <si>
    <t>20-4210-00</t>
  </si>
  <si>
    <t>20-4225-00</t>
  </si>
  <si>
    <t>10/01/19-09/30/20</t>
  </si>
  <si>
    <t>TOTAL US Dept of Agriculture</t>
  </si>
  <si>
    <t>US Dept of Education</t>
  </si>
  <si>
    <t>Title I - Low Income (M)</t>
  </si>
  <si>
    <t>84.010</t>
  </si>
  <si>
    <t>18-4300-00</t>
  </si>
  <si>
    <t>19-4300-00</t>
  </si>
  <si>
    <t>07/01/18-08/31/19</t>
  </si>
  <si>
    <t>Tite I - Low Income (M)</t>
  </si>
  <si>
    <t>20-4300-00</t>
  </si>
  <si>
    <t>07/01/19-08/31/20</t>
  </si>
  <si>
    <t>Title I - School Improvement and Accountability (M)</t>
  </si>
  <si>
    <t>12/09/19-08/31/20</t>
  </si>
  <si>
    <t>Special Education Grant</t>
  </si>
  <si>
    <t xml:space="preserve">Special Ed IDEA - Flow-through </t>
  </si>
  <si>
    <t>Title II - Improving Teacher Quality</t>
  </si>
  <si>
    <t>18-4932-00</t>
  </si>
  <si>
    <t>19-4932-00</t>
  </si>
  <si>
    <t>TOTAL US Dept of Education</t>
  </si>
  <si>
    <t>US Dept of Health and Human Services</t>
  </si>
  <si>
    <t>Pass-thru: IL Dept of Healthcare and Family Services</t>
  </si>
  <si>
    <t>FY2018</t>
  </si>
  <si>
    <t>07/01/17-06/30/18</t>
  </si>
  <si>
    <t>FY2019</t>
  </si>
  <si>
    <t>07/01/18-06/30/19</t>
  </si>
  <si>
    <t>FY2020</t>
  </si>
  <si>
    <t>07/01/19-06/30/20</t>
  </si>
  <si>
    <t>TOTAL US Dept of Health and Human Services</t>
  </si>
  <si>
    <t>TOTALS</t>
  </si>
  <si>
    <t>(M)  Major Program</t>
  </si>
  <si>
    <t>Dixon Community School District</t>
  </si>
  <si>
    <t>Lee County Special Education Association - Dixon and Paw Paw Schools</t>
  </si>
  <si>
    <t>1 - Whiteside Regional Vocational System - Amboy, Ashton-Franklin Center, Bureau Valley, Dixon, Eastland, Erie, Faith Christian, Forreston, Fulton/Riverbend, Milledgeville/Chadwick, Sterling, Rock Falls</t>
  </si>
  <si>
    <t>Education Fund - 1690 - Other Food Revenue - Receipts from vendors</t>
  </si>
  <si>
    <t>Education Fund - 1999 - Other Local Revenue - Reimbursements, sale of books, and miscellaneous revenue</t>
  </si>
  <si>
    <t>Operations and Maintenance Fund - 1999 - Other Local Revenue - Insurance reimbursement and miscellaneous revenue</t>
  </si>
  <si>
    <t>Transportation Fund - 1999 - Other Local Revenue - Miscellaneous revenue</t>
  </si>
  <si>
    <t>Education Fund - 4399 - Other Title I - Title Improvement and Accountability</t>
  </si>
  <si>
    <t>Education Fund - 2190 - Other Support Services (Pupil) - Salaries associated with part time secretaries</t>
  </si>
  <si>
    <t>IMRF Fund - 2190 - Other Support Services (Pupil) - Benefits associated with part time secretaries</t>
  </si>
  <si>
    <t>Education Fund - 4190 - Other Payments to in-state govt units - Grant overpament reimbursements</t>
  </si>
  <si>
    <t>Debt Services Fund - 5400 - Debt services - other interest on short-term debt - Agent fees and bond issuance costs</t>
  </si>
  <si>
    <t>x</t>
  </si>
  <si>
    <t>na</t>
  </si>
  <si>
    <t>Title IV - Student Support and Academic Enrichment (SSAE)</t>
  </si>
  <si>
    <t>Pass-thru: Lee/Ogle Regional Office of Education #47/Ogle County Cooperative</t>
  </si>
  <si>
    <t>Medical Cluster</t>
  </si>
  <si>
    <t>Medicaid Assistance Program</t>
  </si>
  <si>
    <t xml:space="preserve">Title I, Part A </t>
  </si>
  <si>
    <t xml:space="preserve">Child Nutrition Cluster </t>
  </si>
  <si>
    <t xml:space="preserve">School Breakfast Program </t>
  </si>
  <si>
    <t xml:space="preserve">National School Lunch Program </t>
  </si>
  <si>
    <t>Food Commodities</t>
  </si>
  <si>
    <t xml:space="preserve">Dept of Defense Fresh Fruit &amp; Vegetables </t>
  </si>
  <si>
    <t xml:space="preserve">Food Commodities </t>
  </si>
  <si>
    <t>19-47052170022A1</t>
  </si>
  <si>
    <t>20-47052170022A1</t>
  </si>
  <si>
    <t>12/01/17-06/30/18</t>
  </si>
  <si>
    <t>19-4399-00</t>
  </si>
  <si>
    <t>20-4399-00</t>
  </si>
  <si>
    <t>11/30/18-8/31/19</t>
  </si>
  <si>
    <t>18-4625-00</t>
  </si>
  <si>
    <t>19-4625-00</t>
  </si>
  <si>
    <t>20-4625-00</t>
  </si>
  <si>
    <t>09/01/17-08/30/18</t>
  </si>
  <si>
    <t>09/01/18-08/30/19</t>
  </si>
  <si>
    <t>09/01/19-08/30/20</t>
  </si>
  <si>
    <t>19-4400-00</t>
  </si>
  <si>
    <t>20-4400-00</t>
  </si>
  <si>
    <t>20-4932-00</t>
  </si>
  <si>
    <t>12/21/17-06/31/18</t>
  </si>
  <si>
    <t>Administration Assessment for SFY20 Medical Assistance Program</t>
  </si>
  <si>
    <r>
      <t xml:space="preserve">The accompanying Schedule of Expenditures of Federal Awards includes the federal grant activity of Dixon Public School District #170 ("District")and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</si>
  <si>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the District p</t>
    </r>
    <r>
      <rPr>
        <sz val="9"/>
        <rFont val="Calibri"/>
        <family val="2"/>
        <scheme val="minor"/>
      </rPr>
      <t>rovided federal awards to subrecipients as follows:</t>
    </r>
  </si>
  <si>
    <t>NA</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</si>
  <si>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</si>
  <si>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</si>
  <si>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 Part A Grants to Local Educational Agencies (LEAs)</t>
  </si>
  <si>
    <t>Management is responsible for establishing and maintaining internal controls and for the fair presentation of the financial statements including the related disclosures, in conformity with U.S. generally accepted accounting principles (GAAP).</t>
  </si>
  <si>
    <t>The District does not have an internal control policy in place over annual financial reporting that would enable management to prepare its annual financial statements and ensure related footnote disclosures are complete and presented in accordance with GAAP.</t>
  </si>
  <si>
    <t>Management has informed us that they do not have an internal control policy in place over the annual financial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</si>
  <si>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</si>
  <si>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</si>
  <si>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</si>
  <si>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</si>
  <si>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Improper Segregation of duties</t>
  </si>
  <si>
    <t>There is inadequate control over the functions of processing and recording of financial transactions of the District due to the inadequate segregation of duties stemming from limited personnel.  Internal controls should be in place that provide reasonable assurance that not one individual handles a transaction from its inception to its completion.</t>
  </si>
  <si>
    <t>Without adequate segregation of duties, the likelihood that unauthorized or false transactions will be prevented or detected in a timely fashion is significantly diminished which may result in misstated fianncial statements.</t>
  </si>
  <si>
    <t>The District has a limited number of staff to allow for adequate segregation of duties.</t>
  </si>
  <si>
    <t xml:space="preserve">The District's management and Board of Education's close supervision and review of accounting information is the most economical and appropriate manner to help prevent and detect errors and irregularities in the District's accounting and financial reporting.  </t>
  </si>
  <si>
    <t>District had excess of expenses over budget in several funds.</t>
  </si>
  <si>
    <t>The Distict overspent the District's legally adopted budget.</t>
  </si>
  <si>
    <t>District is not in compliance with 105 ILCS 5 School Code.</t>
  </si>
  <si>
    <t>District had excess of expenses over budget.</t>
  </si>
  <si>
    <t>The District should continue to monitor budget results and amend the budget as necessary.</t>
  </si>
  <si>
    <t>District will consider amending its budget in the future.</t>
  </si>
  <si>
    <t>2018-001</t>
  </si>
  <si>
    <t xml:space="preserve">Financial statements drafted by auditors. </t>
  </si>
  <si>
    <t>District lacks proper segregation of duties in the</t>
  </si>
  <si>
    <t xml:space="preserve">accounting department. </t>
  </si>
  <si>
    <t xml:space="preserve">District had excess of expenses over budget in several </t>
  </si>
  <si>
    <t>funds.</t>
  </si>
  <si>
    <t>2018-002</t>
  </si>
  <si>
    <t>2018-003</t>
  </si>
  <si>
    <t>2019-001</t>
  </si>
  <si>
    <t>2019-002</t>
  </si>
  <si>
    <t>2019-003</t>
  </si>
  <si>
    <t>Ongoing</t>
  </si>
  <si>
    <t>Education Fund - Support Services ( Business) - Purchased Services</t>
  </si>
  <si>
    <t>Transportation Fund - Support Services (Business) - Purchased Services</t>
  </si>
  <si>
    <t>Arbor Management</t>
  </si>
  <si>
    <t>Ilinois Central School Bus</t>
  </si>
  <si>
    <t xml:space="preserve">     Pass-thru: IL State Board of Education   </t>
  </si>
  <si>
    <t>Dixon USD 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</si>
</sst>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57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4" fillId="0" borderId="0" xfId="3" applyFont="1" applyAlignment="1" applyProtection="1">
      <alignment horizontal="center" vertical="center"/>
    </xf>
    <xf numFmtId="0" fontId="0" fillId="0" borderId="0" xfId="0"/>
    <xf numFmtId="0" fontId="0" fillId="0" borderId="0" xfId="0" applyBorder="1" applyAlignment="1">
      <alignment horizontal="center"/>
    </xf>
    <xf numFmtId="6" fontId="0" fillId="0" borderId="0" xfId="0" applyNumberFormat="1"/>
    <xf numFmtId="3" fontId="0" fillId="0" borderId="0" xfId="0" applyNumberFormat="1"/>
    <xf numFmtId="0" fontId="0" fillId="0" borderId="0" xfId="0" applyAlignment="1">
      <alignment horizontal="center"/>
    </xf>
    <xf numFmtId="0" fontId="13" fillId="17" borderId="164" xfId="0" applyFont="1" applyFill="1" applyBorder="1" applyAlignment="1">
      <alignment horizontal="center"/>
    </xf>
    <xf numFmtId="0" fontId="13" fillId="17" borderId="168" xfId="0" applyFont="1" applyFill="1" applyBorder="1" applyAlignment="1">
      <alignment horizontal="center" wrapText="1"/>
    </xf>
    <xf numFmtId="0" fontId="13" fillId="17" borderId="169" xfId="0" applyFont="1" applyFill="1" applyBorder="1" applyAlignment="1">
      <alignment horizontal="center" wrapText="1"/>
    </xf>
    <xf numFmtId="0" fontId="13" fillId="0" borderId="0" xfId="0" applyFont="1"/>
    <xf numFmtId="0" fontId="0" fillId="0" borderId="0" xfId="0" applyAlignment="1">
      <alignment horizontal="left" indent="2"/>
    </xf>
    <xf numFmtId="0" fontId="0" fillId="0" borderId="76" xfId="0" applyBorder="1"/>
    <xf numFmtId="0" fontId="0" fillId="0" borderId="76" xfId="0" applyBorder="1" applyAlignment="1">
      <alignment horizontal="center"/>
    </xf>
    <xf numFmtId="0" fontId="0" fillId="0" borderId="78" xfId="0" applyBorder="1"/>
    <xf numFmtId="0" fontId="0" fillId="0" borderId="78" xfId="0" applyBorder="1" applyAlignment="1">
      <alignment horizontal="center"/>
    </xf>
    <xf numFmtId="0" fontId="13" fillId="0" borderId="78" xfId="0" applyFont="1" applyBorder="1"/>
    <xf numFmtId="0" fontId="0" fillId="0" borderId="0" xfId="0" quotePrefix="1" applyAlignment="1">
      <alignment horizontal="center"/>
    </xf>
    <xf numFmtId="185" fontId="0" fillId="0" borderId="0" xfId="1" applyNumberFormat="1" applyFont="1"/>
    <xf numFmtId="0" fontId="0" fillId="0" borderId="0" xfId="0" applyBorder="1"/>
    <xf numFmtId="37" fontId="13" fillId="0" borderId="166" xfId="0" applyNumberFormat="1" applyFont="1" applyBorder="1"/>
    <xf numFmtId="37" fontId="13" fillId="0" borderId="167" xfId="0" applyNumberFormat="1" applyFont="1" applyBorder="1"/>
    <xf numFmtId="37" fontId="13" fillId="0" borderId="165" xfId="0" applyNumberFormat="1" applyFont="1" applyBorder="1"/>
    <xf numFmtId="37" fontId="0" fillId="0" borderId="0" xfId="0" applyNumberFormat="1"/>
    <xf numFmtId="37" fontId="0" fillId="0" borderId="76" xfId="0" applyNumberFormat="1" applyBorder="1"/>
    <xf numFmtId="37" fontId="0" fillId="0" borderId="78" xfId="0" applyNumberFormat="1" applyBorder="1"/>
    <xf numFmtId="37" fontId="0" fillId="0" borderId="0" xfId="1" applyNumberFormat="1" applyFont="1"/>
    <xf numFmtId="37" fontId="0" fillId="0" borderId="0" xfId="0" applyNumberForma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13" fillId="0" borderId="0" xfId="0" applyFont="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17382221-9AA1-4F05-916E-AB4BA62BD805}"/>
    <cellStyle name="Normal 3 2 3" xfId="21" xr:uid="{6B662508-F1B9-4B66-8255-55748892E98B}"/>
    <cellStyle name="Normal 3 3" xfId="20" xr:uid="{C726C4FA-44F3-49E8-9B95-49665003F343}"/>
    <cellStyle name="Normal 4" xfId="16" xr:uid="{00000000-0005-0000-0000-000008000000}"/>
    <cellStyle name="Normal 4 2" xfId="22" xr:uid="{8062E149-F0A9-4E20-AB31-BC594C82881C}"/>
    <cellStyle name="Normal 5" xfId="17" xr:uid="{00000000-0005-0000-0000-000009000000}"/>
    <cellStyle name="Normal 5 2" xfId="19" xr:uid="{00000000-0005-0000-0000-00000A000000}"/>
    <cellStyle name="Normal 5 2 2" xfId="25" xr:uid="{1D43CA36-E428-4B2B-A4C9-C1E8A962D223}"/>
    <cellStyle name="Normal 5 3" xfId="23" xr:uid="{9B6EA71A-FE0F-4D2F-AB7A-275E804FCA3B}"/>
    <cellStyle name="Normal 6" xfId="26" xr:uid="{C4F96E28-EA2E-45DD-BA28-3EC299B2757F}"/>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587078</xdr:colOff>
      <xdr:row>48</xdr:row>
      <xdr:rowOff>85725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478" cy="78581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1200150</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5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23490" y="1704442"/>
          <a:ext cx="76200" cy="196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767328" y="1704442"/>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23490" y="1704442"/>
          <a:ext cx="76200" cy="196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767328" y="1704442"/>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99">
        <f>+'AFR20'!E4</f>
        <v>44119</v>
      </c>
      <c r="C1" s="2099"/>
      <c r="D1" s="2100"/>
      <c r="I1" s="2058" t="s">
        <v>402</v>
      </c>
      <c r="J1" s="2059"/>
      <c r="K1" s="2059"/>
      <c r="L1" s="2059"/>
      <c r="M1" s="2059"/>
      <c r="N1" s="2059"/>
      <c r="O1" s="2059"/>
      <c r="P1" s="2059"/>
      <c r="Q1" s="2059"/>
      <c r="R1" s="2059"/>
      <c r="S1" s="2059"/>
    </row>
    <row r="2" spans="1:32" ht="12" customHeight="1" x14ac:dyDescent="0.2">
      <c r="A2" s="1889" t="str">
        <f>"Due to ISBE on "</f>
        <v xml:space="preserve">Due to ISBE on </v>
      </c>
      <c r="B2" s="2101">
        <f>+'AFR20'!F4</f>
        <v>44151</v>
      </c>
      <c r="C2" s="2101"/>
      <c r="D2" s="2102"/>
      <c r="I2" s="2060" t="s">
        <v>2003</v>
      </c>
      <c r="J2" s="2059"/>
      <c r="K2" s="2059"/>
      <c r="L2" s="2059"/>
      <c r="M2" s="2059"/>
      <c r="N2" s="2059"/>
      <c r="O2" s="2059"/>
      <c r="P2" s="2059"/>
      <c r="Q2" s="2059"/>
      <c r="R2" s="2059"/>
      <c r="S2" s="2059"/>
    </row>
    <row r="3" spans="1:32" ht="12" customHeight="1" x14ac:dyDescent="0.2">
      <c r="A3" s="1892" t="str">
        <f>"SD/JA"&amp;MID('AFR20'!E2,3,2)</f>
        <v>SD/JA20</v>
      </c>
      <c r="B3" s="151"/>
      <c r="C3" s="151"/>
      <c r="D3" s="152"/>
      <c r="I3" s="2060" t="s">
        <v>52</v>
      </c>
      <c r="J3" s="2059"/>
      <c r="K3" s="2059"/>
      <c r="L3" s="2059"/>
      <c r="M3" s="2059"/>
      <c r="N3" s="2059"/>
      <c r="O3" s="2059"/>
      <c r="P3" s="2059"/>
      <c r="Q3" s="2059"/>
      <c r="R3" s="2059"/>
      <c r="S3" s="2059"/>
    </row>
    <row r="4" spans="1:32" ht="12" customHeight="1" x14ac:dyDescent="0.2">
      <c r="A4" s="37"/>
      <c r="I4" s="2060" t="s">
        <v>521</v>
      </c>
      <c r="J4" s="2059"/>
      <c r="K4" s="2059"/>
      <c r="L4" s="2059"/>
      <c r="M4" s="2059"/>
      <c r="N4" s="2059"/>
      <c r="O4" s="2059"/>
      <c r="P4" s="2059"/>
      <c r="Q4" s="2059"/>
      <c r="R4" s="2059"/>
      <c r="S4" s="2059"/>
    </row>
    <row r="5" spans="1:32" ht="14.1" customHeight="1" x14ac:dyDescent="0.2">
      <c r="B5" s="101"/>
      <c r="C5" s="26" t="s">
        <v>904</v>
      </c>
      <c r="D5" s="81"/>
      <c r="E5" s="81"/>
      <c r="H5" s="38"/>
      <c r="I5" s="2068" t="s">
        <v>675</v>
      </c>
      <c r="J5" s="2067"/>
      <c r="K5" s="2067"/>
      <c r="L5" s="2067"/>
      <c r="M5" s="2067"/>
      <c r="N5" s="2067"/>
      <c r="O5" s="2067"/>
      <c r="P5" s="2067"/>
      <c r="Q5" s="2067"/>
      <c r="R5" s="2067"/>
      <c r="S5" s="2067"/>
      <c r="AF5" s="1885"/>
    </row>
    <row r="6" spans="1:32" ht="14.1" customHeight="1" x14ac:dyDescent="0.2">
      <c r="B6" s="101"/>
      <c r="C6" s="26" t="s">
        <v>905</v>
      </c>
      <c r="D6" s="81"/>
      <c r="E6" s="81"/>
      <c r="I6" s="2066" t="s">
        <v>877</v>
      </c>
      <c r="J6" s="2067"/>
      <c r="K6" s="2067"/>
      <c r="L6" s="2067"/>
      <c r="M6" s="2067"/>
      <c r="N6" s="2067"/>
      <c r="O6" s="2067"/>
      <c r="P6" s="2067"/>
      <c r="Q6" s="2067"/>
      <c r="R6" s="2067"/>
      <c r="S6" s="2067"/>
    </row>
    <row r="7" spans="1:32" ht="12.4" customHeight="1" x14ac:dyDescent="0.2">
      <c r="I7" s="2061" t="str">
        <f>"June 30, "&amp;'AFR20'!E2</f>
        <v>June 30, 2020</v>
      </c>
      <c r="J7" s="2062"/>
      <c r="K7" s="2062"/>
      <c r="L7" s="2062"/>
      <c r="M7" s="2062"/>
      <c r="N7" s="2062"/>
      <c r="O7" s="2062"/>
      <c r="P7" s="2062"/>
      <c r="Q7" s="2062"/>
      <c r="R7" s="2062"/>
      <c r="S7" s="206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3" t="s">
        <v>669</v>
      </c>
      <c r="J9" s="2064"/>
      <c r="K9" s="2064"/>
      <c r="L9" s="2064"/>
      <c r="M9" s="2064"/>
      <c r="N9" s="2064"/>
      <c r="O9" s="2064"/>
      <c r="P9" s="2064"/>
      <c r="Q9" s="2064"/>
      <c r="R9" s="2064"/>
      <c r="S9" s="2065"/>
      <c r="T9" s="2116" t="s">
        <v>530</v>
      </c>
      <c r="U9" s="2117"/>
      <c r="V9" s="2117"/>
      <c r="W9" s="2117"/>
      <c r="X9" s="2117"/>
      <c r="Y9" s="2117"/>
      <c r="Z9" s="2117"/>
      <c r="AA9" s="2118"/>
    </row>
    <row r="10" spans="1:32" ht="13.5" customHeight="1" x14ac:dyDescent="0.2">
      <c r="A10" s="2123" t="s">
        <v>670</v>
      </c>
      <c r="B10" s="2124"/>
      <c r="C10" s="2124"/>
      <c r="D10" s="2124"/>
      <c r="E10" s="2124"/>
      <c r="F10" s="2124"/>
      <c r="G10" s="2124"/>
      <c r="H10" s="2125"/>
      <c r="I10" s="29"/>
      <c r="J10" s="30"/>
      <c r="K10" s="28"/>
      <c r="R10" s="30"/>
      <c r="S10" s="30"/>
      <c r="T10" s="2119"/>
      <c r="U10" s="2067"/>
      <c r="V10" s="2067"/>
      <c r="W10" s="2067"/>
      <c r="X10" s="2067"/>
      <c r="Y10" s="2067"/>
      <c r="Z10" s="2067"/>
      <c r="AA10" s="2073"/>
    </row>
    <row r="11" spans="1:32" ht="14.25" customHeight="1" x14ac:dyDescent="0.2">
      <c r="A11" s="2126" t="s">
        <v>949</v>
      </c>
      <c r="B11" s="2127"/>
      <c r="C11" s="2127"/>
      <c r="D11" s="2127"/>
      <c r="E11" s="2127"/>
      <c r="F11" s="2127"/>
      <c r="G11" s="2127"/>
      <c r="H11" s="2128"/>
      <c r="I11" s="27"/>
      <c r="J11" s="71"/>
      <c r="K11" s="27"/>
      <c r="O11" s="144"/>
      <c r="P11" s="97" t="s">
        <v>199</v>
      </c>
      <c r="Q11" s="30"/>
      <c r="R11" s="28"/>
      <c r="S11" s="27"/>
      <c r="T11" s="2120"/>
      <c r="U11" s="2121"/>
      <c r="V11" s="2121"/>
      <c r="W11" s="2121"/>
      <c r="X11" s="2121"/>
      <c r="Y11" s="2121"/>
      <c r="Z11" s="2121"/>
      <c r="AA11" s="2122"/>
    </row>
    <row r="12" spans="1:32" ht="13.5" customHeight="1" x14ac:dyDescent="0.2">
      <c r="A12" s="82" t="s">
        <v>919</v>
      </c>
      <c r="B12" s="73"/>
      <c r="C12" s="73"/>
      <c r="D12" s="73"/>
      <c r="E12" s="73"/>
      <c r="F12" s="73"/>
      <c r="G12" s="73"/>
      <c r="H12" s="50"/>
      <c r="I12" s="29"/>
      <c r="J12" s="30"/>
      <c r="K12" s="28"/>
      <c r="O12" s="145" t="s">
        <v>2033</v>
      </c>
      <c r="P12" s="97" t="s">
        <v>200</v>
      </c>
      <c r="Q12" s="71"/>
      <c r="R12" s="30"/>
      <c r="S12" s="30"/>
      <c r="T12" s="82" t="s">
        <v>263</v>
      </c>
      <c r="U12" s="48"/>
      <c r="V12" s="48"/>
      <c r="W12" s="48"/>
      <c r="X12" s="48"/>
      <c r="Y12" s="43"/>
      <c r="Z12" s="43"/>
      <c r="AA12" s="44"/>
    </row>
    <row r="13" spans="1:32" ht="13.5" customHeight="1" x14ac:dyDescent="0.2">
      <c r="A13" s="2079">
        <v>47052170022</v>
      </c>
      <c r="B13" s="2080"/>
      <c r="C13" s="2080"/>
      <c r="D13" s="2080"/>
      <c r="E13" s="2080"/>
      <c r="F13" s="2080"/>
      <c r="G13" s="2080"/>
      <c r="H13" s="2081"/>
      <c r="I13" s="31"/>
      <c r="J13" s="30"/>
      <c r="K13" s="28"/>
      <c r="L13" s="30"/>
      <c r="M13" s="30"/>
      <c r="N13" s="30"/>
      <c r="O13" s="30"/>
      <c r="P13" s="30"/>
      <c r="Q13" s="30"/>
      <c r="R13" s="30"/>
      <c r="S13" s="30"/>
      <c r="T13" s="2085" t="s">
        <v>2018</v>
      </c>
      <c r="U13" s="2086"/>
      <c r="V13" s="2086"/>
      <c r="W13" s="2086"/>
      <c r="X13" s="2086"/>
      <c r="Y13" s="2087"/>
      <c r="Z13" s="2087"/>
      <c r="AA13" s="208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2" t="s">
        <v>2028</v>
      </c>
      <c r="B15" s="2083"/>
      <c r="C15" s="2083"/>
      <c r="D15" s="2083"/>
      <c r="E15" s="2083"/>
      <c r="F15" s="2083"/>
      <c r="G15" s="2083"/>
      <c r="H15" s="2084"/>
      <c r="T15" s="2089" t="s">
        <v>2019</v>
      </c>
      <c r="U15" s="2046"/>
      <c r="V15" s="2046"/>
      <c r="W15" s="2046"/>
      <c r="X15" s="2046"/>
      <c r="Y15" s="2090"/>
      <c r="Z15" s="2090"/>
      <c r="AA15" s="209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2" t="s">
        <v>2185</v>
      </c>
      <c r="B17" s="2053"/>
      <c r="C17" s="2053"/>
      <c r="D17" s="2053"/>
      <c r="E17" s="2053"/>
      <c r="F17" s="2053"/>
      <c r="G17" s="2053"/>
      <c r="H17" s="2078"/>
      <c r="T17" s="2096" t="s">
        <v>2020</v>
      </c>
      <c r="U17" s="2097"/>
      <c r="V17" s="2097"/>
      <c r="W17" s="2097"/>
      <c r="X17" s="2097"/>
      <c r="Y17" s="2097"/>
      <c r="Z17" s="2097"/>
      <c r="AA17" s="2098"/>
    </row>
    <row r="18" spans="1:27" ht="13.5" customHeight="1" x14ac:dyDescent="0.2">
      <c r="A18" s="82" t="s">
        <v>527</v>
      </c>
      <c r="B18" s="73"/>
      <c r="C18" s="69"/>
      <c r="D18" s="73"/>
      <c r="E18" s="73"/>
      <c r="F18" s="73"/>
      <c r="G18" s="73"/>
      <c r="H18" s="53"/>
      <c r="I18" s="2077" t="s">
        <v>671</v>
      </c>
      <c r="J18" s="2028"/>
      <c r="K18" s="2028"/>
      <c r="L18" s="2028"/>
      <c r="M18" s="2028"/>
      <c r="N18" s="2028"/>
      <c r="O18" s="2028"/>
      <c r="P18" s="2028"/>
      <c r="Q18" s="2028"/>
      <c r="R18" s="2028"/>
      <c r="S18" s="2029"/>
      <c r="T18" s="82" t="s">
        <v>706</v>
      </c>
      <c r="U18" s="48"/>
      <c r="V18" s="69"/>
      <c r="W18" s="47"/>
      <c r="X18" s="82" t="s">
        <v>264</v>
      </c>
      <c r="Y18" s="78"/>
      <c r="Z18" s="154" t="s">
        <v>672</v>
      </c>
      <c r="AA18" s="44"/>
    </row>
    <row r="19" spans="1:27" ht="13.5" customHeight="1" x14ac:dyDescent="0.2">
      <c r="A19" s="2082" t="s">
        <v>2029</v>
      </c>
      <c r="B19" s="2038"/>
      <c r="C19" s="2038"/>
      <c r="D19" s="2038"/>
      <c r="E19" s="2038"/>
      <c r="F19" s="2038"/>
      <c r="G19" s="2038"/>
      <c r="H19" s="2018"/>
      <c r="I19" s="30"/>
      <c r="J19" s="96"/>
      <c r="K19" s="40"/>
      <c r="L19" s="38"/>
      <c r="M19" s="109" t="s">
        <v>312</v>
      </c>
      <c r="P19" s="27"/>
      <c r="Q19" s="27"/>
      <c r="R19" s="27"/>
      <c r="S19" s="31"/>
      <c r="T19" s="2082" t="s">
        <v>2021</v>
      </c>
      <c r="U19" s="2017"/>
      <c r="V19" s="2017"/>
      <c r="W19" s="2018"/>
      <c r="X19" s="2094" t="s">
        <v>2022</v>
      </c>
      <c r="Y19" s="2095"/>
      <c r="Z19" s="2092">
        <v>61081</v>
      </c>
      <c r="AA19" s="209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16" t="s">
        <v>2030</v>
      </c>
      <c r="B21" s="2017"/>
      <c r="C21" s="2017"/>
      <c r="D21" s="2017"/>
      <c r="E21" s="2017"/>
      <c r="F21" s="2017"/>
      <c r="G21" s="2017"/>
      <c r="H21" s="2018"/>
      <c r="I21" s="2072" t="s">
        <v>673</v>
      </c>
      <c r="J21" s="2067"/>
      <c r="K21" s="2067"/>
      <c r="L21" s="2067"/>
      <c r="M21" s="2067"/>
      <c r="N21" s="2067"/>
      <c r="O21" s="2067"/>
      <c r="P21" s="2067"/>
      <c r="Q21" s="2067"/>
      <c r="R21" s="2067"/>
      <c r="S21" s="2073"/>
      <c r="T21" s="2107" t="s">
        <v>2026</v>
      </c>
      <c r="U21" s="2108"/>
      <c r="V21" s="2108"/>
      <c r="W21" s="2108"/>
      <c r="X21" s="2113" t="s">
        <v>2023</v>
      </c>
      <c r="Y21" s="2114"/>
      <c r="Z21" s="2114"/>
      <c r="AA21" s="2115"/>
    </row>
    <row r="22" spans="1:27" ht="13.5" customHeight="1" x14ac:dyDescent="0.2">
      <c r="A22" s="84" t="s">
        <v>528</v>
      </c>
      <c r="B22" s="56"/>
      <c r="C22" s="56"/>
      <c r="D22" s="56"/>
      <c r="E22" s="56"/>
      <c r="F22" s="56"/>
      <c r="G22" s="56"/>
      <c r="H22" s="57"/>
      <c r="I22" s="2074" t="s">
        <v>1415</v>
      </c>
      <c r="J22" s="2075"/>
      <c r="K22" s="2075"/>
      <c r="L22" s="2075"/>
      <c r="M22" s="2075"/>
      <c r="N22" s="2075"/>
      <c r="O22" s="2075"/>
      <c r="P22" s="2075"/>
      <c r="Q22" s="2075"/>
      <c r="R22" s="2075"/>
      <c r="S22" s="2076"/>
      <c r="T22" s="82" t="s">
        <v>1502</v>
      </c>
      <c r="U22" s="48"/>
      <c r="V22" s="69"/>
      <c r="W22" s="48"/>
      <c r="X22" s="155" t="s">
        <v>1309</v>
      </c>
      <c r="Z22" s="43"/>
      <c r="AA22" s="44"/>
    </row>
    <row r="23" spans="1:27" ht="13.5" customHeight="1" x14ac:dyDescent="0.2">
      <c r="A23" s="2069" t="s">
        <v>2031</v>
      </c>
      <c r="B23" s="2070"/>
      <c r="C23" s="2070"/>
      <c r="D23" s="2070"/>
      <c r="E23" s="2070"/>
      <c r="F23" s="2070"/>
      <c r="G23" s="2070"/>
      <c r="H23" s="2071"/>
      <c r="T23" s="2052" t="s">
        <v>2024</v>
      </c>
      <c r="U23" s="2106"/>
      <c r="V23" s="2106"/>
      <c r="W23" s="2106"/>
      <c r="X23" s="2110">
        <v>44530</v>
      </c>
      <c r="Y23" s="2111"/>
      <c r="Z23" s="2111"/>
      <c r="AA23" s="2112"/>
    </row>
    <row r="24" spans="1:27" ht="14.1" customHeight="1" x14ac:dyDescent="0.2">
      <c r="A24" s="85" t="s">
        <v>672</v>
      </c>
      <c r="B24" s="46"/>
      <c r="C24" s="46"/>
      <c r="D24" s="46"/>
      <c r="E24" s="46"/>
      <c r="F24" s="46"/>
      <c r="G24" s="46"/>
      <c r="H24" s="58"/>
      <c r="J24" s="2039" t="str">
        <f>IF(B5="x",IF(AUDITCHECK!D29="AFR form Incomplete.","",IF(AUDITCHECK!D29="Deficit reduction plan is required.","School District must complete a deficit reduction plan in the 2019-2020 Budget",)),"")</f>
        <v/>
      </c>
      <c r="K24" s="2039"/>
      <c r="L24" s="2039"/>
      <c r="M24" s="2039"/>
      <c r="N24" s="2039"/>
      <c r="O24" s="2039"/>
      <c r="P24" s="2039"/>
      <c r="Q24" s="2039"/>
      <c r="R24" s="2039"/>
      <c r="S24" s="2040"/>
      <c r="T24" s="102" t="s">
        <v>528</v>
      </c>
      <c r="U24" s="103"/>
      <c r="V24" s="103"/>
      <c r="W24" s="103"/>
      <c r="X24" s="104"/>
      <c r="Y24" s="104"/>
      <c r="Z24" s="104"/>
      <c r="AA24" s="105"/>
    </row>
    <row r="25" spans="1:27" ht="14.1" customHeight="1" x14ac:dyDescent="0.2">
      <c r="A25" s="2016">
        <v>61021</v>
      </c>
      <c r="B25" s="2017"/>
      <c r="C25" s="2017"/>
      <c r="D25" s="2017"/>
      <c r="E25" s="2017"/>
      <c r="F25" s="2017"/>
      <c r="G25" s="2017"/>
      <c r="H25" s="2018"/>
      <c r="I25" s="110"/>
      <c r="J25" s="2041"/>
      <c r="K25" s="2041"/>
      <c r="L25" s="2041"/>
      <c r="M25" s="2041"/>
      <c r="N25" s="2041"/>
      <c r="O25" s="2041"/>
      <c r="P25" s="2041"/>
      <c r="Q25" s="2041"/>
      <c r="R25" s="2041"/>
      <c r="S25" s="2042"/>
      <c r="T25" s="2103" t="s">
        <v>2025</v>
      </c>
      <c r="U25" s="2104"/>
      <c r="V25" s="2104"/>
      <c r="W25" s="2104"/>
      <c r="X25" s="2104"/>
      <c r="Y25" s="2104"/>
      <c r="Z25" s="2104"/>
      <c r="AA25" s="210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27" t="s">
        <v>1497</v>
      </c>
      <c r="J27" s="2028"/>
      <c r="K27" s="2028"/>
      <c r="L27" s="2028"/>
      <c r="M27" s="2028"/>
      <c r="N27" s="2028"/>
      <c r="O27" s="2028"/>
      <c r="P27" s="2028"/>
      <c r="Q27" s="2028"/>
      <c r="R27" s="2028"/>
      <c r="S27" s="202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2033</v>
      </c>
      <c r="F29" s="137" t="s">
        <v>1307</v>
      </c>
      <c r="G29" s="111"/>
      <c r="I29" s="51"/>
      <c r="J29" s="144" t="s">
        <v>2033</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2033</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2033</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8"/>
      <c r="Q35" s="2017"/>
      <c r="R35" s="201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2" t="s">
        <v>2032</v>
      </c>
      <c r="B38" s="2053"/>
      <c r="C38" s="2053"/>
      <c r="D38" s="2053"/>
      <c r="E38" s="2053"/>
      <c r="F38" s="2017"/>
      <c r="G38" s="2017"/>
      <c r="H38" s="2018"/>
      <c r="I38" s="2045"/>
      <c r="J38" s="2046"/>
      <c r="K38" s="2046"/>
      <c r="L38" s="2046"/>
      <c r="M38" s="2046"/>
      <c r="N38" s="2046"/>
      <c r="O38" s="2046"/>
      <c r="P38" s="2047"/>
      <c r="Q38" s="2047"/>
      <c r="R38" s="2047"/>
      <c r="S38" s="2048"/>
      <c r="T38" s="2089"/>
      <c r="U38" s="2046"/>
      <c r="V38" s="2046"/>
      <c r="W38" s="2046"/>
      <c r="X38" s="2047"/>
      <c r="Y38" s="2047"/>
      <c r="Z38" s="2047"/>
      <c r="AA38" s="2048"/>
    </row>
    <row r="39" spans="1:27" ht="12" customHeight="1" x14ac:dyDescent="0.2">
      <c r="A39" s="2022" t="s">
        <v>528</v>
      </c>
      <c r="B39" s="2023"/>
      <c r="C39" s="69"/>
      <c r="D39" s="66"/>
      <c r="E39" s="66"/>
      <c r="F39" s="76"/>
      <c r="G39" s="66"/>
      <c r="H39" s="53"/>
      <c r="I39" s="2022" t="s">
        <v>528</v>
      </c>
      <c r="J39" s="2023"/>
      <c r="K39" s="2023"/>
      <c r="L39" s="2023"/>
      <c r="M39" s="2023"/>
      <c r="N39" s="64"/>
      <c r="O39" s="69"/>
      <c r="P39" s="69"/>
      <c r="Q39" s="75"/>
      <c r="R39" s="69"/>
      <c r="S39" s="53"/>
      <c r="T39" s="69" t="s">
        <v>528</v>
      </c>
      <c r="U39" s="48"/>
      <c r="V39" s="69"/>
      <c r="W39" s="47"/>
      <c r="X39" s="75"/>
      <c r="Y39" s="43"/>
      <c r="Z39" s="43"/>
      <c r="AA39" s="44"/>
    </row>
    <row r="40" spans="1:27" ht="13.5" customHeight="1" x14ac:dyDescent="0.2">
      <c r="A40" s="2030" t="s">
        <v>2034</v>
      </c>
      <c r="B40" s="2031"/>
      <c r="C40" s="2032"/>
      <c r="D40" s="2032"/>
      <c r="E40" s="2032"/>
      <c r="F40" s="2033"/>
      <c r="G40" s="2033"/>
      <c r="H40" s="2034"/>
      <c r="I40" s="2055"/>
      <c r="J40" s="2056"/>
      <c r="K40" s="2056"/>
      <c r="L40" s="2056"/>
      <c r="M40" s="2056"/>
      <c r="N40" s="2056"/>
      <c r="O40" s="2056"/>
      <c r="P40" s="2056"/>
      <c r="Q40" s="2056"/>
      <c r="R40" s="2056"/>
      <c r="S40" s="2057"/>
      <c r="T40" s="2055"/>
      <c r="U40" s="2109"/>
      <c r="V40" s="2056"/>
      <c r="W40" s="2056"/>
      <c r="X40" s="2056"/>
      <c r="Y40" s="2056"/>
      <c r="Z40" s="2056"/>
      <c r="AA40" s="2057"/>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44" t="s">
        <v>2035</v>
      </c>
      <c r="B42" s="2036"/>
      <c r="C42" s="2037"/>
      <c r="D42" s="2035" t="s">
        <v>2036</v>
      </c>
      <c r="E42" s="2036"/>
      <c r="F42" s="2036"/>
      <c r="G42" s="2036"/>
      <c r="H42" s="2037"/>
      <c r="I42" s="2019"/>
      <c r="J42" s="2020"/>
      <c r="K42" s="2020"/>
      <c r="L42" s="2020"/>
      <c r="M42" s="2020"/>
      <c r="N42" s="2020"/>
      <c r="O42" s="2021"/>
      <c r="P42" s="2054"/>
      <c r="Q42" s="2020"/>
      <c r="R42" s="2020"/>
      <c r="S42" s="2021"/>
      <c r="T42" s="2019"/>
      <c r="U42" s="2020"/>
      <c r="V42" s="2020"/>
      <c r="W42" s="2021"/>
      <c r="X42" s="2054"/>
      <c r="Y42" s="2020"/>
      <c r="Z42" s="2020"/>
      <c r="AA42" s="202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49"/>
      <c r="B44" s="2050"/>
      <c r="C44" s="2050"/>
      <c r="D44" s="2050"/>
      <c r="E44" s="2050"/>
      <c r="F44" s="2050"/>
      <c r="G44" s="2050"/>
      <c r="H44" s="2051"/>
      <c r="I44" s="2024"/>
      <c r="J44" s="2025"/>
      <c r="K44" s="2025"/>
      <c r="L44" s="2025"/>
      <c r="M44" s="2025"/>
      <c r="N44" s="2025"/>
      <c r="O44" s="2025"/>
      <c r="P44" s="2025"/>
      <c r="Q44" s="2025"/>
      <c r="R44" s="2025"/>
      <c r="S44" s="2026"/>
      <c r="T44" s="2024"/>
      <c r="U44" s="2043"/>
      <c r="V44" s="2043"/>
      <c r="W44" s="2043"/>
      <c r="X44" s="2043"/>
      <c r="Y44" s="2043"/>
      <c r="Z44" s="2025"/>
      <c r="AA44" s="202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7" activePane="bottomLeft" state="frozen"/>
      <selection activeCell="B7" sqref="B7"/>
      <selection pane="bottomLeft" activeCell="E72" sqref="E7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08"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4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48" t="s">
        <v>294</v>
      </c>
      <c r="B3" s="2249"/>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7786768</v>
      </c>
      <c r="D5" s="1623">
        <v>4174461</v>
      </c>
      <c r="E5" s="1623">
        <v>153765</v>
      </c>
      <c r="F5" s="1623">
        <v>55800</v>
      </c>
      <c r="G5" s="1623">
        <v>501548</v>
      </c>
      <c r="H5" s="1623">
        <v>33318</v>
      </c>
      <c r="I5" s="1624"/>
      <c r="J5" s="1624"/>
      <c r="K5" s="1722">
        <f>SUM(C5:J5)</f>
        <v>12705660</v>
      </c>
      <c r="L5" s="1623">
        <v>12851358</v>
      </c>
    </row>
    <row r="6" spans="1:14" x14ac:dyDescent="0.2">
      <c r="A6" s="1319" t="s">
        <v>1419</v>
      </c>
      <c r="B6" s="503" t="s">
        <v>1417</v>
      </c>
      <c r="C6" s="1632"/>
      <c r="D6" s="1632"/>
      <c r="E6" s="1623"/>
      <c r="F6" s="1632"/>
      <c r="G6" s="1632"/>
      <c r="H6" s="1632"/>
      <c r="I6" s="1632"/>
      <c r="J6" s="1632"/>
      <c r="K6" s="1722">
        <f>SUM(C6,E6)</f>
        <v>0</v>
      </c>
      <c r="L6" s="1623">
        <v>111127</v>
      </c>
    </row>
    <row r="7" spans="1:14" x14ac:dyDescent="0.2">
      <c r="A7" s="1319" t="s">
        <v>162</v>
      </c>
      <c r="B7" s="503" t="s">
        <v>961</v>
      </c>
      <c r="C7" s="1624">
        <v>134296</v>
      </c>
      <c r="D7" s="1624">
        <v>11006</v>
      </c>
      <c r="E7" s="1624">
        <v>755</v>
      </c>
      <c r="F7" s="1624">
        <v>3554</v>
      </c>
      <c r="G7" s="1624"/>
      <c r="H7" s="1624"/>
      <c r="I7" s="1624"/>
      <c r="J7" s="1624"/>
      <c r="K7" s="1722">
        <f t="shared" ref="K7:K32" si="0">SUM(C7:J7)</f>
        <v>149611</v>
      </c>
      <c r="L7" s="1623">
        <v>211849</v>
      </c>
    </row>
    <row r="8" spans="1:14" x14ac:dyDescent="0.2">
      <c r="A8" s="1319" t="s">
        <v>163</v>
      </c>
      <c r="B8" s="503">
        <v>1200</v>
      </c>
      <c r="C8" s="1623">
        <v>1837184</v>
      </c>
      <c r="D8" s="1623">
        <v>272148</v>
      </c>
      <c r="E8" s="1623"/>
      <c r="F8" s="1623">
        <v>349</v>
      </c>
      <c r="G8" s="1623"/>
      <c r="H8" s="1623"/>
      <c r="I8" s="1624"/>
      <c r="J8" s="1624"/>
      <c r="K8" s="1722">
        <f t="shared" si="0"/>
        <v>2109681</v>
      </c>
      <c r="L8" s="1623">
        <v>1904056</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428159</v>
      </c>
      <c r="D10" s="1623">
        <v>74727</v>
      </c>
      <c r="E10" s="1623"/>
      <c r="F10" s="1623">
        <v>87705</v>
      </c>
      <c r="G10" s="1623"/>
      <c r="H10" s="1623"/>
      <c r="I10" s="1624"/>
      <c r="J10" s="1624"/>
      <c r="K10" s="1722">
        <f t="shared" si="0"/>
        <v>590591</v>
      </c>
      <c r="L10" s="1623">
        <v>404128</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70201</v>
      </c>
      <c r="D13" s="1623">
        <v>9776</v>
      </c>
      <c r="E13" s="1623"/>
      <c r="F13" s="1623">
        <v>8406</v>
      </c>
      <c r="G13" s="1623"/>
      <c r="H13" s="1623"/>
      <c r="I13" s="1624"/>
      <c r="J13" s="1624"/>
      <c r="K13" s="1722">
        <f t="shared" si="0"/>
        <v>88383</v>
      </c>
      <c r="L13" s="1623">
        <v>76014</v>
      </c>
    </row>
    <row r="14" spans="1:14" x14ac:dyDescent="0.2">
      <c r="A14" s="1319" t="s">
        <v>957</v>
      </c>
      <c r="B14" s="503">
        <v>1500</v>
      </c>
      <c r="C14" s="1623">
        <v>439604</v>
      </c>
      <c r="D14" s="1623">
        <v>38032</v>
      </c>
      <c r="E14" s="1623">
        <v>32208</v>
      </c>
      <c r="F14" s="1623">
        <v>13955</v>
      </c>
      <c r="G14" s="1623"/>
      <c r="H14" s="1623">
        <v>20192</v>
      </c>
      <c r="I14" s="1624"/>
      <c r="J14" s="1624"/>
      <c r="K14" s="1722">
        <f t="shared" si="0"/>
        <v>543991</v>
      </c>
      <c r="L14" s="1623">
        <v>550412</v>
      </c>
    </row>
    <row r="15" spans="1:14" x14ac:dyDescent="0.2">
      <c r="A15" s="1319" t="s">
        <v>958</v>
      </c>
      <c r="B15" s="503">
        <v>1600</v>
      </c>
      <c r="C15" s="1623">
        <v>15766</v>
      </c>
      <c r="D15" s="1623">
        <v>1849</v>
      </c>
      <c r="E15" s="1623"/>
      <c r="F15" s="1623"/>
      <c r="G15" s="1623"/>
      <c r="H15" s="1623"/>
      <c r="I15" s="1624"/>
      <c r="J15" s="1624"/>
      <c r="K15" s="1722">
        <f t="shared" si="0"/>
        <v>17615</v>
      </c>
      <c r="L15" s="1623">
        <v>24778</v>
      </c>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3.15" customHeight="1" x14ac:dyDescent="0.2">
      <c r="A24" s="1320" t="s">
        <v>737</v>
      </c>
      <c r="B24" s="494" t="s">
        <v>724</v>
      </c>
      <c r="C24" s="1632"/>
      <c r="D24" s="1632"/>
      <c r="E24" s="1632"/>
      <c r="F24" s="1632"/>
      <c r="G24" s="1632"/>
      <c r="H24" s="1629"/>
      <c r="I24" s="1723"/>
      <c r="J24" s="1632"/>
      <c r="K24" s="1722">
        <f t="shared" si="0"/>
        <v>0</v>
      </c>
      <c r="L24" s="1627"/>
    </row>
    <row r="25" spans="1:12" ht="13.1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3.15" customHeight="1" thickBot="1" x14ac:dyDescent="0.25">
      <c r="A33" s="1429" t="s">
        <v>1652</v>
      </c>
      <c r="B33" s="1430" t="s">
        <v>566</v>
      </c>
      <c r="C33" s="1724">
        <f>SUM(C5:C32)</f>
        <v>10711978</v>
      </c>
      <c r="D33" s="1724">
        <f t="shared" ref="D33:L33" si="1">SUM(D5:D32)</f>
        <v>4581999</v>
      </c>
      <c r="E33" s="1724">
        <f t="shared" si="1"/>
        <v>186728</v>
      </c>
      <c r="F33" s="1724">
        <f t="shared" si="1"/>
        <v>169769</v>
      </c>
      <c r="G33" s="1724">
        <f t="shared" si="1"/>
        <v>501548</v>
      </c>
      <c r="H33" s="1724">
        <f t="shared" si="1"/>
        <v>53510</v>
      </c>
      <c r="I33" s="1724">
        <f t="shared" si="1"/>
        <v>0</v>
      </c>
      <c r="J33" s="1724">
        <f t="shared" si="1"/>
        <v>0</v>
      </c>
      <c r="K33" s="1724">
        <f t="shared" si="1"/>
        <v>16205532</v>
      </c>
      <c r="L33" s="1724">
        <f t="shared" si="1"/>
        <v>16133722</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v>587547</v>
      </c>
      <c r="D37" s="1623">
        <v>203978</v>
      </c>
      <c r="E37" s="1623"/>
      <c r="F37" s="1623"/>
      <c r="G37" s="1623"/>
      <c r="H37" s="1623"/>
      <c r="I37" s="1624"/>
      <c r="J37" s="1624"/>
      <c r="K37" s="1722">
        <f t="shared" si="2"/>
        <v>791525</v>
      </c>
      <c r="L37" s="1623">
        <v>470663</v>
      </c>
    </row>
    <row r="38" spans="1:14" x14ac:dyDescent="0.2">
      <c r="A38" s="1319" t="s">
        <v>196</v>
      </c>
      <c r="B38" s="503">
        <v>2130</v>
      </c>
      <c r="C38" s="1623">
        <v>156161</v>
      </c>
      <c r="D38" s="1623"/>
      <c r="E38" s="1623">
        <v>1801</v>
      </c>
      <c r="F38" s="1623">
        <v>5476</v>
      </c>
      <c r="G38" s="1623"/>
      <c r="H38" s="1623"/>
      <c r="I38" s="1624"/>
      <c r="J38" s="1624"/>
      <c r="K38" s="1722">
        <f t="shared" si="2"/>
        <v>163438</v>
      </c>
      <c r="L38" s="1623">
        <v>161161</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v>82624</v>
      </c>
      <c r="D40" s="1623">
        <v>10194</v>
      </c>
      <c r="E40" s="1623"/>
      <c r="F40" s="1623"/>
      <c r="G40" s="1623"/>
      <c r="H40" s="1623"/>
      <c r="I40" s="1624"/>
      <c r="J40" s="1624"/>
      <c r="K40" s="1722">
        <f t="shared" si="2"/>
        <v>92818</v>
      </c>
      <c r="L40" s="1623">
        <v>92819</v>
      </c>
    </row>
    <row r="41" spans="1:14" x14ac:dyDescent="0.2">
      <c r="A41" s="1319" t="s">
        <v>1653</v>
      </c>
      <c r="B41" s="503">
        <v>2190</v>
      </c>
      <c r="C41" s="1623">
        <v>6661</v>
      </c>
      <c r="D41" s="1623">
        <v>295</v>
      </c>
      <c r="E41" s="1623"/>
      <c r="F41" s="1623"/>
      <c r="G41" s="1623"/>
      <c r="H41" s="1623"/>
      <c r="I41" s="1624"/>
      <c r="J41" s="1624"/>
      <c r="K41" s="1722">
        <f t="shared" si="2"/>
        <v>6956</v>
      </c>
      <c r="L41" s="1623"/>
    </row>
    <row r="42" spans="1:14" ht="13.15" customHeight="1" thickBot="1" x14ac:dyDescent="0.25">
      <c r="A42" s="1429" t="s">
        <v>556</v>
      </c>
      <c r="B42" s="1430" t="s">
        <v>711</v>
      </c>
      <c r="C42" s="1724">
        <f>SUM(C36:C41)</f>
        <v>832993</v>
      </c>
      <c r="D42" s="1724">
        <f t="shared" ref="D42:L42" si="3">SUM(D36:D41)</f>
        <v>214467</v>
      </c>
      <c r="E42" s="1724">
        <f t="shared" si="3"/>
        <v>1801</v>
      </c>
      <c r="F42" s="1724">
        <f t="shared" si="3"/>
        <v>5476</v>
      </c>
      <c r="G42" s="1724">
        <f t="shared" si="3"/>
        <v>0</v>
      </c>
      <c r="H42" s="1724">
        <f t="shared" si="3"/>
        <v>0</v>
      </c>
      <c r="I42" s="1724">
        <f t="shared" si="3"/>
        <v>0</v>
      </c>
      <c r="J42" s="1724">
        <f t="shared" si="3"/>
        <v>0</v>
      </c>
      <c r="K42" s="1724">
        <f t="shared" si="3"/>
        <v>1054737</v>
      </c>
      <c r="L42" s="1724">
        <f t="shared" si="3"/>
        <v>724643</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207038</v>
      </c>
      <c r="D44" s="1636">
        <v>60135</v>
      </c>
      <c r="E44" s="1636">
        <v>147559</v>
      </c>
      <c r="F44" s="1636">
        <v>154525</v>
      </c>
      <c r="G44" s="1636"/>
      <c r="H44" s="1636">
        <v>16707</v>
      </c>
      <c r="I44" s="1624"/>
      <c r="J44" s="1624"/>
      <c r="K44" s="1728">
        <f>SUM(C44:J44)</f>
        <v>585964</v>
      </c>
      <c r="L44" s="1636">
        <v>263889</v>
      </c>
    </row>
    <row r="45" spans="1:14" x14ac:dyDescent="0.2">
      <c r="A45" s="1319" t="s">
        <v>810</v>
      </c>
      <c r="B45" s="503">
        <v>2220</v>
      </c>
      <c r="C45" s="1623">
        <v>48084</v>
      </c>
      <c r="D45" s="1623"/>
      <c r="E45" s="1623">
        <v>34</v>
      </c>
      <c r="F45" s="1623">
        <v>16338</v>
      </c>
      <c r="G45" s="1623"/>
      <c r="H45" s="1623"/>
      <c r="I45" s="1624"/>
      <c r="J45" s="1624"/>
      <c r="K45" s="1728">
        <f>SUM(C45:J45)</f>
        <v>64456</v>
      </c>
      <c r="L45" s="1623">
        <v>61712</v>
      </c>
    </row>
    <row r="46" spans="1:14" x14ac:dyDescent="0.2">
      <c r="A46" s="1319" t="s">
        <v>811</v>
      </c>
      <c r="B46" s="503">
        <v>2230</v>
      </c>
      <c r="C46" s="1623"/>
      <c r="D46" s="1623"/>
      <c r="E46" s="1623"/>
      <c r="F46" s="1623"/>
      <c r="G46" s="1623"/>
      <c r="H46" s="1623"/>
      <c r="I46" s="1624"/>
      <c r="J46" s="1624"/>
      <c r="K46" s="1728">
        <f>SUM(C46:J46)</f>
        <v>0</v>
      </c>
      <c r="L46" s="1623"/>
    </row>
    <row r="47" spans="1:14" ht="13.15" customHeight="1" thickBot="1" x14ac:dyDescent="0.25">
      <c r="A47" s="1429" t="s">
        <v>557</v>
      </c>
      <c r="B47" s="1430" t="s">
        <v>32</v>
      </c>
      <c r="C47" s="1724">
        <f>SUM(C44:C46)</f>
        <v>255122</v>
      </c>
      <c r="D47" s="1724">
        <f t="shared" ref="D47:K47" si="4">SUM(D44:D46)</f>
        <v>60135</v>
      </c>
      <c r="E47" s="1724">
        <f t="shared" si="4"/>
        <v>147593</v>
      </c>
      <c r="F47" s="1724">
        <f t="shared" si="4"/>
        <v>170863</v>
      </c>
      <c r="G47" s="1724">
        <f t="shared" si="4"/>
        <v>0</v>
      </c>
      <c r="H47" s="1724">
        <f t="shared" si="4"/>
        <v>16707</v>
      </c>
      <c r="I47" s="1724">
        <f t="shared" si="4"/>
        <v>0</v>
      </c>
      <c r="J47" s="1724">
        <f t="shared" si="4"/>
        <v>0</v>
      </c>
      <c r="K47" s="1724">
        <f t="shared" si="4"/>
        <v>650420</v>
      </c>
      <c r="L47" s="1724">
        <f>SUM(L44:L46)</f>
        <v>325601</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v>189455</v>
      </c>
      <c r="F49" s="1636">
        <v>77778</v>
      </c>
      <c r="G49" s="1636"/>
      <c r="H49" s="1636">
        <v>8877</v>
      </c>
      <c r="I49" s="1624"/>
      <c r="J49" s="1624"/>
      <c r="K49" s="1728">
        <f>SUM(C49:J49)</f>
        <v>276110</v>
      </c>
      <c r="L49" s="1636">
        <v>272975</v>
      </c>
    </row>
    <row r="50" spans="1:14" x14ac:dyDescent="0.2">
      <c r="A50" s="1319" t="s">
        <v>813</v>
      </c>
      <c r="B50" s="503">
        <v>2320</v>
      </c>
      <c r="C50" s="1623">
        <v>199006</v>
      </c>
      <c r="D50" s="1623">
        <v>62738</v>
      </c>
      <c r="E50" s="1623">
        <v>4095</v>
      </c>
      <c r="F50" s="1623">
        <v>546</v>
      </c>
      <c r="G50" s="1623"/>
      <c r="H50" s="1623">
        <v>2287</v>
      </c>
      <c r="I50" s="1624"/>
      <c r="J50" s="1624"/>
      <c r="K50" s="1728">
        <f>SUM(C50:J50)</f>
        <v>268672</v>
      </c>
      <c r="L50" s="1623">
        <v>232246</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3.15" customHeight="1" thickBot="1" x14ac:dyDescent="0.25">
      <c r="A53" s="1429" t="s">
        <v>712</v>
      </c>
      <c r="B53" s="1430" t="s">
        <v>33</v>
      </c>
      <c r="C53" s="1724">
        <f>SUM(C49:C52)</f>
        <v>199006</v>
      </c>
      <c r="D53" s="1724">
        <f t="shared" ref="D53:L53" si="5">SUM(D49:D52)</f>
        <v>62738</v>
      </c>
      <c r="E53" s="1724">
        <f t="shared" si="5"/>
        <v>193550</v>
      </c>
      <c r="F53" s="1724">
        <f t="shared" si="5"/>
        <v>78324</v>
      </c>
      <c r="G53" s="1724">
        <f t="shared" si="5"/>
        <v>0</v>
      </c>
      <c r="H53" s="1724">
        <f t="shared" si="5"/>
        <v>11164</v>
      </c>
      <c r="I53" s="1724">
        <f t="shared" si="5"/>
        <v>0</v>
      </c>
      <c r="J53" s="1724">
        <f t="shared" si="5"/>
        <v>0</v>
      </c>
      <c r="K53" s="1724">
        <f t="shared" si="5"/>
        <v>544782</v>
      </c>
      <c r="L53" s="1724">
        <f t="shared" si="5"/>
        <v>505221</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975412</v>
      </c>
      <c r="D55" s="1636">
        <v>348099</v>
      </c>
      <c r="E55" s="1636">
        <v>66098</v>
      </c>
      <c r="F55" s="1636">
        <v>47025</v>
      </c>
      <c r="G55" s="1636">
        <v>1712</v>
      </c>
      <c r="H55" s="1636">
        <v>4161</v>
      </c>
      <c r="I55" s="1624"/>
      <c r="J55" s="1624"/>
      <c r="K55" s="1728">
        <f>SUM(C55:J55)</f>
        <v>1442507</v>
      </c>
      <c r="L55" s="1636">
        <v>1252866</v>
      </c>
    </row>
    <row r="56" spans="1:14" ht="13.15" customHeight="1" x14ac:dyDescent="0.2">
      <c r="A56" s="1323" t="s">
        <v>373</v>
      </c>
      <c r="B56" s="512">
        <v>2490</v>
      </c>
      <c r="C56" s="1623"/>
      <c r="D56" s="1623"/>
      <c r="E56" s="1623"/>
      <c r="F56" s="1623"/>
      <c r="G56" s="1623"/>
      <c r="H56" s="1623"/>
      <c r="I56" s="1624"/>
      <c r="J56" s="1624"/>
      <c r="K56" s="1728">
        <f>SUM(C56:J56)</f>
        <v>0</v>
      </c>
      <c r="L56" s="1623"/>
    </row>
    <row r="57" spans="1:14" s="321" customFormat="1" ht="13.15" customHeight="1" thickBot="1" x14ac:dyDescent="0.25">
      <c r="A57" s="1429" t="s">
        <v>261</v>
      </c>
      <c r="B57" s="1431" t="s">
        <v>34</v>
      </c>
      <c r="C57" s="1729">
        <f>SUM(C55:C56)</f>
        <v>975412</v>
      </c>
      <c r="D57" s="1729">
        <f t="shared" ref="D57:K57" si="6">SUM(D55:D56)</f>
        <v>348099</v>
      </c>
      <c r="E57" s="1729">
        <f t="shared" si="6"/>
        <v>66098</v>
      </c>
      <c r="F57" s="1729">
        <f t="shared" si="6"/>
        <v>47025</v>
      </c>
      <c r="G57" s="1729">
        <f t="shared" si="6"/>
        <v>1712</v>
      </c>
      <c r="H57" s="1729">
        <f t="shared" si="6"/>
        <v>4161</v>
      </c>
      <c r="I57" s="1729">
        <f t="shared" si="6"/>
        <v>0</v>
      </c>
      <c r="J57" s="1729">
        <f t="shared" si="6"/>
        <v>0</v>
      </c>
      <c r="K57" s="1729">
        <f t="shared" si="6"/>
        <v>1442507</v>
      </c>
      <c r="L57" s="1724">
        <f>SUM(L55:L56)</f>
        <v>1252866</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123898</v>
      </c>
      <c r="D59" s="1636">
        <v>41164</v>
      </c>
      <c r="E59" s="1636">
        <v>145</v>
      </c>
      <c r="F59" s="1636">
        <v>920</v>
      </c>
      <c r="G59" s="1636"/>
      <c r="H59" s="1636">
        <v>340</v>
      </c>
      <c r="I59" s="1624"/>
      <c r="J59" s="1624"/>
      <c r="K59" s="1728">
        <f t="shared" ref="K59:K64" si="7">SUM(C59:J59)</f>
        <v>166467</v>
      </c>
      <c r="L59" s="1636">
        <v>122983</v>
      </c>
      <c r="M59" s="501"/>
      <c r="N59" s="501"/>
    </row>
    <row r="60" spans="1:14" s="321" customFormat="1" x14ac:dyDescent="0.2">
      <c r="A60" s="1319" t="s">
        <v>460</v>
      </c>
      <c r="B60" s="503">
        <v>2520</v>
      </c>
      <c r="C60" s="1623">
        <v>37637</v>
      </c>
      <c r="D60" s="1623"/>
      <c r="E60" s="1623">
        <v>346</v>
      </c>
      <c r="F60" s="1623"/>
      <c r="G60" s="1623"/>
      <c r="H60" s="1623"/>
      <c r="I60" s="1624"/>
      <c r="J60" s="1624"/>
      <c r="K60" s="1728">
        <f t="shared" si="7"/>
        <v>37983</v>
      </c>
      <c r="L60" s="1623">
        <v>36506</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v>552724</v>
      </c>
      <c r="F63" s="1623">
        <v>5276</v>
      </c>
      <c r="G63" s="1623">
        <v>23596</v>
      </c>
      <c r="H63" s="1623"/>
      <c r="I63" s="1624"/>
      <c r="J63" s="1624"/>
      <c r="K63" s="1728">
        <f t="shared" si="7"/>
        <v>581596</v>
      </c>
      <c r="L63" s="1623">
        <v>621530</v>
      </c>
    </row>
    <row r="64" spans="1:14" s="501" customFormat="1" x14ac:dyDescent="0.2">
      <c r="A64" s="1324" t="s">
        <v>101</v>
      </c>
      <c r="B64" s="513">
        <v>2570</v>
      </c>
      <c r="C64" s="1636">
        <v>35660</v>
      </c>
      <c r="D64" s="1636"/>
      <c r="E64" s="1636"/>
      <c r="F64" s="1636">
        <v>558</v>
      </c>
      <c r="G64" s="1636"/>
      <c r="H64" s="1636"/>
      <c r="I64" s="1624"/>
      <c r="J64" s="1624"/>
      <c r="K64" s="1728">
        <f t="shared" si="7"/>
        <v>36218</v>
      </c>
      <c r="L64" s="1636">
        <v>36714</v>
      </c>
    </row>
    <row r="65" spans="1:14" s="321" customFormat="1" ht="13.15" customHeight="1" thickBot="1" x14ac:dyDescent="0.25">
      <c r="A65" s="1429" t="s">
        <v>714</v>
      </c>
      <c r="B65" s="1430" t="s">
        <v>35</v>
      </c>
      <c r="C65" s="1724">
        <f>SUM(C59:C64)</f>
        <v>197195</v>
      </c>
      <c r="D65" s="1724">
        <f t="shared" ref="D65:L65" si="8">SUM(D59:D64)</f>
        <v>41164</v>
      </c>
      <c r="E65" s="1724">
        <f t="shared" si="8"/>
        <v>553215</v>
      </c>
      <c r="F65" s="1724">
        <f t="shared" si="8"/>
        <v>6754</v>
      </c>
      <c r="G65" s="1724">
        <f t="shared" si="8"/>
        <v>23596</v>
      </c>
      <c r="H65" s="1724">
        <f t="shared" si="8"/>
        <v>340</v>
      </c>
      <c r="I65" s="1724">
        <f t="shared" si="8"/>
        <v>0</v>
      </c>
      <c r="J65" s="1724">
        <f t="shared" si="8"/>
        <v>0</v>
      </c>
      <c r="K65" s="1724">
        <f t="shared" si="8"/>
        <v>822264</v>
      </c>
      <c r="L65" s="1724">
        <f t="shared" si="8"/>
        <v>817733</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v>25500</v>
      </c>
      <c r="F71" s="1623"/>
      <c r="G71" s="1623"/>
      <c r="H71" s="1623"/>
      <c r="I71" s="1624"/>
      <c r="J71" s="1624"/>
      <c r="K71" s="1728">
        <f>SUM(C71:J71)</f>
        <v>25500</v>
      </c>
      <c r="L71" s="1623">
        <v>166758</v>
      </c>
      <c r="M71" s="501"/>
      <c r="N71" s="501"/>
    </row>
    <row r="72" spans="1:14" s="321" customFormat="1" ht="13.15" customHeight="1" thickBot="1" x14ac:dyDescent="0.25">
      <c r="A72" s="1429" t="s">
        <v>37</v>
      </c>
      <c r="B72" s="1432" t="s">
        <v>36</v>
      </c>
      <c r="C72" s="1724">
        <f>SUM(C67:C71)</f>
        <v>0</v>
      </c>
      <c r="D72" s="1724">
        <f t="shared" ref="D72:K72" si="9">SUM(D67:D71)</f>
        <v>0</v>
      </c>
      <c r="E72" s="1724">
        <f t="shared" si="9"/>
        <v>25500</v>
      </c>
      <c r="F72" s="1724">
        <f t="shared" si="9"/>
        <v>0</v>
      </c>
      <c r="G72" s="1724">
        <f t="shared" si="9"/>
        <v>0</v>
      </c>
      <c r="H72" s="1724">
        <f t="shared" si="9"/>
        <v>0</v>
      </c>
      <c r="I72" s="1724">
        <f t="shared" si="9"/>
        <v>0</v>
      </c>
      <c r="J72" s="1724">
        <f t="shared" si="9"/>
        <v>0</v>
      </c>
      <c r="K72" s="1724">
        <f t="shared" si="9"/>
        <v>25500</v>
      </c>
      <c r="L72" s="1724">
        <f>SUM(L67:L71)</f>
        <v>166758</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v>8000</v>
      </c>
      <c r="M73" s="501"/>
      <c r="N73" s="501"/>
    </row>
    <row r="74" spans="1:14" ht="13.15" customHeight="1" thickTop="1" thickBot="1" x14ac:dyDescent="0.25">
      <c r="A74" s="1429" t="s">
        <v>806</v>
      </c>
      <c r="B74" s="1433">
        <v>2000</v>
      </c>
      <c r="C74" s="1731">
        <f>SUM(C42,C47,C53,C57,C65,C72,C73)</f>
        <v>2459728</v>
      </c>
      <c r="D74" s="1731">
        <f t="shared" ref="D74:K74" si="10">SUM(D42,D47,D53,D57,D65,D72,D73)</f>
        <v>726603</v>
      </c>
      <c r="E74" s="1731">
        <f t="shared" si="10"/>
        <v>987757</v>
      </c>
      <c r="F74" s="1731">
        <f t="shared" si="10"/>
        <v>308442</v>
      </c>
      <c r="G74" s="1731">
        <f t="shared" si="10"/>
        <v>25308</v>
      </c>
      <c r="H74" s="1731">
        <f t="shared" si="10"/>
        <v>32372</v>
      </c>
      <c r="I74" s="1731">
        <f t="shared" si="10"/>
        <v>0</v>
      </c>
      <c r="J74" s="1731">
        <f t="shared" si="10"/>
        <v>0</v>
      </c>
      <c r="K74" s="1731">
        <f t="shared" si="10"/>
        <v>4540210</v>
      </c>
      <c r="L74" s="1731">
        <f>SUM(L42,L47,L53,L57,L65,L72,L73)</f>
        <v>3800822</v>
      </c>
    </row>
    <row r="75" spans="1:14" s="254" customFormat="1" ht="15.75" customHeight="1" thickTop="1" thickBot="1" x14ac:dyDescent="0.25">
      <c r="A75" s="1393" t="s">
        <v>47</v>
      </c>
      <c r="B75" s="1394" t="s">
        <v>571</v>
      </c>
      <c r="C75" s="1699">
        <f>25625+11874</f>
        <v>37499</v>
      </c>
      <c r="D75" s="1699"/>
      <c r="E75" s="1699">
        <f>4466+2585</f>
        <v>7051</v>
      </c>
      <c r="F75" s="1699">
        <f>502+11823</f>
        <v>12325</v>
      </c>
      <c r="G75" s="1699"/>
      <c r="H75" s="1699"/>
      <c r="I75" s="1677"/>
      <c r="J75" s="1677"/>
      <c r="K75" s="1724">
        <f>SUM(C75:J75)</f>
        <v>56875</v>
      </c>
      <c r="L75" s="1701">
        <v>64223</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v>1034170</v>
      </c>
      <c r="I79" s="1632"/>
      <c r="J79" s="1632"/>
      <c r="K79" s="1722">
        <f t="shared" si="11"/>
        <v>1034170</v>
      </c>
      <c r="L79" s="1623">
        <v>1108301</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v>16737</v>
      </c>
      <c r="I83" s="1632"/>
      <c r="J83" s="1632"/>
      <c r="K83" s="1722">
        <f t="shared" si="11"/>
        <v>16737</v>
      </c>
      <c r="L83" s="1623"/>
    </row>
    <row r="84" spans="1:12" ht="13.5" thickBot="1" x14ac:dyDescent="0.25">
      <c r="A84" s="1429" t="s">
        <v>1471</v>
      </c>
      <c r="B84" s="1434">
        <v>4100</v>
      </c>
      <c r="C84" s="1723"/>
      <c r="D84" s="1723"/>
      <c r="E84" s="1724">
        <f>SUM(E78:E83)</f>
        <v>0</v>
      </c>
      <c r="F84" s="1723"/>
      <c r="G84" s="1723"/>
      <c r="H84" s="1724">
        <f>SUM(H78:H83)</f>
        <v>1050907</v>
      </c>
      <c r="I84" s="1632"/>
      <c r="J84" s="1632"/>
      <c r="K84" s="1724">
        <f>SUM(K78:K83)</f>
        <v>1050907</v>
      </c>
      <c r="L84" s="1724">
        <f>SUM(L78:L83)</f>
        <v>1108301</v>
      </c>
    </row>
    <row r="85" spans="1:12" ht="13.15" customHeight="1" thickTop="1" thickBot="1" x14ac:dyDescent="0.25">
      <c r="A85" s="1326" t="s">
        <v>253</v>
      </c>
      <c r="B85" s="517">
        <v>4210</v>
      </c>
      <c r="C85" s="1723"/>
      <c r="D85" s="1723"/>
      <c r="E85" s="1733"/>
      <c r="F85" s="1723"/>
      <c r="G85" s="1723"/>
      <c r="H85" s="1680"/>
      <c r="I85" s="1632"/>
      <c r="J85" s="1632"/>
      <c r="K85" s="1731">
        <f>H85</f>
        <v>0</v>
      </c>
      <c r="L85" s="1676"/>
    </row>
    <row r="86" spans="1:12" ht="13.15" customHeight="1" thickTop="1" thickBot="1" x14ac:dyDescent="0.25">
      <c r="A86" s="1327" t="s">
        <v>694</v>
      </c>
      <c r="B86" s="518">
        <v>4220</v>
      </c>
      <c r="C86" s="1723"/>
      <c r="D86" s="1723"/>
      <c r="E86" s="1734"/>
      <c r="F86" s="1723"/>
      <c r="G86" s="1723"/>
      <c r="H86" s="1624">
        <v>1320035</v>
      </c>
      <c r="I86" s="1632"/>
      <c r="J86" s="1632"/>
      <c r="K86" s="1731">
        <f t="shared" ref="K86:K98" si="12">H86</f>
        <v>1320035</v>
      </c>
      <c r="L86" s="1676">
        <v>1080640</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3.15" customHeight="1" thickTop="1" thickBot="1" x14ac:dyDescent="0.25">
      <c r="A88" s="1328" t="s">
        <v>760</v>
      </c>
      <c r="B88" s="519">
        <v>4240</v>
      </c>
      <c r="C88" s="1723"/>
      <c r="D88" s="1723"/>
      <c r="E88" s="1734"/>
      <c r="F88" s="1723"/>
      <c r="G88" s="1723"/>
      <c r="H88" s="1624">
        <v>105110</v>
      </c>
      <c r="I88" s="1632"/>
      <c r="J88" s="1632"/>
      <c r="K88" s="1731">
        <f t="shared" si="12"/>
        <v>105110</v>
      </c>
      <c r="L88" s="1676">
        <v>105110</v>
      </c>
    </row>
    <row r="89" spans="1:12" ht="13.15" customHeight="1" thickTop="1" thickBot="1" x14ac:dyDescent="0.25">
      <c r="A89" s="1328" t="s">
        <v>696</v>
      </c>
      <c r="B89" s="519">
        <v>4270</v>
      </c>
      <c r="C89" s="1723"/>
      <c r="D89" s="1723"/>
      <c r="E89" s="1734"/>
      <c r="F89" s="1723"/>
      <c r="G89" s="1723"/>
      <c r="H89" s="1624"/>
      <c r="I89" s="1632"/>
      <c r="J89" s="1632"/>
      <c r="K89" s="1731">
        <f t="shared" si="12"/>
        <v>0</v>
      </c>
      <c r="L89" s="1676"/>
    </row>
    <row r="90" spans="1:12" ht="13.15" customHeight="1" thickTop="1" thickBot="1" x14ac:dyDescent="0.25">
      <c r="A90" s="1328" t="s">
        <v>681</v>
      </c>
      <c r="B90" s="519">
        <v>4280</v>
      </c>
      <c r="C90" s="1723"/>
      <c r="D90" s="1723"/>
      <c r="E90" s="1734"/>
      <c r="F90" s="1723"/>
      <c r="G90" s="1723"/>
      <c r="H90" s="1624"/>
      <c r="I90" s="1632"/>
      <c r="J90" s="1632"/>
      <c r="K90" s="1731">
        <f t="shared" si="12"/>
        <v>0</v>
      </c>
      <c r="L90" s="1676"/>
    </row>
    <row r="91" spans="1:12" ht="13.1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1425145</v>
      </c>
      <c r="I92" s="1632"/>
      <c r="J92" s="1632"/>
      <c r="K92" s="1731">
        <f t="shared" si="12"/>
        <v>1425145</v>
      </c>
      <c r="L92" s="1724">
        <f>SUM(L85:L91)</f>
        <v>1185750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3.1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3.1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3.1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3.15" customHeight="1" thickTop="1" thickBot="1" x14ac:dyDescent="0.25">
      <c r="A102" s="1429" t="s">
        <v>1473</v>
      </c>
      <c r="B102" s="1434">
        <v>4000</v>
      </c>
      <c r="C102" s="1723"/>
      <c r="D102" s="1723"/>
      <c r="E102" s="1731">
        <f>SUM(E84,E92,E100,E101)</f>
        <v>0</v>
      </c>
      <c r="F102" s="1723"/>
      <c r="G102" s="1723"/>
      <c r="H102" s="1731">
        <f>SUM(H84,H92,H100,H101)</f>
        <v>2476052</v>
      </c>
      <c r="I102" s="1632"/>
      <c r="J102" s="1632"/>
      <c r="K102" s="1731">
        <f>SUM(K84,K92,K100,K101)</f>
        <v>2476052</v>
      </c>
      <c r="L102" s="1731">
        <f>SUM(L84,L92,L100,L101)</f>
        <v>2294051</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3.1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3.1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3.1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3.1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3.15" customHeight="1" thickTop="1" thickBot="1" x14ac:dyDescent="0.25">
      <c r="A114" s="1429" t="s">
        <v>48</v>
      </c>
      <c r="B114" s="1437"/>
      <c r="C114" s="1724">
        <f>SUM(C33,C74,C75,C102,C112,C113)</f>
        <v>13209205</v>
      </c>
      <c r="D114" s="1724">
        <f t="shared" ref="D114:K114" si="13">SUM(D33,D74,D75,D102,D112,D113)</f>
        <v>5308602</v>
      </c>
      <c r="E114" s="1724">
        <f t="shared" si="13"/>
        <v>1181536</v>
      </c>
      <c r="F114" s="1724">
        <f t="shared" si="13"/>
        <v>490536</v>
      </c>
      <c r="G114" s="1724">
        <f t="shared" si="13"/>
        <v>526856</v>
      </c>
      <c r="H114" s="1724">
        <f>SUM(H33,H74,H75,H102,H112,H113)</f>
        <v>2561934</v>
      </c>
      <c r="I114" s="1724">
        <f t="shared" si="13"/>
        <v>0</v>
      </c>
      <c r="J114" s="1724">
        <f t="shared" si="13"/>
        <v>0</v>
      </c>
      <c r="K114" s="1724">
        <f t="shared" si="13"/>
        <v>23278669</v>
      </c>
      <c r="L114" s="1724">
        <f>SUM(L33,L74,L75,L102,L112,L113)</f>
        <v>22292818</v>
      </c>
    </row>
    <row r="115" spans="1:14" ht="13.5" thickTop="1" x14ac:dyDescent="0.2">
      <c r="A115" s="2240" t="s">
        <v>989</v>
      </c>
      <c r="B115" s="2241"/>
      <c r="C115" s="1725"/>
      <c r="D115" s="1725"/>
      <c r="E115" s="1725"/>
      <c r="F115" s="1725"/>
      <c r="G115" s="1725"/>
      <c r="H115" s="1725"/>
      <c r="I115" s="1725"/>
      <c r="J115" s="1725"/>
      <c r="K115" s="1739">
        <f>'Revenues 9-14'!C268-'Expenditures 15-22'!K114</f>
        <v>-1214059</v>
      </c>
      <c r="L115" s="1725"/>
    </row>
    <row r="116" spans="1:14" s="175" customFormat="1" ht="9.4"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45" t="s">
        <v>293</v>
      </c>
      <c r="B117" s="2246"/>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3.15" customHeight="1" x14ac:dyDescent="0.2">
      <c r="A120" s="1323" t="s">
        <v>1963</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v>6419</v>
      </c>
      <c r="H123" s="1623"/>
      <c r="I123" s="1624"/>
      <c r="J123" s="1624"/>
      <c r="K123" s="1724">
        <f>SUM(C123:J123)</f>
        <v>6419</v>
      </c>
      <c r="L123" s="1623">
        <v>3065</v>
      </c>
    </row>
    <row r="124" spans="1:14" ht="14.25" thickTop="1" thickBot="1" x14ac:dyDescent="0.25">
      <c r="A124" s="1319" t="s">
        <v>195</v>
      </c>
      <c r="B124" s="503">
        <v>2540</v>
      </c>
      <c r="C124" s="1623">
        <v>893305</v>
      </c>
      <c r="D124" s="1623">
        <v>273986</v>
      </c>
      <c r="E124" s="1623">
        <v>193657</v>
      </c>
      <c r="F124" s="1623">
        <v>477905</v>
      </c>
      <c r="G124" s="1623">
        <v>48135</v>
      </c>
      <c r="H124" s="1623">
        <v>1140</v>
      </c>
      <c r="I124" s="1624"/>
      <c r="J124" s="1624"/>
      <c r="K124" s="1724">
        <f>SUM(C124:J124)</f>
        <v>1888128</v>
      </c>
      <c r="L124" s="1623">
        <v>1903926</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3.15" customHeight="1" thickTop="1" thickBot="1" x14ac:dyDescent="0.25">
      <c r="A127" s="1429" t="s">
        <v>714</v>
      </c>
      <c r="B127" s="1430" t="s">
        <v>35</v>
      </c>
      <c r="C127" s="1724">
        <f>SUM(C122:C126)</f>
        <v>893305</v>
      </c>
      <c r="D127" s="1724">
        <f t="shared" ref="D127:L127" si="14">SUM(D122:D126)</f>
        <v>273986</v>
      </c>
      <c r="E127" s="1724">
        <f t="shared" si="14"/>
        <v>193657</v>
      </c>
      <c r="F127" s="1724">
        <f t="shared" si="14"/>
        <v>477905</v>
      </c>
      <c r="G127" s="1724">
        <f t="shared" si="14"/>
        <v>54554</v>
      </c>
      <c r="H127" s="1724">
        <f t="shared" si="14"/>
        <v>1140</v>
      </c>
      <c r="I127" s="1724">
        <f t="shared" si="14"/>
        <v>0</v>
      </c>
      <c r="J127" s="1724">
        <f t="shared" si="14"/>
        <v>0</v>
      </c>
      <c r="K127" s="1724">
        <f t="shared" si="14"/>
        <v>1894547</v>
      </c>
      <c r="L127" s="1724">
        <f t="shared" si="14"/>
        <v>1906991</v>
      </c>
    </row>
    <row r="128" spans="1:14" ht="13.15" customHeight="1" thickTop="1" x14ac:dyDescent="0.2">
      <c r="A128" s="1326" t="s">
        <v>973</v>
      </c>
      <c r="B128" s="531" t="s">
        <v>570</v>
      </c>
      <c r="C128" s="1745"/>
      <c r="D128" s="1745"/>
      <c r="E128" s="1745"/>
      <c r="F128" s="1745"/>
      <c r="G128" s="1745"/>
      <c r="H128" s="1745"/>
      <c r="I128" s="1680"/>
      <c r="J128" s="1680"/>
      <c r="K128" s="1746">
        <f>SUM(C128:J128)</f>
        <v>0</v>
      </c>
      <c r="L128" s="1745"/>
    </row>
    <row r="129" spans="1:14" ht="13.15" customHeight="1" thickBot="1" x14ac:dyDescent="0.25">
      <c r="A129" s="1438" t="s">
        <v>806</v>
      </c>
      <c r="B129" s="1439" t="s">
        <v>565</v>
      </c>
      <c r="C129" s="1731">
        <f>SUM(C120,C127,C128)</f>
        <v>893305</v>
      </c>
      <c r="D129" s="1731">
        <f t="shared" ref="D129:L129" si="15">SUM(D120,D127,D128)</f>
        <v>273986</v>
      </c>
      <c r="E129" s="1731">
        <f t="shared" si="15"/>
        <v>193657</v>
      </c>
      <c r="F129" s="1731">
        <f t="shared" si="15"/>
        <v>477905</v>
      </c>
      <c r="G129" s="1731">
        <f t="shared" si="15"/>
        <v>54554</v>
      </c>
      <c r="H129" s="1731">
        <f t="shared" si="15"/>
        <v>1140</v>
      </c>
      <c r="I129" s="1731">
        <f t="shared" si="15"/>
        <v>0</v>
      </c>
      <c r="J129" s="1731">
        <f t="shared" si="15"/>
        <v>0</v>
      </c>
      <c r="K129" s="1731">
        <f t="shared" si="15"/>
        <v>1894547</v>
      </c>
      <c r="L129" s="1731">
        <f t="shared" si="15"/>
        <v>1906991</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1816</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v>23416</v>
      </c>
      <c r="I135" s="1632"/>
      <c r="J135" s="1723"/>
      <c r="K135" s="1728">
        <f>SUM(E135,H135)</f>
        <v>23416</v>
      </c>
      <c r="L135" s="1623">
        <v>23416</v>
      </c>
    </row>
    <row r="136" spans="1:14" x14ac:dyDescent="0.2">
      <c r="A136" s="1323" t="s">
        <v>693</v>
      </c>
      <c r="B136" s="512">
        <v>4190</v>
      </c>
      <c r="C136" s="1723"/>
      <c r="D136" s="1723"/>
      <c r="E136" s="1624"/>
      <c r="F136" s="1723"/>
      <c r="G136" s="1723"/>
      <c r="H136" s="1623"/>
      <c r="I136" s="1632"/>
      <c r="J136" s="1723"/>
      <c r="K136" s="1728">
        <f>SUM(E136,H136)</f>
        <v>0</v>
      </c>
      <c r="L136" s="1623"/>
    </row>
    <row r="137" spans="1:14" ht="13.15" customHeight="1" thickBot="1" x14ac:dyDescent="0.25">
      <c r="A137" s="1429" t="s">
        <v>477</v>
      </c>
      <c r="B137" s="1434">
        <v>4100</v>
      </c>
      <c r="C137" s="1723"/>
      <c r="D137" s="1723"/>
      <c r="E137" s="1724">
        <f>SUM(E133:E136)</f>
        <v>0</v>
      </c>
      <c r="F137" s="1723"/>
      <c r="G137" s="1723"/>
      <c r="H137" s="1724">
        <f>SUM(H133:H136)</f>
        <v>23416</v>
      </c>
      <c r="I137" s="1632"/>
      <c r="J137" s="1723"/>
      <c r="K137" s="1724">
        <f>SUM(K133:K136)</f>
        <v>23416</v>
      </c>
      <c r="L137" s="1724">
        <f>SUM(L133:L136)</f>
        <v>23416</v>
      </c>
    </row>
    <row r="138" spans="1:14" ht="13.1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3.15" customHeight="1" thickTop="1" thickBot="1" x14ac:dyDescent="0.25">
      <c r="A139" s="1429" t="s">
        <v>1473</v>
      </c>
      <c r="B139" s="1434">
        <v>4000</v>
      </c>
      <c r="C139" s="1723"/>
      <c r="D139" s="1723"/>
      <c r="E139" s="1724">
        <f>SUM(E137,E138)</f>
        <v>0</v>
      </c>
      <c r="F139" s="1723"/>
      <c r="G139" s="1723"/>
      <c r="H139" s="1737">
        <f>SUM(H137:H138)</f>
        <v>23416</v>
      </c>
      <c r="I139" s="1632"/>
      <c r="J139" s="1723"/>
      <c r="K139" s="1728">
        <f>SUM(K137,K138)</f>
        <v>23416</v>
      </c>
      <c r="L139" s="1737">
        <f>SUM(L137,L138)</f>
        <v>23416</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3.1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3.15" customHeight="1" x14ac:dyDescent="0.2">
      <c r="A146" s="1319" t="s">
        <v>615</v>
      </c>
      <c r="B146" s="503" t="s">
        <v>614</v>
      </c>
      <c r="C146" s="1723"/>
      <c r="D146" s="1723"/>
      <c r="E146" s="1723"/>
      <c r="F146" s="1723"/>
      <c r="G146" s="1723"/>
      <c r="H146" s="1623"/>
      <c r="I146" s="1625"/>
      <c r="J146" s="1723"/>
      <c r="K146" s="1728">
        <f>SUM(H146)</f>
        <v>0</v>
      </c>
      <c r="L146" s="1623"/>
    </row>
    <row r="147" spans="1:14" ht="13.1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3.1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3.15" customHeight="1" thickTop="1" thickBot="1" x14ac:dyDescent="0.25">
      <c r="A151" s="2257" t="s">
        <v>616</v>
      </c>
      <c r="B151" s="2237"/>
      <c r="C151" s="1724">
        <f>SUM(C129,C130,C139,C149,C150)</f>
        <v>893305</v>
      </c>
      <c r="D151" s="1724">
        <f t="shared" ref="D151:K151" si="16">SUM(D129,D130,D139,D149,D150)</f>
        <v>273986</v>
      </c>
      <c r="E151" s="1724">
        <f t="shared" si="16"/>
        <v>193657</v>
      </c>
      <c r="F151" s="1724">
        <f t="shared" si="16"/>
        <v>477905</v>
      </c>
      <c r="G151" s="1724">
        <f t="shared" si="16"/>
        <v>54554</v>
      </c>
      <c r="H151" s="1724">
        <f t="shared" si="16"/>
        <v>24556</v>
      </c>
      <c r="I151" s="1724">
        <f t="shared" si="16"/>
        <v>0</v>
      </c>
      <c r="J151" s="1724">
        <f t="shared" si="16"/>
        <v>0</v>
      </c>
      <c r="K151" s="1724">
        <f t="shared" si="16"/>
        <v>1917963</v>
      </c>
      <c r="L151" s="1724">
        <f>SUM(L129,L130,L139,L149,L150)</f>
        <v>1930407</v>
      </c>
    </row>
    <row r="152" spans="1:14" ht="13.15" customHeight="1" thickTop="1" x14ac:dyDescent="0.2">
      <c r="A152" s="2260" t="s">
        <v>1170</v>
      </c>
      <c r="B152" s="2261"/>
      <c r="C152" s="1725"/>
      <c r="D152" s="1725"/>
      <c r="E152" s="1725"/>
      <c r="F152" s="1725"/>
      <c r="G152" s="1725"/>
      <c r="H152" s="1725"/>
      <c r="I152" s="1725"/>
      <c r="J152" s="1723"/>
      <c r="K152" s="1739">
        <f>'Revenues 9-14'!D268-'Expenditures 15-22'!K151</f>
        <v>222436</v>
      </c>
      <c r="L152" s="1725"/>
    </row>
    <row r="153" spans="1:14" s="540" customFormat="1" ht="9.4"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45" t="s">
        <v>617</v>
      </c>
      <c r="B154" s="2247"/>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1817</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1816</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1818</v>
      </c>
      <c r="C158" s="1723"/>
      <c r="D158" s="1723"/>
      <c r="E158" s="1723"/>
      <c r="F158" s="1723"/>
      <c r="G158" s="1723"/>
      <c r="H158" s="1624"/>
      <c r="I158" s="1723"/>
      <c r="J158" s="1723"/>
      <c r="K158" s="1722">
        <f>H158</f>
        <v>0</v>
      </c>
      <c r="L158" s="1624"/>
      <c r="M158" s="505"/>
      <c r="N158" s="505"/>
    </row>
    <row r="159" spans="1:14" s="506" customFormat="1" ht="12" x14ac:dyDescent="0.2">
      <c r="A159" s="1511" t="s">
        <v>1819</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3.1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3.1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1588140</v>
      </c>
      <c r="I169" s="1723"/>
      <c r="J169" s="1723"/>
      <c r="K169" s="1722">
        <f>SUM(C169:H169)</f>
        <v>1588140</v>
      </c>
      <c r="L169" s="1745">
        <v>1075403</v>
      </c>
    </row>
    <row r="170" spans="1:14" ht="33.75" customHeight="1" x14ac:dyDescent="0.2">
      <c r="A170" s="543" t="s">
        <v>1654</v>
      </c>
      <c r="B170" s="545" t="s">
        <v>31</v>
      </c>
      <c r="C170" s="1723"/>
      <c r="D170" s="1723"/>
      <c r="E170" s="1723"/>
      <c r="F170" s="1723"/>
      <c r="G170" s="1723"/>
      <c r="H170" s="1696">
        <v>1580000</v>
      </c>
      <c r="I170" s="1723"/>
      <c r="J170" s="1723"/>
      <c r="K170" s="1722">
        <f>SUM(C170:J170)</f>
        <v>1580000</v>
      </c>
      <c r="L170" s="1696">
        <v>2092737</v>
      </c>
    </row>
    <row r="171" spans="1:14" ht="15.75" customHeight="1" x14ac:dyDescent="0.2">
      <c r="A171" s="507" t="s">
        <v>761</v>
      </c>
      <c r="B171" s="546" t="s">
        <v>84</v>
      </c>
      <c r="C171" s="1723"/>
      <c r="D171" s="1723"/>
      <c r="E171" s="1623"/>
      <c r="F171" s="1723"/>
      <c r="G171" s="1723"/>
      <c r="H171" s="1696">
        <v>4895</v>
      </c>
      <c r="I171" s="1632"/>
      <c r="J171" s="1723"/>
      <c r="K171" s="1722">
        <f>SUM(C171:J171)</f>
        <v>4895</v>
      </c>
      <c r="L171" s="1696">
        <v>3000</v>
      </c>
    </row>
    <row r="172" spans="1:14" ht="13.15" customHeight="1" thickBot="1" x14ac:dyDescent="0.25">
      <c r="A172" s="1429" t="s">
        <v>633</v>
      </c>
      <c r="B172" s="1430" t="s">
        <v>489</v>
      </c>
      <c r="C172" s="1723"/>
      <c r="D172" s="1723"/>
      <c r="E172" s="1731">
        <f>SUM(E168,E169,E170,E171)</f>
        <v>0</v>
      </c>
      <c r="F172" s="1723"/>
      <c r="G172" s="1723"/>
      <c r="H172" s="1731">
        <f>SUM(H168,H169,H170,H171)</f>
        <v>3173035</v>
      </c>
      <c r="I172" s="1734"/>
      <c r="J172" s="1723"/>
      <c r="K172" s="1731">
        <f>SUM(K168,K169,K170,K171)</f>
        <v>3173035</v>
      </c>
      <c r="L172" s="1731">
        <f>SUM(L168,L169,L170,L171)</f>
        <v>3171140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3.15" customHeight="1" thickTop="1" thickBot="1" x14ac:dyDescent="0.25">
      <c r="A174" s="1440" t="s">
        <v>90</v>
      </c>
      <c r="B174" s="1441"/>
      <c r="C174" s="1723"/>
      <c r="D174" s="1723"/>
      <c r="E174" s="1731">
        <f>SUM(E172,E173)</f>
        <v>0</v>
      </c>
      <c r="F174" s="1723"/>
      <c r="G174" s="1723"/>
      <c r="H174" s="1731">
        <f>SUM(H160,H172,H173)</f>
        <v>3173035</v>
      </c>
      <c r="I174" s="1734"/>
      <c r="J174" s="1723"/>
      <c r="K174" s="1731">
        <f>SUM(K160,K172,K173)</f>
        <v>3173035</v>
      </c>
      <c r="L174" s="1731">
        <f>SUM(L160,L172,L173)</f>
        <v>3171140</v>
      </c>
    </row>
    <row r="175" spans="1:14" ht="13.5" thickTop="1" x14ac:dyDescent="0.2">
      <c r="A175" s="2240" t="s">
        <v>989</v>
      </c>
      <c r="B175" s="2241"/>
      <c r="C175" s="1723"/>
      <c r="D175" s="1723"/>
      <c r="E175" s="1723"/>
      <c r="F175" s="1723"/>
      <c r="G175" s="1723"/>
      <c r="H175" s="1725"/>
      <c r="I175" s="1723"/>
      <c r="J175" s="1723"/>
      <c r="K175" s="1739">
        <f>'Revenues 9-14'!E268-'Expenditures 15-22'!K174</f>
        <v>-49223</v>
      </c>
      <c r="L175" s="1725"/>
    </row>
    <row r="176" spans="1:14" s="540" customFormat="1" ht="9.4"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3.15" customHeight="1" x14ac:dyDescent="0.2">
      <c r="A180" s="1319" t="s">
        <v>1963</v>
      </c>
      <c r="B180" s="503" t="s">
        <v>711</v>
      </c>
      <c r="C180" s="1623"/>
      <c r="D180" s="1623"/>
      <c r="E180" s="1623"/>
      <c r="F180" s="1623"/>
      <c r="G180" s="1623"/>
      <c r="H180" s="1623"/>
      <c r="I180" s="1624"/>
      <c r="J180" s="1624"/>
      <c r="K180" s="1722">
        <f>SUM(C180:J180)</f>
        <v>0</v>
      </c>
      <c r="L180" s="1623">
        <v>100</v>
      </c>
    </row>
    <row r="181" spans="1:14" ht="15.75" customHeight="1" x14ac:dyDescent="0.2">
      <c r="A181" s="509" t="s">
        <v>608</v>
      </c>
      <c r="B181" s="550"/>
      <c r="C181" s="1697"/>
      <c r="D181" s="1697"/>
      <c r="E181" s="1697"/>
      <c r="F181" s="1697"/>
      <c r="G181" s="1697"/>
      <c r="H181" s="1697"/>
      <c r="I181" s="1625"/>
      <c r="J181" s="1625"/>
      <c r="K181" s="1697"/>
      <c r="L181" s="1697"/>
    </row>
    <row r="182" spans="1:14" ht="13.15" customHeight="1" x14ac:dyDescent="0.2">
      <c r="A182" s="1319" t="s">
        <v>947</v>
      </c>
      <c r="B182" s="503">
        <v>2550</v>
      </c>
      <c r="C182" s="1623">
        <v>11123</v>
      </c>
      <c r="D182" s="1623">
        <v>8</v>
      </c>
      <c r="E182" s="1623">
        <v>2146750</v>
      </c>
      <c r="F182" s="1623">
        <v>123538</v>
      </c>
      <c r="G182" s="1623">
        <v>3283</v>
      </c>
      <c r="H182" s="1623"/>
      <c r="I182" s="1624"/>
      <c r="J182" s="1624"/>
      <c r="K182" s="1722">
        <f>SUM(C182:J182)</f>
        <v>2284702</v>
      </c>
      <c r="L182" s="1623">
        <v>2219106</v>
      </c>
    </row>
    <row r="183" spans="1:14" ht="13.15" customHeight="1" thickBot="1" x14ac:dyDescent="0.25">
      <c r="A183" s="1324" t="s">
        <v>973</v>
      </c>
      <c r="B183" s="551">
        <v>2900</v>
      </c>
      <c r="C183" s="1699"/>
      <c r="D183" s="1699"/>
      <c r="E183" s="1699"/>
      <c r="F183" s="1699"/>
      <c r="G183" s="1699"/>
      <c r="H183" s="1699"/>
      <c r="I183" s="1678"/>
      <c r="J183" s="1678"/>
      <c r="K183" s="1731">
        <f>SUM(C183:J183)</f>
        <v>0</v>
      </c>
      <c r="L183" s="1699"/>
    </row>
    <row r="184" spans="1:14" ht="13.15" customHeight="1" thickTop="1" thickBot="1" x14ac:dyDescent="0.25">
      <c r="A184" s="1442" t="s">
        <v>806</v>
      </c>
      <c r="B184" s="1430" t="s">
        <v>565</v>
      </c>
      <c r="C184" s="1731">
        <f>SUM(C180,C182,C183)</f>
        <v>11123</v>
      </c>
      <c r="D184" s="1731">
        <f t="shared" ref="D184:J184" si="17">SUM(D180,D182,D183)</f>
        <v>8</v>
      </c>
      <c r="E184" s="1731">
        <f t="shared" si="17"/>
        <v>2146750</v>
      </c>
      <c r="F184" s="1731">
        <f t="shared" si="17"/>
        <v>123538</v>
      </c>
      <c r="G184" s="1731">
        <f t="shared" si="17"/>
        <v>3283</v>
      </c>
      <c r="H184" s="1731">
        <f t="shared" si="17"/>
        <v>0</v>
      </c>
      <c r="I184" s="1731">
        <f t="shared" si="17"/>
        <v>0</v>
      </c>
      <c r="J184" s="1731">
        <f t="shared" si="17"/>
        <v>0</v>
      </c>
      <c r="K184" s="1731">
        <f>SUM(K180,K182,K183)</f>
        <v>2284702</v>
      </c>
      <c r="L184" s="1731">
        <f>SUM(L180, L182:L183)</f>
        <v>2219206</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3.1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3.1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3.1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3.1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3.15" customHeight="1" thickTop="1" thickBot="1" x14ac:dyDescent="0.25">
      <c r="A210" s="1443" t="s">
        <v>275</v>
      </c>
      <c r="B210" s="1444"/>
      <c r="C210" s="1724">
        <f>SUM(C184,C185)</f>
        <v>11123</v>
      </c>
      <c r="D210" s="1724">
        <f>SUM(D184,D185)</f>
        <v>8</v>
      </c>
      <c r="E210" s="1724">
        <f>SUM(E184,E185,E196)</f>
        <v>2146750</v>
      </c>
      <c r="F210" s="1724">
        <f>SUM(F184,F185)</f>
        <v>123538</v>
      </c>
      <c r="G210" s="1724">
        <f>SUM(G184,G185)</f>
        <v>3283</v>
      </c>
      <c r="H210" s="1724">
        <f>SUM(H184,H185,H196,H208,H209)</f>
        <v>0</v>
      </c>
      <c r="I210" s="1724">
        <f>SUM(I184,I185)</f>
        <v>0</v>
      </c>
      <c r="J210" s="1724">
        <f>SUM(J184,J185)</f>
        <v>0</v>
      </c>
      <c r="K210" s="1722">
        <f>SUM(K184,K185,K196,K208,K209)</f>
        <v>2284702</v>
      </c>
      <c r="L210" s="1724">
        <f>SUM(L184,L185,L196,L208,L209)</f>
        <v>2219206</v>
      </c>
    </row>
    <row r="211" spans="1:14" ht="13.5" thickTop="1" x14ac:dyDescent="0.2">
      <c r="A211" s="2240" t="s">
        <v>989</v>
      </c>
      <c r="B211" s="2241"/>
      <c r="C211" s="1725"/>
      <c r="D211" s="1725"/>
      <c r="E211" s="1725"/>
      <c r="F211" s="1725"/>
      <c r="G211" s="1725"/>
      <c r="H211" s="1725"/>
      <c r="I211" s="1723"/>
      <c r="J211" s="1723"/>
      <c r="K211" s="1739">
        <f>'Revenues 9-14'!F268-'Expenditures 15-22'!K210</f>
        <v>214553</v>
      </c>
      <c r="L211" s="1725"/>
    </row>
    <row r="212" spans="1:14" s="540" customFormat="1" ht="9.4"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62" t="s">
        <v>959</v>
      </c>
      <c r="B213" s="2263"/>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143087</v>
      </c>
      <c r="E215" s="1723"/>
      <c r="F215" s="1723"/>
      <c r="G215" s="1723"/>
      <c r="H215" s="1723"/>
      <c r="I215" s="1723"/>
      <c r="J215" s="1723"/>
      <c r="K215" s="1722">
        <f>D215</f>
        <v>143087</v>
      </c>
      <c r="L215" s="1623">
        <v>153682</v>
      </c>
    </row>
    <row r="216" spans="1:14" x14ac:dyDescent="0.2">
      <c r="A216" s="1319" t="s">
        <v>162</v>
      </c>
      <c r="B216" s="503" t="s">
        <v>961</v>
      </c>
      <c r="C216" s="1723"/>
      <c r="D216" s="1624">
        <v>8100</v>
      </c>
      <c r="E216" s="1723"/>
      <c r="F216" s="1723"/>
      <c r="G216" s="1723"/>
      <c r="H216" s="1723"/>
      <c r="I216" s="1723"/>
      <c r="J216" s="1723"/>
      <c r="K216" s="1722">
        <f t="shared" ref="K216:K228" si="19">D216</f>
        <v>8100</v>
      </c>
      <c r="L216" s="1623">
        <v>8168</v>
      </c>
    </row>
    <row r="217" spans="1:14" x14ac:dyDescent="0.2">
      <c r="A217" s="1319" t="s">
        <v>163</v>
      </c>
      <c r="B217" s="503">
        <v>1200</v>
      </c>
      <c r="C217" s="1723"/>
      <c r="D217" s="1623">
        <v>146644</v>
      </c>
      <c r="E217" s="1723"/>
      <c r="F217" s="1723"/>
      <c r="G217" s="1723"/>
      <c r="H217" s="1723"/>
      <c r="I217" s="1723"/>
      <c r="J217" s="1723"/>
      <c r="K217" s="1722">
        <f t="shared" si="19"/>
        <v>146644</v>
      </c>
      <c r="L217" s="1623">
        <v>138087</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v>22033</v>
      </c>
      <c r="E219" s="1723"/>
      <c r="F219" s="1723"/>
      <c r="G219" s="1723"/>
      <c r="H219" s="1723"/>
      <c r="I219" s="1723"/>
      <c r="J219" s="1723"/>
      <c r="K219" s="1722">
        <f t="shared" si="19"/>
        <v>22033</v>
      </c>
      <c r="L219" s="1623">
        <v>20068</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1110</v>
      </c>
      <c r="E222" s="1723"/>
      <c r="F222" s="1723"/>
      <c r="G222" s="1723"/>
      <c r="H222" s="1723"/>
      <c r="I222" s="1723"/>
      <c r="J222" s="1723"/>
      <c r="K222" s="1722">
        <f t="shared" si="19"/>
        <v>1110</v>
      </c>
      <c r="L222" s="1623">
        <v>2241</v>
      </c>
    </row>
    <row r="223" spans="1:14" x14ac:dyDescent="0.2">
      <c r="A223" s="1319" t="s">
        <v>957</v>
      </c>
      <c r="B223" s="503">
        <v>1500</v>
      </c>
      <c r="C223" s="1723"/>
      <c r="D223" s="1623">
        <v>22872</v>
      </c>
      <c r="E223" s="1723"/>
      <c r="F223" s="1723"/>
      <c r="G223" s="1723"/>
      <c r="H223" s="1723"/>
      <c r="I223" s="1723"/>
      <c r="J223" s="1723"/>
      <c r="K223" s="1722">
        <f t="shared" si="19"/>
        <v>22872</v>
      </c>
      <c r="L223" s="1623">
        <v>25694</v>
      </c>
    </row>
    <row r="224" spans="1:14" x14ac:dyDescent="0.2">
      <c r="A224" s="1319" t="s">
        <v>958</v>
      </c>
      <c r="B224" s="503">
        <v>1600</v>
      </c>
      <c r="C224" s="1723"/>
      <c r="D224" s="1623">
        <v>222</v>
      </c>
      <c r="E224" s="1723"/>
      <c r="F224" s="1723"/>
      <c r="G224" s="1723"/>
      <c r="H224" s="1723"/>
      <c r="I224" s="1723"/>
      <c r="J224" s="1723"/>
      <c r="K224" s="1722">
        <f t="shared" si="19"/>
        <v>222</v>
      </c>
      <c r="L224" s="1623">
        <v>504</v>
      </c>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3.15" customHeight="1" thickBot="1" x14ac:dyDescent="0.25">
      <c r="A229" s="1429" t="s">
        <v>710</v>
      </c>
      <c r="B229" s="1432" t="s">
        <v>566</v>
      </c>
      <c r="C229" s="1723"/>
      <c r="D229" s="1724">
        <f>SUM(D215:D228)</f>
        <v>344068</v>
      </c>
      <c r="E229" s="1723"/>
      <c r="F229" s="1723"/>
      <c r="G229" s="1723"/>
      <c r="H229" s="1723"/>
      <c r="I229" s="1723"/>
      <c r="J229" s="1723"/>
      <c r="K229" s="1724">
        <f>SUM(K215:K228)</f>
        <v>344068</v>
      </c>
      <c r="L229" s="1724">
        <f>SUM(L215:L228)</f>
        <v>348444</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v>12865</v>
      </c>
      <c r="E233" s="1723"/>
      <c r="F233" s="1723"/>
      <c r="G233" s="1723"/>
      <c r="H233" s="1723"/>
      <c r="I233" s="1723"/>
      <c r="J233" s="1723"/>
      <c r="K233" s="1722">
        <f t="shared" si="20"/>
        <v>12865</v>
      </c>
      <c r="L233" s="1623">
        <v>9364</v>
      </c>
    </row>
    <row r="234" spans="1:12" x14ac:dyDescent="0.2">
      <c r="A234" s="1319" t="s">
        <v>196</v>
      </c>
      <c r="B234" s="503">
        <v>2130</v>
      </c>
      <c r="C234" s="1723"/>
      <c r="D234" s="1623">
        <v>27574</v>
      </c>
      <c r="E234" s="1723"/>
      <c r="F234" s="1723"/>
      <c r="G234" s="1723"/>
      <c r="H234" s="1723"/>
      <c r="I234" s="1723"/>
      <c r="J234" s="1723"/>
      <c r="K234" s="1722">
        <f t="shared" si="20"/>
        <v>27574</v>
      </c>
      <c r="L234" s="1623">
        <v>19336</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v>1191</v>
      </c>
      <c r="E236" s="1723"/>
      <c r="F236" s="1723"/>
      <c r="G236" s="1723"/>
      <c r="H236" s="1723"/>
      <c r="I236" s="1723"/>
      <c r="J236" s="1723"/>
      <c r="K236" s="1722">
        <f t="shared" si="20"/>
        <v>1191</v>
      </c>
      <c r="L236" s="1623">
        <v>1156</v>
      </c>
    </row>
    <row r="237" spans="1:12" x14ac:dyDescent="0.2">
      <c r="A237" s="1319" t="s">
        <v>164</v>
      </c>
      <c r="B237" s="503">
        <v>2190</v>
      </c>
      <c r="C237" s="1723"/>
      <c r="D237" s="1623">
        <v>634</v>
      </c>
      <c r="E237" s="1723"/>
      <c r="F237" s="1723"/>
      <c r="G237" s="1723"/>
      <c r="H237" s="1723"/>
      <c r="I237" s="1723"/>
      <c r="J237" s="1723"/>
      <c r="K237" s="1722">
        <f t="shared" si="20"/>
        <v>634</v>
      </c>
      <c r="L237" s="1623">
        <v>1659</v>
      </c>
    </row>
    <row r="238" spans="1:12" ht="13.15" customHeight="1" thickBot="1" x14ac:dyDescent="0.25">
      <c r="A238" s="1429" t="s">
        <v>556</v>
      </c>
      <c r="B238" s="1432" t="s">
        <v>711</v>
      </c>
      <c r="C238" s="1723"/>
      <c r="D238" s="1724">
        <f>SUM(D232:D237)</f>
        <v>42264</v>
      </c>
      <c r="E238" s="1723"/>
      <c r="F238" s="1723"/>
      <c r="G238" s="1723"/>
      <c r="H238" s="1723"/>
      <c r="I238" s="1723"/>
      <c r="J238" s="1723"/>
      <c r="K238" s="1724">
        <f>SUM(K232:K237)</f>
        <v>42264</v>
      </c>
      <c r="L238" s="1724">
        <f>SUM(L232:L237)</f>
        <v>31515</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7785</v>
      </c>
      <c r="E240" s="1723"/>
      <c r="F240" s="1723"/>
      <c r="G240" s="1723"/>
      <c r="H240" s="1723"/>
      <c r="I240" s="1723"/>
      <c r="J240" s="1723"/>
      <c r="K240" s="1728">
        <f>D240</f>
        <v>7785</v>
      </c>
      <c r="L240" s="1636">
        <v>12321</v>
      </c>
    </row>
    <row r="241" spans="1:12" x14ac:dyDescent="0.2">
      <c r="A241" s="1319" t="s">
        <v>810</v>
      </c>
      <c r="B241" s="503">
        <v>2220</v>
      </c>
      <c r="C241" s="1723"/>
      <c r="D241" s="1623">
        <v>8545</v>
      </c>
      <c r="E241" s="1723"/>
      <c r="F241" s="1723"/>
      <c r="G241" s="1723"/>
      <c r="H241" s="1723"/>
      <c r="I241" s="1723"/>
      <c r="J241" s="1723"/>
      <c r="K241" s="1728">
        <f>D241</f>
        <v>8545</v>
      </c>
      <c r="L241" s="1623">
        <v>4926</v>
      </c>
    </row>
    <row r="242" spans="1:12" x14ac:dyDescent="0.2">
      <c r="A242" s="1319" t="s">
        <v>811</v>
      </c>
      <c r="B242" s="503">
        <v>2230</v>
      </c>
      <c r="C242" s="1723"/>
      <c r="D242" s="1623"/>
      <c r="E242" s="1723"/>
      <c r="F242" s="1723"/>
      <c r="G242" s="1723"/>
      <c r="H242" s="1723"/>
      <c r="I242" s="1723"/>
      <c r="J242" s="1723"/>
      <c r="K242" s="1728">
        <f>D242</f>
        <v>0</v>
      </c>
      <c r="L242" s="1623"/>
    </row>
    <row r="243" spans="1:12" ht="13.15" customHeight="1" thickBot="1" x14ac:dyDescent="0.25">
      <c r="A243" s="1445" t="s">
        <v>557</v>
      </c>
      <c r="B243" s="1446">
        <v>2200</v>
      </c>
      <c r="C243" s="1723"/>
      <c r="D243" s="1724">
        <f>SUM(D240:D242)</f>
        <v>16330</v>
      </c>
      <c r="E243" s="1723"/>
      <c r="F243" s="1723"/>
      <c r="G243" s="1723"/>
      <c r="H243" s="1723"/>
      <c r="I243" s="1723"/>
      <c r="J243" s="1723"/>
      <c r="K243" s="1724">
        <f>SUM(K240:K242)</f>
        <v>16330</v>
      </c>
      <c r="L243" s="1724">
        <f>SUM(L240:L242)</f>
        <v>17247</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v>11748</v>
      </c>
      <c r="E246" s="1723"/>
      <c r="F246" s="1723"/>
      <c r="G246" s="1723"/>
      <c r="H246" s="1723"/>
      <c r="I246" s="1723"/>
      <c r="J246" s="1723"/>
      <c r="K246" s="1728">
        <f t="shared" ref="K246:K256" si="21">D246</f>
        <v>11748</v>
      </c>
      <c r="L246" s="1623">
        <v>10553</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1782</v>
      </c>
      <c r="B249" s="557" t="s">
        <v>280</v>
      </c>
      <c r="C249" s="1723"/>
      <c r="D249" s="1629"/>
      <c r="E249" s="1723"/>
      <c r="F249" s="1723"/>
      <c r="G249" s="1723"/>
      <c r="H249" s="1723"/>
      <c r="I249" s="1723"/>
      <c r="J249" s="1723"/>
      <c r="K249" s="1728">
        <f t="shared" si="21"/>
        <v>0</v>
      </c>
      <c r="L249" s="1623"/>
    </row>
    <row r="250" spans="1:12" x14ac:dyDescent="0.2">
      <c r="A250" s="1320" t="s">
        <v>1783</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47569</v>
      </c>
      <c r="E254" s="1723"/>
      <c r="F254" s="1723"/>
      <c r="G254" s="1723"/>
      <c r="H254" s="1723"/>
      <c r="I254" s="1723"/>
      <c r="J254" s="1723"/>
      <c r="K254" s="1728">
        <f t="shared" si="21"/>
        <v>47569</v>
      </c>
      <c r="L254" s="1623">
        <v>47285</v>
      </c>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3.15" customHeight="1" thickBot="1" x14ac:dyDescent="0.25">
      <c r="A257" s="1429" t="s">
        <v>712</v>
      </c>
      <c r="B257" s="1447">
        <v>2300</v>
      </c>
      <c r="C257" s="1723"/>
      <c r="D257" s="1724">
        <f>SUM(D245:D256)</f>
        <v>59317</v>
      </c>
      <c r="E257" s="1723"/>
      <c r="F257" s="1723"/>
      <c r="G257" s="1723"/>
      <c r="H257" s="1723"/>
      <c r="I257" s="1723"/>
      <c r="J257" s="1723"/>
      <c r="K257" s="1724">
        <f>SUM(K245:K256)</f>
        <v>59317</v>
      </c>
      <c r="L257" s="1724">
        <f>SUM(L245:L256)</f>
        <v>57838</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61502</v>
      </c>
      <c r="E259" s="1723"/>
      <c r="F259" s="1723"/>
      <c r="G259" s="1723"/>
      <c r="H259" s="1723"/>
      <c r="I259" s="1723"/>
      <c r="J259" s="1723"/>
      <c r="K259" s="1728">
        <f>D259</f>
        <v>61502</v>
      </c>
      <c r="L259" s="1636">
        <v>74596</v>
      </c>
    </row>
    <row r="260" spans="1:14" s="493" customFormat="1" x14ac:dyDescent="0.2">
      <c r="A260" s="1337" t="s">
        <v>1781</v>
      </c>
      <c r="B260" s="512">
        <v>2490</v>
      </c>
      <c r="C260" s="1723"/>
      <c r="D260" s="1623"/>
      <c r="E260" s="1723"/>
      <c r="F260" s="1723"/>
      <c r="G260" s="1723"/>
      <c r="H260" s="1723"/>
      <c r="I260" s="1723"/>
      <c r="J260" s="1723"/>
      <c r="K260" s="1728">
        <f>D260</f>
        <v>0</v>
      </c>
      <c r="L260" s="1623"/>
      <c r="M260" s="205"/>
      <c r="N260" s="205"/>
    </row>
    <row r="261" spans="1:14" ht="13.15" customHeight="1" thickBot="1" x14ac:dyDescent="0.25">
      <c r="A261" s="1443" t="s">
        <v>261</v>
      </c>
      <c r="B261" s="1448" t="s">
        <v>34</v>
      </c>
      <c r="C261" s="1723"/>
      <c r="D261" s="1724">
        <f>SUM(D259:D260)</f>
        <v>61502</v>
      </c>
      <c r="E261" s="1723"/>
      <c r="F261" s="1723"/>
      <c r="G261" s="1723"/>
      <c r="H261" s="1723"/>
      <c r="I261" s="1723"/>
      <c r="J261" s="1723"/>
      <c r="K261" s="1724">
        <f>SUM(K259:K260)</f>
        <v>61502</v>
      </c>
      <c r="L261" s="1724">
        <f>SUM(L259:L260)</f>
        <v>74596</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24700</v>
      </c>
      <c r="E263" s="1723"/>
      <c r="F263" s="1723"/>
      <c r="G263" s="1723"/>
      <c r="H263" s="1723"/>
      <c r="I263" s="1723"/>
      <c r="J263" s="1723"/>
      <c r="K263" s="1728">
        <f>D263</f>
        <v>24700</v>
      </c>
      <c r="L263" s="1636">
        <v>21553</v>
      </c>
    </row>
    <row r="264" spans="1:14" x14ac:dyDescent="0.2">
      <c r="A264" s="1319" t="s">
        <v>460</v>
      </c>
      <c r="B264" s="559">
        <v>2520</v>
      </c>
      <c r="C264" s="1723"/>
      <c r="D264" s="1623">
        <v>6454</v>
      </c>
      <c r="E264" s="1723"/>
      <c r="F264" s="1723"/>
      <c r="G264" s="1723"/>
      <c r="H264" s="1723"/>
      <c r="I264" s="1723"/>
      <c r="J264" s="1723"/>
      <c r="K264" s="1728">
        <f t="shared" ref="K264:K269" si="22">D264</f>
        <v>6454</v>
      </c>
      <c r="L264" s="1623">
        <v>7075</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156788</v>
      </c>
      <c r="E266" s="1723"/>
      <c r="F266" s="1723"/>
      <c r="G266" s="1723"/>
      <c r="H266" s="1723"/>
      <c r="I266" s="1723"/>
      <c r="J266" s="1723"/>
      <c r="K266" s="1728">
        <f t="shared" si="22"/>
        <v>156788</v>
      </c>
      <c r="L266" s="1623">
        <v>153262</v>
      </c>
    </row>
    <row r="267" spans="1:14" x14ac:dyDescent="0.2">
      <c r="A267" s="1319" t="s">
        <v>947</v>
      </c>
      <c r="B267" s="503">
        <v>2550</v>
      </c>
      <c r="C267" s="1723"/>
      <c r="D267" s="1623">
        <v>2415</v>
      </c>
      <c r="E267" s="1723"/>
      <c r="F267" s="1723"/>
      <c r="G267" s="1723"/>
      <c r="H267" s="1723"/>
      <c r="I267" s="1723"/>
      <c r="J267" s="1723"/>
      <c r="K267" s="1728">
        <f t="shared" si="22"/>
        <v>2415</v>
      </c>
      <c r="L267" s="1623">
        <v>2311</v>
      </c>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v>6283</v>
      </c>
      <c r="E269" s="1723"/>
      <c r="F269" s="1723"/>
      <c r="G269" s="1723"/>
      <c r="H269" s="1723"/>
      <c r="I269" s="1723"/>
      <c r="J269" s="1723"/>
      <c r="K269" s="1728">
        <f t="shared" si="22"/>
        <v>6283</v>
      </c>
      <c r="L269" s="1623">
        <v>6835</v>
      </c>
    </row>
    <row r="270" spans="1:14" ht="13.15" customHeight="1" thickBot="1" x14ac:dyDescent="0.25">
      <c r="A270" s="1429" t="s">
        <v>714</v>
      </c>
      <c r="B270" s="1432" t="s">
        <v>35</v>
      </c>
      <c r="C270" s="1723"/>
      <c r="D270" s="1724">
        <f>SUM(D263:D269)</f>
        <v>196640</v>
      </c>
      <c r="E270" s="1723"/>
      <c r="F270" s="1723"/>
      <c r="G270" s="1723"/>
      <c r="H270" s="1723"/>
      <c r="I270" s="1723"/>
      <c r="J270" s="1723"/>
      <c r="K270" s="1724">
        <f>SUM(K263:K269)</f>
        <v>196640</v>
      </c>
      <c r="L270" s="1724">
        <f>SUM(L263:L269)</f>
        <v>191036</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3.1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3.15" customHeight="1" thickBot="1" x14ac:dyDescent="0.25">
      <c r="A279" s="1449" t="s">
        <v>806</v>
      </c>
      <c r="B279" s="1436">
        <v>2000</v>
      </c>
      <c r="C279" s="1723"/>
      <c r="D279" s="1731">
        <f>SUM(D238,D243,D257,D261,D270,D277,D278)</f>
        <v>376053</v>
      </c>
      <c r="E279" s="1723"/>
      <c r="F279" s="1723"/>
      <c r="G279" s="1723"/>
      <c r="H279" s="1723"/>
      <c r="I279" s="1723"/>
      <c r="J279" s="1723"/>
      <c r="K279" s="1731">
        <f>SUM(K238,K243,K257,K261,K270,K277,K278)</f>
        <v>376053</v>
      </c>
      <c r="L279" s="1731">
        <f>SUM(L238,L243,L257,L261,L270,L277,L278)</f>
        <v>372232</v>
      </c>
    </row>
    <row r="280" spans="1:12" ht="15.75" customHeight="1" thickTop="1" thickBot="1" x14ac:dyDescent="0.25">
      <c r="A280" s="1407" t="s">
        <v>870</v>
      </c>
      <c r="B280" s="1396">
        <v>3000</v>
      </c>
      <c r="C280" s="1723"/>
      <c r="D280" s="1701">
        <f>4609+172</f>
        <v>4781</v>
      </c>
      <c r="E280" s="1723"/>
      <c r="F280" s="1723"/>
      <c r="G280" s="1723"/>
      <c r="H280" s="1723"/>
      <c r="I280" s="1723"/>
      <c r="J280" s="1723"/>
      <c r="K280" s="1737">
        <f>D280</f>
        <v>4781</v>
      </c>
      <c r="L280" s="1701">
        <v>6865</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1816</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3.1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3.1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3.1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3.15" customHeight="1" thickTop="1" thickBot="1" x14ac:dyDescent="0.25">
      <c r="A295" s="2258" t="s">
        <v>502</v>
      </c>
      <c r="B295" s="2259"/>
      <c r="C295" s="1723"/>
      <c r="D295" s="1724">
        <f>SUM(D229,D279,D280,D285)</f>
        <v>724902</v>
      </c>
      <c r="E295" s="1723"/>
      <c r="F295" s="1723"/>
      <c r="G295" s="1723"/>
      <c r="H295" s="1724">
        <f>H293</f>
        <v>0</v>
      </c>
      <c r="I295" s="1723"/>
      <c r="J295" s="1723"/>
      <c r="K295" s="1724">
        <f>SUM(K229,K279,K280,K285,K293,K294)</f>
        <v>724902</v>
      </c>
      <c r="L295" s="1724">
        <f>SUM(L229,L279,L280,L285,L293,L294)</f>
        <v>727541</v>
      </c>
    </row>
    <row r="296" spans="1:14" ht="13.5" thickTop="1" x14ac:dyDescent="0.2">
      <c r="A296" s="2240" t="s">
        <v>989</v>
      </c>
      <c r="B296" s="2241"/>
      <c r="C296" s="1723"/>
      <c r="D296" s="1725"/>
      <c r="E296" s="1723"/>
      <c r="F296" s="1723"/>
      <c r="G296" s="1723"/>
      <c r="H296" s="1757"/>
      <c r="I296" s="1723"/>
      <c r="J296" s="1723"/>
      <c r="K296" s="1739">
        <f>'Revenues 9-14'!G268-'Expenditures 15-22'!K295</f>
        <v>7029</v>
      </c>
      <c r="L296" s="1757"/>
    </row>
    <row r="297" spans="1:14" s="540" customFormat="1" ht="9.4"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50" t="s">
        <v>142</v>
      </c>
      <c r="B298" s="2244"/>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f>550673+5020592</f>
        <v>5571265</v>
      </c>
      <c r="H301" s="1623"/>
      <c r="I301" s="1624"/>
      <c r="J301" s="1624"/>
      <c r="K301" s="1722">
        <f>SUM(C301:J301)</f>
        <v>5571265</v>
      </c>
      <c r="L301" s="1624">
        <v>5510537</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3.1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5571265</v>
      </c>
      <c r="H303" s="1731">
        <f t="shared" si="23"/>
        <v>0</v>
      </c>
      <c r="I303" s="1731">
        <f t="shared" si="23"/>
        <v>0</v>
      </c>
      <c r="J303" s="1731">
        <f t="shared" si="23"/>
        <v>0</v>
      </c>
      <c r="K303" s="1731">
        <f t="shared" si="23"/>
        <v>5571265</v>
      </c>
      <c r="L303" s="1731">
        <f t="shared" si="23"/>
        <v>5510537</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1821</v>
      </c>
      <c r="B306" s="562" t="s">
        <v>1816</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3.15" customHeight="1" x14ac:dyDescent="0.2">
      <c r="A309" s="1323" t="s">
        <v>693</v>
      </c>
      <c r="B309" s="512">
        <v>4190</v>
      </c>
      <c r="C309" s="1723"/>
      <c r="D309" s="1723"/>
      <c r="E309" s="1624"/>
      <c r="F309" s="1723"/>
      <c r="G309" s="1723"/>
      <c r="H309" s="1624"/>
      <c r="I309" s="1632"/>
      <c r="J309" s="1723"/>
      <c r="K309" s="1722">
        <f>SUM(E309,H309)</f>
        <v>0</v>
      </c>
      <c r="L309" s="1623"/>
    </row>
    <row r="310" spans="1:14" ht="13.1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3.15" customHeight="1" thickTop="1" thickBot="1" x14ac:dyDescent="0.25">
      <c r="A312" s="2255" t="s">
        <v>275</v>
      </c>
      <c r="B312" s="2256"/>
      <c r="C312" s="1724">
        <f>SUM(C303)</f>
        <v>0</v>
      </c>
      <c r="D312" s="1724">
        <f>SUM(D303)</f>
        <v>0</v>
      </c>
      <c r="E312" s="1724">
        <f>SUM(E303,E310)</f>
        <v>0</v>
      </c>
      <c r="F312" s="1724">
        <f>SUM(F303)</f>
        <v>0</v>
      </c>
      <c r="G312" s="1724">
        <f>SUM(G303)</f>
        <v>5571265</v>
      </c>
      <c r="H312" s="1724">
        <f>SUM(H303,H310)</f>
        <v>0</v>
      </c>
      <c r="I312" s="1724">
        <f>SUM(I303)</f>
        <v>0</v>
      </c>
      <c r="J312" s="1724">
        <f>SUM(J303)</f>
        <v>0</v>
      </c>
      <c r="K312" s="1724">
        <f>SUM(K303,K310,K311)</f>
        <v>5571265</v>
      </c>
      <c r="L312" s="1724">
        <f>SUM(L303,L310,L311)</f>
        <v>5510537</v>
      </c>
      <c r="M312" s="539"/>
      <c r="N312" s="539"/>
    </row>
    <row r="313" spans="1:14" ht="13.5" thickTop="1" x14ac:dyDescent="0.2">
      <c r="A313" s="2251" t="s">
        <v>989</v>
      </c>
      <c r="B313" s="2252"/>
      <c r="C313" s="1727"/>
      <c r="D313" s="1727"/>
      <c r="E313" s="1727"/>
      <c r="F313" s="1727"/>
      <c r="G313" s="1727"/>
      <c r="H313" s="1727"/>
      <c r="I313" s="1727"/>
      <c r="J313" s="1727"/>
      <c r="K313" s="1746">
        <f>'Revenues 9-14'!H268-'Expenditures 15-22'!K312</f>
        <v>-5319329</v>
      </c>
      <c r="L313" s="1727"/>
    </row>
    <row r="314" spans="1:14" s="540" customFormat="1" ht="9.4"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64" t="s">
        <v>148</v>
      </c>
      <c r="B315" s="2265"/>
      <c r="C315" s="1759"/>
      <c r="D315" s="1760"/>
      <c r="E315" s="1760"/>
      <c r="F315" s="1760"/>
      <c r="G315" s="1760"/>
      <c r="H315" s="1760"/>
      <c r="I315" s="1760"/>
      <c r="J315" s="1760"/>
      <c r="K315" s="1760"/>
      <c r="L315" s="1761"/>
    </row>
    <row r="316" spans="1:14" s="548" customFormat="1" ht="9.4"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66" t="s">
        <v>892</v>
      </c>
      <c r="B317" s="2265"/>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1782</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v>355969</v>
      </c>
      <c r="F322" s="1624"/>
      <c r="G322" s="1624"/>
      <c r="H322" s="1624"/>
      <c r="I322" s="1624"/>
      <c r="J322" s="1624"/>
      <c r="K322" s="1722">
        <f t="shared" si="24"/>
        <v>355969</v>
      </c>
      <c r="L322" s="1624">
        <v>355972</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419135</v>
      </c>
      <c r="D325" s="1624">
        <v>10069</v>
      </c>
      <c r="E325" s="1624">
        <v>130526</v>
      </c>
      <c r="F325" s="1624"/>
      <c r="G325" s="1624"/>
      <c r="H325" s="1624">
        <v>72138</v>
      </c>
      <c r="I325" s="1624"/>
      <c r="J325" s="1624"/>
      <c r="K325" s="1722">
        <f t="shared" si="24"/>
        <v>631868</v>
      </c>
      <c r="L325" s="1624">
        <v>726691</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3.15" customHeight="1" thickBot="1" x14ac:dyDescent="0.25">
      <c r="A330" s="1450" t="s">
        <v>712</v>
      </c>
      <c r="B330" s="1430" t="s">
        <v>565</v>
      </c>
      <c r="C330" s="1724">
        <f>SUM(C319:C329)</f>
        <v>419135</v>
      </c>
      <c r="D330" s="1724">
        <f t="shared" ref="D330:J330" si="25">SUM(D319:D329)</f>
        <v>10069</v>
      </c>
      <c r="E330" s="1724">
        <f t="shared" si="25"/>
        <v>486495</v>
      </c>
      <c r="F330" s="1724">
        <f t="shared" si="25"/>
        <v>0</v>
      </c>
      <c r="G330" s="1724">
        <f t="shared" si="25"/>
        <v>0</v>
      </c>
      <c r="H330" s="1724">
        <f t="shared" si="25"/>
        <v>72138</v>
      </c>
      <c r="I330" s="1724">
        <f t="shared" si="25"/>
        <v>0</v>
      </c>
      <c r="J330" s="1724">
        <f t="shared" si="25"/>
        <v>0</v>
      </c>
      <c r="K330" s="1724">
        <f>SUM(K319:K329)</f>
        <v>987837</v>
      </c>
      <c r="L330" s="1724">
        <f>SUM(L319:L329)</f>
        <v>1082663</v>
      </c>
      <c r="M330" s="539"/>
      <c r="N330" s="539"/>
    </row>
    <row r="331" spans="1:14" s="548" customFormat="1" ht="13.15" customHeight="1" thickTop="1" x14ac:dyDescent="0.2">
      <c r="A331" s="1516" t="s">
        <v>1822</v>
      </c>
      <c r="B331" s="525" t="s">
        <v>855</v>
      </c>
      <c r="C331" s="1764"/>
      <c r="D331" s="1764"/>
      <c r="E331" s="1764"/>
      <c r="F331" s="1764"/>
      <c r="G331" s="1764"/>
      <c r="H331" s="1764"/>
      <c r="I331" s="1764"/>
      <c r="J331" s="1764"/>
      <c r="K331" s="1764"/>
      <c r="L331" s="1764"/>
      <c r="M331" s="539"/>
      <c r="N331" s="539"/>
    </row>
    <row r="332" spans="1:14" s="548" customFormat="1" ht="13.15" customHeight="1" x14ac:dyDescent="0.2">
      <c r="A332" s="1517" t="s">
        <v>493</v>
      </c>
      <c r="B332" s="1512" t="s">
        <v>1816</v>
      </c>
      <c r="C332" s="1764"/>
      <c r="D332" s="1764"/>
      <c r="E332" s="1764"/>
      <c r="F332" s="1764"/>
      <c r="G332" s="1764"/>
      <c r="H332" s="1624"/>
      <c r="I332" s="1764"/>
      <c r="J332" s="1764"/>
      <c r="K332" s="1722">
        <f>H332</f>
        <v>0</v>
      </c>
      <c r="L332" s="1624"/>
      <c r="M332" s="539"/>
      <c r="N332" s="539"/>
    </row>
    <row r="333" spans="1:14" s="548" customFormat="1" ht="13.15" customHeight="1" x14ac:dyDescent="0.2">
      <c r="A333" s="1517" t="s">
        <v>301</v>
      </c>
      <c r="B333" s="1512" t="s">
        <v>1818</v>
      </c>
      <c r="C333" s="1764"/>
      <c r="D333" s="1764"/>
      <c r="E333" s="1764"/>
      <c r="F333" s="1764"/>
      <c r="G333" s="1764"/>
      <c r="H333" s="1624"/>
      <c r="I333" s="1764"/>
      <c r="J333" s="1764"/>
      <c r="K333" s="1722">
        <f>H333</f>
        <v>0</v>
      </c>
      <c r="L333" s="1624"/>
      <c r="M333" s="539"/>
      <c r="N333" s="539"/>
    </row>
    <row r="334" spans="1:14" s="548" customFormat="1" ht="13.15" customHeight="1" thickBot="1" x14ac:dyDescent="0.25">
      <c r="A334" s="1517" t="s">
        <v>1823</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3.1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3.15" customHeight="1" thickTop="1" thickBot="1" x14ac:dyDescent="0.25">
      <c r="A342" s="1438" t="s">
        <v>502</v>
      </c>
      <c r="B342" s="1451"/>
      <c r="C342" s="1724">
        <f>SUM(C330)</f>
        <v>419135</v>
      </c>
      <c r="D342" s="1724">
        <f>SUM(D330)</f>
        <v>10069</v>
      </c>
      <c r="E342" s="1724">
        <f>SUM(E330)</f>
        <v>486495</v>
      </c>
      <c r="F342" s="1724">
        <f>SUM(F330)</f>
        <v>0</v>
      </c>
      <c r="G342" s="1724">
        <f>SUM(G330)</f>
        <v>0</v>
      </c>
      <c r="H342" s="1724">
        <f>SUM(H330,H334,H340)</f>
        <v>72138</v>
      </c>
      <c r="I342" s="1724">
        <f>SUM(I330)</f>
        <v>0</v>
      </c>
      <c r="J342" s="1724">
        <f>SUM(J330)</f>
        <v>0</v>
      </c>
      <c r="K342" s="1724">
        <f>SUM(K330,K334,K340)</f>
        <v>987837</v>
      </c>
      <c r="L342" s="1731">
        <f>SUM(L330,L334,L340,L341)</f>
        <v>1082663</v>
      </c>
    </row>
    <row r="343" spans="1:14" ht="13.15" customHeight="1" thickTop="1" x14ac:dyDescent="0.2">
      <c r="A343" s="2253" t="s">
        <v>989</v>
      </c>
      <c r="B343" s="2254"/>
      <c r="C343" s="1723"/>
      <c r="D343" s="1723"/>
      <c r="E343" s="1723"/>
      <c r="F343" s="1723"/>
      <c r="G343" s="1723"/>
      <c r="H343" s="1723"/>
      <c r="I343" s="1723"/>
      <c r="J343" s="1723"/>
      <c r="K343" s="1739">
        <f>'Revenues 9-14'!J268-'Expenditures 15-22'!K342</f>
        <v>259223</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43" t="s">
        <v>960</v>
      </c>
      <c r="B345" s="2244"/>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v>3737970</v>
      </c>
      <c r="H348" s="1623"/>
      <c r="I348" s="1624"/>
      <c r="J348" s="1624"/>
      <c r="K348" s="1722">
        <f>SUM(C348:J348)</f>
        <v>3737970</v>
      </c>
      <c r="L348" s="1623">
        <v>3710192</v>
      </c>
    </row>
    <row r="349" spans="1:14" x14ac:dyDescent="0.2">
      <c r="A349" s="1319" t="s">
        <v>195</v>
      </c>
      <c r="B349" s="503">
        <v>2540</v>
      </c>
      <c r="C349" s="1623"/>
      <c r="D349" s="1623"/>
      <c r="E349" s="1623"/>
      <c r="F349" s="1623"/>
      <c r="G349" s="1623"/>
      <c r="H349" s="1623"/>
      <c r="I349" s="1624"/>
      <c r="J349" s="1624"/>
      <c r="K349" s="1722">
        <f>SUM(C349:J349)</f>
        <v>0</v>
      </c>
      <c r="L349" s="1623"/>
    </row>
    <row r="350" spans="1:14" ht="13.1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3737970</v>
      </c>
      <c r="H350" s="1724">
        <f t="shared" si="26"/>
        <v>0</v>
      </c>
      <c r="I350" s="1724">
        <f t="shared" si="26"/>
        <v>0</v>
      </c>
      <c r="J350" s="1724">
        <f t="shared" si="26"/>
        <v>0</v>
      </c>
      <c r="K350" s="1724">
        <f t="shared" si="26"/>
        <v>3737970</v>
      </c>
      <c r="L350" s="1724">
        <f t="shared" si="26"/>
        <v>3710192</v>
      </c>
    </row>
    <row r="351" spans="1:14" ht="13.15" customHeight="1" thickTop="1" x14ac:dyDescent="0.2">
      <c r="A351" s="1325" t="s">
        <v>973</v>
      </c>
      <c r="B351" s="521" t="s">
        <v>570</v>
      </c>
      <c r="C351" s="1636"/>
      <c r="D351" s="1636"/>
      <c r="E351" s="1636"/>
      <c r="F351" s="1636"/>
      <c r="G351" s="1636"/>
      <c r="H351" s="1636"/>
      <c r="I351" s="1633"/>
      <c r="J351" s="1633"/>
      <c r="K351" s="1765">
        <f>SUM(C351:J351)</f>
        <v>0</v>
      </c>
      <c r="L351" s="1636"/>
    </row>
    <row r="352" spans="1:14" ht="13.1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3737970</v>
      </c>
      <c r="H352" s="1724">
        <f t="shared" si="27"/>
        <v>0</v>
      </c>
      <c r="I352" s="1724">
        <f t="shared" si="27"/>
        <v>0</v>
      </c>
      <c r="J352" s="1724">
        <f t="shared" si="27"/>
        <v>0</v>
      </c>
      <c r="K352" s="1724">
        <f t="shared" si="27"/>
        <v>3737970</v>
      </c>
      <c r="L352" s="1724">
        <f t="shared" si="27"/>
        <v>3710192</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1824</v>
      </c>
      <c r="B354" s="557" t="s">
        <v>1816</v>
      </c>
      <c r="C354" s="1723"/>
      <c r="D354" s="1723"/>
      <c r="E354" s="1723"/>
      <c r="F354" s="1723"/>
      <c r="G354" s="1723"/>
      <c r="H354" s="1629"/>
      <c r="I354" s="1766"/>
      <c r="J354" s="1723"/>
      <c r="K354" s="1763">
        <f>H354</f>
        <v>0</v>
      </c>
      <c r="L354" s="1627"/>
    </row>
    <row r="355" spans="1:14" ht="13.15" customHeight="1" x14ac:dyDescent="0.2">
      <c r="A355" s="1328" t="s">
        <v>1825</v>
      </c>
      <c r="B355" s="562" t="s">
        <v>1818</v>
      </c>
      <c r="C355" s="1723"/>
      <c r="D355" s="1723"/>
      <c r="E355" s="1723"/>
      <c r="F355" s="1723"/>
      <c r="G355" s="1723"/>
      <c r="H355" s="1624"/>
      <c r="I355" s="1766"/>
      <c r="J355" s="1723"/>
      <c r="K355" s="1657">
        <f>H355</f>
        <v>0</v>
      </c>
      <c r="L355" s="1624"/>
    </row>
    <row r="356" spans="1:14" ht="13.15" customHeight="1" x14ac:dyDescent="0.2">
      <c r="A356" s="1518" t="s">
        <v>693</v>
      </c>
      <c r="B356" s="557" t="s">
        <v>554</v>
      </c>
      <c r="C356" s="1723"/>
      <c r="D356" s="1723"/>
      <c r="E356" s="1723"/>
      <c r="F356" s="1723"/>
      <c r="G356" s="1723"/>
      <c r="H356" s="1634"/>
      <c r="I356" s="1766"/>
      <c r="J356" s="1723"/>
      <c r="K356" s="1650">
        <f>H356</f>
        <v>0</v>
      </c>
      <c r="L356" s="1634"/>
    </row>
    <row r="357" spans="1:14" ht="13.1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3.15" customHeight="1" x14ac:dyDescent="0.2">
      <c r="A361" s="1320" t="s">
        <v>615</v>
      </c>
      <c r="B361" s="494" t="s">
        <v>614</v>
      </c>
      <c r="C361" s="1723"/>
      <c r="D361" s="1723"/>
      <c r="E361" s="1723"/>
      <c r="F361" s="1723"/>
      <c r="G361" s="1723"/>
      <c r="H361" s="1624"/>
      <c r="I361" s="1723"/>
      <c r="J361" s="1723"/>
      <c r="K361" s="1722">
        <f>SUM(C361:J361)</f>
        <v>0</v>
      </c>
      <c r="L361" s="1623"/>
    </row>
    <row r="362" spans="1:14" ht="13.1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3.1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3.1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3737970</v>
      </c>
      <c r="H367" s="1724">
        <f t="shared" si="28"/>
        <v>0</v>
      </c>
      <c r="I367" s="1724">
        <f t="shared" si="28"/>
        <v>0</v>
      </c>
      <c r="J367" s="1724">
        <f t="shared" si="28"/>
        <v>0</v>
      </c>
      <c r="K367" s="1724">
        <f t="shared" si="28"/>
        <v>3737970</v>
      </c>
      <c r="L367" s="1724">
        <f t="shared" si="28"/>
        <v>3710192</v>
      </c>
    </row>
    <row r="368" spans="1:14" ht="13.5" thickTop="1" x14ac:dyDescent="0.2">
      <c r="A368" s="2240" t="s">
        <v>989</v>
      </c>
      <c r="B368" s="2241"/>
      <c r="C368" s="1744"/>
      <c r="D368" s="1744"/>
      <c r="E368" s="1727"/>
      <c r="F368" s="1727"/>
      <c r="G368" s="1727"/>
      <c r="H368" s="1727"/>
      <c r="I368" s="1727"/>
      <c r="J368" s="1726"/>
      <c r="K368" s="1722">
        <f>'Revenues 9-14'!K268-'Expenditures 15-22'!K367</f>
        <v>-3491618</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3" sqref="E1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67"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68"/>
      <c r="B3" s="1339"/>
      <c r="C3" s="1340"/>
      <c r="D3" s="1341" t="s">
        <v>254</v>
      </c>
      <c r="E3" s="1340"/>
      <c r="F3" s="1341" t="s">
        <v>255</v>
      </c>
    </row>
    <row r="4" spans="1:8" ht="13.7" customHeight="1" x14ac:dyDescent="0.2">
      <c r="A4" s="579" t="s">
        <v>1147</v>
      </c>
      <c r="B4" s="1771">
        <f>'Revenues 9-14'!C5</f>
        <v>10874323</v>
      </c>
      <c r="C4" s="1772">
        <v>289535</v>
      </c>
      <c r="D4" s="1773">
        <f>B4-C4</f>
        <v>10584788</v>
      </c>
      <c r="E4" s="1772">
        <v>11134342</v>
      </c>
      <c r="F4" s="1773">
        <f>E4-C4</f>
        <v>10844807</v>
      </c>
    </row>
    <row r="5" spans="1:8" ht="13.7" customHeight="1" x14ac:dyDescent="0.2">
      <c r="A5" s="579" t="s">
        <v>865</v>
      </c>
      <c r="B5" s="1774">
        <f>'Revenues 9-14'!D5</f>
        <v>1844122</v>
      </c>
      <c r="C5" s="1714">
        <v>49452</v>
      </c>
      <c r="D5" s="1775">
        <f t="shared" ref="D5:D18" si="0">B5-C5</f>
        <v>1794670</v>
      </c>
      <c r="E5" s="1714">
        <v>1887177</v>
      </c>
      <c r="F5" s="1775">
        <f>E5-C5</f>
        <v>1837725</v>
      </c>
    </row>
    <row r="6" spans="1:8" ht="13.7" customHeight="1" x14ac:dyDescent="0.2">
      <c r="A6" s="579" t="s">
        <v>408</v>
      </c>
      <c r="B6" s="1774">
        <f>'Revenues 9-14'!E5</f>
        <v>2010270</v>
      </c>
      <c r="C6" s="1714">
        <v>62195</v>
      </c>
      <c r="D6" s="1775">
        <f t="shared" si="0"/>
        <v>1948075</v>
      </c>
      <c r="E6" s="1714">
        <v>2342741</v>
      </c>
      <c r="F6" s="1775">
        <f t="shared" ref="F6:F18" si="1">E6-C6</f>
        <v>2280546</v>
      </c>
    </row>
    <row r="7" spans="1:8" ht="13.7" customHeight="1" x14ac:dyDescent="0.2">
      <c r="A7" s="579" t="s">
        <v>154</v>
      </c>
      <c r="B7" s="1774">
        <f>'Revenues 9-14'!F5</f>
        <v>737659</v>
      </c>
      <c r="C7" s="1714">
        <v>19781</v>
      </c>
      <c r="D7" s="1775">
        <f t="shared" si="0"/>
        <v>717878</v>
      </c>
      <c r="E7" s="1714">
        <v>754871</v>
      </c>
      <c r="F7" s="1775">
        <f t="shared" si="1"/>
        <v>735090</v>
      </c>
    </row>
    <row r="8" spans="1:8" ht="13.7" customHeight="1" x14ac:dyDescent="0.2">
      <c r="A8" s="579" t="s">
        <v>1171</v>
      </c>
      <c r="B8" s="1774">
        <f>'Revenues 9-14'!G5</f>
        <v>284928</v>
      </c>
      <c r="C8" s="1714">
        <v>6452</v>
      </c>
      <c r="D8" s="1775">
        <f t="shared" si="0"/>
        <v>278476</v>
      </c>
      <c r="E8" s="1714">
        <v>241936</v>
      </c>
      <c r="F8" s="1775">
        <f t="shared" si="1"/>
        <v>235484</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184417</v>
      </c>
      <c r="C10" s="1714">
        <v>4945</v>
      </c>
      <c r="D10" s="1775">
        <f t="shared" si="0"/>
        <v>179472</v>
      </c>
      <c r="E10" s="1714">
        <v>188718</v>
      </c>
      <c r="F10" s="1775">
        <f t="shared" si="1"/>
        <v>183773</v>
      </c>
    </row>
    <row r="11" spans="1:8" x14ac:dyDescent="0.2">
      <c r="A11" s="579" t="s">
        <v>406</v>
      </c>
      <c r="B11" s="1774">
        <f>'Revenues 9-14'!J5</f>
        <v>1238073</v>
      </c>
      <c r="C11" s="1714">
        <v>33953</v>
      </c>
      <c r="D11" s="1775">
        <f t="shared" si="0"/>
        <v>1204120</v>
      </c>
      <c r="E11" s="1714">
        <v>1272334</v>
      </c>
      <c r="F11" s="1775">
        <f t="shared" si="1"/>
        <v>1238381</v>
      </c>
    </row>
    <row r="12" spans="1:8" ht="13.7" customHeight="1" x14ac:dyDescent="0.2">
      <c r="A12" s="579" t="s">
        <v>156</v>
      </c>
      <c r="B12" s="1774">
        <f>'Revenues 9-14'!K5</f>
        <v>184417</v>
      </c>
      <c r="C12" s="1714">
        <v>4945</v>
      </c>
      <c r="D12" s="1775">
        <f t="shared" si="0"/>
        <v>179472</v>
      </c>
      <c r="E12" s="1714">
        <v>188718</v>
      </c>
      <c r="F12" s="1775">
        <f t="shared" si="1"/>
        <v>183773</v>
      </c>
    </row>
    <row r="13" spans="1:8" ht="13.7" customHeight="1" x14ac:dyDescent="0.2">
      <c r="A13" s="579" t="s">
        <v>930</v>
      </c>
      <c r="B13" s="1774">
        <f>SUM('Revenues 9-14'!C6:D6)</f>
        <v>184316</v>
      </c>
      <c r="C13" s="1714">
        <v>4945</v>
      </c>
      <c r="D13" s="1775">
        <f t="shared" si="0"/>
        <v>179371</v>
      </c>
      <c r="E13" s="1714">
        <v>188718</v>
      </c>
      <c r="F13" s="1775">
        <f t="shared" si="1"/>
        <v>183773</v>
      </c>
    </row>
    <row r="14" spans="1:8" ht="13.7" customHeight="1" x14ac:dyDescent="0.2">
      <c r="A14" s="579" t="s">
        <v>407</v>
      </c>
      <c r="B14" s="1774">
        <f>SUM('Revenues 9-14'!C7:D7,'Revenues 9-14'!F7:H7)</f>
        <v>147444</v>
      </c>
      <c r="C14" s="1714">
        <v>3956</v>
      </c>
      <c r="D14" s="1775">
        <f t="shared" si="0"/>
        <v>143488</v>
      </c>
      <c r="E14" s="1714">
        <v>150974</v>
      </c>
      <c r="F14" s="1775">
        <f t="shared" si="1"/>
        <v>147018</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334479</v>
      </c>
      <c r="C16" s="1714">
        <v>10039</v>
      </c>
      <c r="D16" s="1775">
        <f t="shared" si="0"/>
        <v>324440</v>
      </c>
      <c r="E16" s="1714">
        <v>376303</v>
      </c>
      <c r="F16" s="1775">
        <f t="shared" si="1"/>
        <v>366264</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18024448</v>
      </c>
      <c r="C19" s="1776">
        <f>SUM(C4:C18)</f>
        <v>490198</v>
      </c>
      <c r="D19" s="1776">
        <f>SUM(D4:D18)</f>
        <v>17534250</v>
      </c>
      <c r="E19" s="1776">
        <f>SUM(E4:E18)</f>
        <v>18726832</v>
      </c>
      <c r="F19" s="1776">
        <f>SUM(F4:F18)</f>
        <v>18236634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9"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4" customHeight="1" x14ac:dyDescent="0.2">
      <c r="A1" s="2289" t="s">
        <v>625</v>
      </c>
      <c r="B1" s="2287"/>
      <c r="C1" s="585"/>
    </row>
    <row r="2" spans="1:7" ht="33.75" x14ac:dyDescent="0.2">
      <c r="A2" s="2294" t="s">
        <v>1779</v>
      </c>
      <c r="B2" s="2295"/>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96" t="s">
        <v>1106</v>
      </c>
      <c r="B3" s="2297"/>
      <c r="C3" s="2290"/>
      <c r="D3" s="2291"/>
      <c r="E3" s="2291"/>
      <c r="F3" s="2292"/>
    </row>
    <row r="4" spans="1:7" ht="13.15" customHeight="1" thickBot="1" x14ac:dyDescent="0.25">
      <c r="A4" s="2284" t="s">
        <v>626</v>
      </c>
      <c r="B4" s="2285"/>
      <c r="C4" s="1706"/>
      <c r="D4" s="1706"/>
      <c r="E4" s="1706"/>
      <c r="F4" s="1782">
        <f>SUM(C4+D4)-E4</f>
        <v>0</v>
      </c>
    </row>
    <row r="5" spans="1:7" ht="15.75" customHeight="1" thickTop="1" x14ac:dyDescent="0.2">
      <c r="A5" s="2288" t="s">
        <v>1103</v>
      </c>
      <c r="B5" s="2283"/>
      <c r="C5" s="2277"/>
      <c r="D5" s="2278"/>
      <c r="E5" s="2278"/>
      <c r="F5" s="2279"/>
    </row>
    <row r="6" spans="1:7" ht="13.15" customHeight="1" thickBot="1" x14ac:dyDescent="0.25">
      <c r="A6" s="587" t="s">
        <v>64</v>
      </c>
      <c r="B6" s="588"/>
      <c r="C6" s="1783"/>
      <c r="D6" s="1714"/>
      <c r="E6" s="1783"/>
      <c r="F6" s="1782">
        <f t="shared" ref="F6:F14" si="0">SUM(C6+D6)-E6</f>
        <v>0</v>
      </c>
    </row>
    <row r="7" spans="1:7" ht="13.15" customHeight="1" thickTop="1" thickBot="1" x14ac:dyDescent="0.25">
      <c r="A7" s="587" t="s">
        <v>6</v>
      </c>
      <c r="B7" s="588"/>
      <c r="C7" s="1783"/>
      <c r="D7" s="1714"/>
      <c r="E7" s="1783"/>
      <c r="F7" s="1782">
        <f t="shared" si="0"/>
        <v>0</v>
      </c>
    </row>
    <row r="8" spans="1:7" ht="13.15" customHeight="1" thickTop="1" thickBot="1" x14ac:dyDescent="0.25">
      <c r="A8" s="587" t="s">
        <v>505</v>
      </c>
      <c r="B8" s="588"/>
      <c r="C8" s="1783"/>
      <c r="D8" s="1714"/>
      <c r="E8" s="1783"/>
      <c r="F8" s="1782">
        <f t="shared" si="0"/>
        <v>0</v>
      </c>
    </row>
    <row r="9" spans="1:7" ht="13.15" customHeight="1" thickTop="1" thickBot="1" x14ac:dyDescent="0.25">
      <c r="A9" s="587" t="s">
        <v>506</v>
      </c>
      <c r="B9" s="588"/>
      <c r="C9" s="1783"/>
      <c r="D9" s="1714"/>
      <c r="E9" s="1783"/>
      <c r="F9" s="1782">
        <f t="shared" si="0"/>
        <v>0</v>
      </c>
    </row>
    <row r="10" spans="1:7" ht="13.15" customHeight="1" thickTop="1" thickBot="1" x14ac:dyDescent="0.25">
      <c r="A10" s="587" t="s">
        <v>507</v>
      </c>
      <c r="B10" s="588"/>
      <c r="C10" s="1783"/>
      <c r="D10" s="1714"/>
      <c r="E10" s="1783"/>
      <c r="F10" s="1782">
        <f t="shared" si="0"/>
        <v>0</v>
      </c>
    </row>
    <row r="11" spans="1:7" ht="13.15" customHeight="1" thickTop="1" thickBot="1" x14ac:dyDescent="0.25">
      <c r="A11" s="587" t="s">
        <v>338</v>
      </c>
      <c r="B11" s="588"/>
      <c r="C11" s="1783"/>
      <c r="D11" s="1714"/>
      <c r="E11" s="1783"/>
      <c r="F11" s="1782">
        <f t="shared" si="0"/>
        <v>0</v>
      </c>
    </row>
    <row r="12" spans="1:7" ht="13.15" customHeight="1" thickTop="1" thickBot="1" x14ac:dyDescent="0.25">
      <c r="A12" s="587" t="s">
        <v>1149</v>
      </c>
      <c r="B12" s="588"/>
      <c r="C12" s="1783"/>
      <c r="D12" s="1714"/>
      <c r="E12" s="1783"/>
      <c r="F12" s="1782">
        <f t="shared" si="0"/>
        <v>0</v>
      </c>
    </row>
    <row r="13" spans="1:7" ht="13.15" customHeight="1" thickTop="1" thickBot="1" x14ac:dyDescent="0.25">
      <c r="A13" s="587" t="s">
        <v>385</v>
      </c>
      <c r="B13" s="588"/>
      <c r="C13" s="1783"/>
      <c r="D13" s="1714"/>
      <c r="E13" s="1783"/>
      <c r="F13" s="1782">
        <f t="shared" si="0"/>
        <v>0</v>
      </c>
    </row>
    <row r="14" spans="1:7" ht="13.15" customHeight="1" thickTop="1" thickBot="1" x14ac:dyDescent="0.25">
      <c r="A14" s="587" t="s">
        <v>445</v>
      </c>
      <c r="B14" s="588"/>
      <c r="C14" s="1783"/>
      <c r="D14" s="1714"/>
      <c r="E14" s="1783"/>
      <c r="F14" s="1782">
        <f t="shared" si="0"/>
        <v>0</v>
      </c>
    </row>
    <row r="15" spans="1:7" ht="14.25" thickTop="1" thickBot="1" x14ac:dyDescent="0.25">
      <c r="A15" s="2280" t="s">
        <v>627</v>
      </c>
      <c r="B15" s="2281"/>
      <c r="C15" s="1782">
        <f>SUM(C6:C14)</f>
        <v>0</v>
      </c>
      <c r="D15" s="1782">
        <f>SUM(D6:D14)</f>
        <v>0</v>
      </c>
      <c r="E15" s="1782">
        <f>SUM(E6:E14)</f>
        <v>0</v>
      </c>
      <c r="F15" s="1782">
        <f>SUM(F6:F14)</f>
        <v>0</v>
      </c>
      <c r="G15" s="473"/>
    </row>
    <row r="16" spans="1:7" s="197" customFormat="1" ht="15.75" customHeight="1" thickTop="1" x14ac:dyDescent="0.2">
      <c r="A16" s="2293" t="s">
        <v>1104</v>
      </c>
      <c r="B16" s="2283"/>
      <c r="C16" s="2277"/>
      <c r="D16" s="2278"/>
      <c r="E16" s="2278"/>
      <c r="F16" s="2279"/>
    </row>
    <row r="17" spans="1:11" ht="13.15" customHeight="1" thickBot="1" x14ac:dyDescent="0.25">
      <c r="A17" s="2275" t="s">
        <v>64</v>
      </c>
      <c r="B17" s="2276"/>
      <c r="C17" s="1783"/>
      <c r="D17" s="1714"/>
      <c r="E17" s="1783"/>
      <c r="F17" s="1782">
        <f>SUM(C17+D17)-E17</f>
        <v>0</v>
      </c>
    </row>
    <row r="18" spans="1:11" ht="13.15" customHeight="1" thickTop="1" thickBot="1" x14ac:dyDescent="0.25">
      <c r="A18" s="2275" t="s">
        <v>6</v>
      </c>
      <c r="B18" s="2276"/>
      <c r="C18" s="1783"/>
      <c r="D18" s="1714"/>
      <c r="E18" s="1783"/>
      <c r="F18" s="1782">
        <f>SUM(C18+D18)-E18</f>
        <v>0</v>
      </c>
    </row>
    <row r="19" spans="1:11" ht="13.15" customHeight="1" thickTop="1" thickBot="1" x14ac:dyDescent="0.25">
      <c r="A19" s="2275" t="s">
        <v>385</v>
      </c>
      <c r="B19" s="2276"/>
      <c r="C19" s="1783"/>
      <c r="D19" s="1714"/>
      <c r="E19" s="1783"/>
      <c r="F19" s="1782">
        <f>SUM(C19+D19)-E19</f>
        <v>0</v>
      </c>
    </row>
    <row r="20" spans="1:11" ht="13.15" customHeight="1" thickTop="1" thickBot="1" x14ac:dyDescent="0.25">
      <c r="A20" s="2275" t="s">
        <v>445</v>
      </c>
      <c r="B20" s="2276"/>
      <c r="C20" s="1783"/>
      <c r="D20" s="1714"/>
      <c r="E20" s="1783"/>
      <c r="F20" s="1782">
        <f>SUM(C20+D20)-E20</f>
        <v>0</v>
      </c>
    </row>
    <row r="21" spans="1:11" ht="14.25" thickTop="1" thickBot="1" x14ac:dyDescent="0.25">
      <c r="A21" s="2280" t="s">
        <v>628</v>
      </c>
      <c r="B21" s="2281"/>
      <c r="C21" s="1782">
        <f>SUM(C17:C20)</f>
        <v>0</v>
      </c>
      <c r="D21" s="1782">
        <f>SUM(D17:D20)</f>
        <v>0</v>
      </c>
      <c r="E21" s="1782">
        <f>SUM(E17:E20)</f>
        <v>0</v>
      </c>
      <c r="F21" s="1782">
        <f>SUM(F17:F20)</f>
        <v>0</v>
      </c>
      <c r="G21" s="473"/>
    </row>
    <row r="22" spans="1:11" ht="15.75" customHeight="1" thickTop="1" x14ac:dyDescent="0.2">
      <c r="A22" s="2282" t="s">
        <v>1105</v>
      </c>
      <c r="B22" s="2283"/>
      <c r="C22" s="2277"/>
      <c r="D22" s="2278"/>
      <c r="E22" s="2278"/>
      <c r="F22" s="2279"/>
    </row>
    <row r="23" spans="1:11" ht="13.5" thickBot="1" x14ac:dyDescent="0.25">
      <c r="A23" s="2284" t="s">
        <v>629</v>
      </c>
      <c r="B23" s="2285"/>
      <c r="C23" s="1706"/>
      <c r="D23" s="1706"/>
      <c r="E23" s="1706"/>
      <c r="F23" s="1782">
        <f>SUM(C23+D23)-E23</f>
        <v>0</v>
      </c>
      <c r="G23" s="473"/>
    </row>
    <row r="24" spans="1:11" ht="15.75" customHeight="1" thickTop="1" x14ac:dyDescent="0.2">
      <c r="A24" s="2282" t="s">
        <v>2006</v>
      </c>
      <c r="B24" s="2283"/>
      <c r="C24" s="2277"/>
      <c r="D24" s="2278"/>
      <c r="E24" s="2278"/>
      <c r="F24" s="2279"/>
    </row>
    <row r="25" spans="1:11" ht="13.5" thickBot="1" x14ac:dyDescent="0.25">
      <c r="A25" s="2284" t="s">
        <v>2007</v>
      </c>
      <c r="B25" s="2285"/>
      <c r="C25" s="1706"/>
      <c r="D25" s="1706"/>
      <c r="E25" s="1706"/>
      <c r="F25" s="1782">
        <f>SUM(C25+D25)-E25</f>
        <v>0</v>
      </c>
      <c r="G25" s="473"/>
    </row>
    <row r="26" spans="1:11" ht="15.75" customHeight="1" thickTop="1" x14ac:dyDescent="0.2">
      <c r="A26" s="2288" t="s">
        <v>652</v>
      </c>
      <c r="B26" s="2283"/>
      <c r="C26" s="589"/>
      <c r="D26" s="589"/>
      <c r="E26" s="589"/>
      <c r="F26" s="590"/>
    </row>
    <row r="27" spans="1:11" ht="13.5" thickBot="1" x14ac:dyDescent="0.25">
      <c r="A27" s="2280" t="s">
        <v>1063</v>
      </c>
      <c r="B27" s="2281"/>
      <c r="C27" s="1714"/>
      <c r="D27" s="1714"/>
      <c r="E27" s="1714"/>
      <c r="F27" s="1782">
        <f>SUM(C27+D27)-E27</f>
        <v>0</v>
      </c>
      <c r="G27" s="473"/>
    </row>
    <row r="28" spans="1:11" ht="7.5" customHeight="1" thickTop="1" x14ac:dyDescent="0.2">
      <c r="A28" s="489"/>
    </row>
    <row r="29" spans="1:11" ht="23.25" customHeight="1" x14ac:dyDescent="0.2">
      <c r="A29" s="2286" t="s">
        <v>578</v>
      </c>
      <c r="B29" s="228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2037</v>
      </c>
      <c r="B31" s="595">
        <v>41708</v>
      </c>
      <c r="C31" s="1784">
        <v>3700000</v>
      </c>
      <c r="D31" s="1785">
        <v>4</v>
      </c>
      <c r="E31" s="1784">
        <v>1430000</v>
      </c>
      <c r="F31" s="1784"/>
      <c r="G31" s="1784"/>
      <c r="H31" s="1784">
        <v>485000</v>
      </c>
      <c r="I31" s="1786">
        <f>((E31+F31)-H31)+G31</f>
        <v>945000</v>
      </c>
      <c r="J31" s="1784">
        <v>925824</v>
      </c>
      <c r="K31" s="596"/>
    </row>
    <row r="32" spans="1:11" ht="12" customHeight="1" x14ac:dyDescent="0.2">
      <c r="A32" s="594" t="s">
        <v>2038</v>
      </c>
      <c r="B32" s="595">
        <v>42522</v>
      </c>
      <c r="C32" s="1784">
        <v>2245000</v>
      </c>
      <c r="D32" s="1785">
        <v>4</v>
      </c>
      <c r="E32" s="1784">
        <v>2245000</v>
      </c>
      <c r="F32" s="1784"/>
      <c r="G32" s="1784"/>
      <c r="H32" s="1784"/>
      <c r="I32" s="1786">
        <f>((E32+F32)-H32)+G32</f>
        <v>2245000</v>
      </c>
      <c r="J32" s="1784">
        <v>2199444</v>
      </c>
      <c r="K32" s="596"/>
    </row>
    <row r="33" spans="1:11" ht="12" customHeight="1" x14ac:dyDescent="0.2">
      <c r="A33" s="594" t="s">
        <v>2039</v>
      </c>
      <c r="B33" s="595">
        <v>42794</v>
      </c>
      <c r="C33" s="1784">
        <v>21390000</v>
      </c>
      <c r="D33" s="1785">
        <v>4</v>
      </c>
      <c r="E33" s="1784">
        <v>20915000</v>
      </c>
      <c r="F33" s="1784"/>
      <c r="G33" s="1784"/>
      <c r="H33" s="1784">
        <v>220000</v>
      </c>
      <c r="I33" s="1786">
        <f t="shared" ref="I33:I48" si="1">((E33+F33)-H33)+G33</f>
        <v>20695000</v>
      </c>
      <c r="J33" s="1784">
        <v>20275051</v>
      </c>
      <c r="K33" s="596"/>
    </row>
    <row r="34" spans="1:11" ht="12" customHeight="1" x14ac:dyDescent="0.2">
      <c r="A34" s="594" t="s">
        <v>2040</v>
      </c>
      <c r="B34" s="595">
        <v>43221</v>
      </c>
      <c r="C34" s="1784">
        <v>10650000</v>
      </c>
      <c r="D34" s="1785">
        <v>4</v>
      </c>
      <c r="E34" s="1784">
        <v>10650000</v>
      </c>
      <c r="F34" s="1784"/>
      <c r="G34" s="1784"/>
      <c r="H34" s="1784">
        <v>405000</v>
      </c>
      <c r="I34" s="1786">
        <f t="shared" si="1"/>
        <v>10245000</v>
      </c>
      <c r="J34" s="1784">
        <v>10037106</v>
      </c>
      <c r="K34" s="597"/>
    </row>
    <row r="35" spans="1:11" ht="12" customHeight="1" x14ac:dyDescent="0.2">
      <c r="A35" s="594" t="s">
        <v>2043</v>
      </c>
      <c r="B35" s="595">
        <v>43221</v>
      </c>
      <c r="C35" s="1787">
        <v>1195000</v>
      </c>
      <c r="D35" s="1785">
        <v>3</v>
      </c>
      <c r="E35" s="1787">
        <v>895000</v>
      </c>
      <c r="F35" s="1787"/>
      <c r="G35" s="1787"/>
      <c r="H35" s="1787">
        <v>285000</v>
      </c>
      <c r="I35" s="1786">
        <f t="shared" si="1"/>
        <v>610000</v>
      </c>
      <c r="J35" s="1787">
        <v>597622</v>
      </c>
      <c r="K35" s="597"/>
    </row>
    <row r="36" spans="1:11" ht="12" customHeight="1" x14ac:dyDescent="0.2">
      <c r="A36" s="594" t="s">
        <v>2041</v>
      </c>
      <c r="B36" s="595">
        <v>43584</v>
      </c>
      <c r="C36" s="1784">
        <v>4215000</v>
      </c>
      <c r="D36" s="1785">
        <v>3</v>
      </c>
      <c r="E36" s="1784">
        <v>4215000</v>
      </c>
      <c r="F36" s="1784"/>
      <c r="G36" s="1784"/>
      <c r="H36" s="1784">
        <v>185000</v>
      </c>
      <c r="I36" s="1786">
        <f t="shared" si="1"/>
        <v>4030000</v>
      </c>
      <c r="J36" s="1784">
        <v>3948222</v>
      </c>
      <c r="K36" s="598"/>
    </row>
    <row r="37" spans="1:11" ht="12" customHeight="1" x14ac:dyDescent="0.2">
      <c r="A37" s="594" t="s">
        <v>2042</v>
      </c>
      <c r="B37" s="595">
        <v>43584</v>
      </c>
      <c r="C37" s="1624">
        <v>2460000</v>
      </c>
      <c r="D37" s="1788">
        <v>4</v>
      </c>
      <c r="E37" s="1624">
        <v>2460000</v>
      </c>
      <c r="F37" s="1624"/>
      <c r="G37" s="1624"/>
      <c r="H37" s="1624"/>
      <c r="I37" s="1786">
        <f t="shared" si="1"/>
        <v>2460000</v>
      </c>
      <c r="J37" s="1624">
        <v>2410081</v>
      </c>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45855000</v>
      </c>
      <c r="D49" s="1792"/>
      <c r="E49" s="1786">
        <f t="shared" ref="E49:J49" si="2">SUM(E31:E48)</f>
        <v>42810000</v>
      </c>
      <c r="F49" s="1786">
        <f t="shared" si="2"/>
        <v>0</v>
      </c>
      <c r="G49" s="1786">
        <f t="shared" si="2"/>
        <v>0</v>
      </c>
      <c r="H49" s="1786">
        <f t="shared" si="2"/>
        <v>1580000</v>
      </c>
      <c r="I49" s="1786">
        <f t="shared" si="2"/>
        <v>41230000</v>
      </c>
      <c r="J49" s="1786">
        <f t="shared" si="2"/>
        <v>40393350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69" t="s">
        <v>580</v>
      </c>
      <c r="C52" s="2270"/>
      <c r="D52" s="2270"/>
      <c r="E52" s="603" t="s">
        <v>840</v>
      </c>
      <c r="F52" s="2271"/>
      <c r="G52" s="2272"/>
      <c r="H52" s="596"/>
      <c r="I52" s="596"/>
      <c r="J52" s="600"/>
    </row>
    <row r="53" spans="1:11" ht="11.25" customHeight="1" x14ac:dyDescent="0.2">
      <c r="A53" s="604" t="s">
        <v>907</v>
      </c>
      <c r="B53" s="605" t="s">
        <v>945</v>
      </c>
      <c r="C53" s="600"/>
      <c r="D53" s="597"/>
      <c r="E53" s="603" t="s">
        <v>494</v>
      </c>
      <c r="F53" s="2273"/>
      <c r="G53" s="2274"/>
      <c r="H53" s="596"/>
      <c r="I53" s="596"/>
      <c r="J53" s="600"/>
    </row>
    <row r="54" spans="1:11" ht="11.25" customHeight="1" x14ac:dyDescent="0.2">
      <c r="A54" s="606" t="s">
        <v>908</v>
      </c>
      <c r="B54" s="601" t="s">
        <v>946</v>
      </c>
      <c r="C54" s="600"/>
      <c r="D54" s="597"/>
      <c r="E54" s="603" t="s">
        <v>495</v>
      </c>
      <c r="F54" s="2273"/>
      <c r="G54" s="227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J18" sqref="J18:J1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8" t="s">
        <v>851</v>
      </c>
      <c r="B1" s="2299"/>
      <c r="C1" s="2299"/>
      <c r="D1" s="2299"/>
      <c r="E1" s="2299"/>
      <c r="F1" s="2299"/>
      <c r="G1" s="2300"/>
      <c r="H1" s="1343"/>
      <c r="I1" s="614"/>
      <c r="J1" s="400"/>
    </row>
    <row r="2" spans="1:11" ht="26.25" x14ac:dyDescent="0.2">
      <c r="A2" s="2317" t="s">
        <v>1661</v>
      </c>
      <c r="B2" s="2318"/>
      <c r="C2" s="2318"/>
      <c r="D2" s="2318"/>
      <c r="E2" s="2319"/>
      <c r="F2" s="615" t="s">
        <v>898</v>
      </c>
      <c r="G2" s="616" t="s">
        <v>1658</v>
      </c>
      <c r="H2" s="616" t="s">
        <v>407</v>
      </c>
      <c r="I2" s="616" t="s">
        <v>1150</v>
      </c>
      <c r="J2" s="616" t="s">
        <v>1789</v>
      </c>
      <c r="K2" s="616" t="s">
        <v>137</v>
      </c>
    </row>
    <row r="3" spans="1:11" x14ac:dyDescent="0.2">
      <c r="A3" s="2320" t="str">
        <f>"Cash Basis Fund Balance as of July 1, "&amp;'AFR20'!E2-1</f>
        <v>Cash Basis Fund Balance as of July 1, 2019</v>
      </c>
      <c r="B3" s="2321"/>
      <c r="C3" s="2321"/>
      <c r="D3" s="2321"/>
      <c r="E3" s="2322"/>
      <c r="F3" s="617"/>
      <c r="G3" s="1794"/>
      <c r="H3" s="1794"/>
      <c r="I3" s="1794"/>
      <c r="J3" s="1795">
        <v>2700872</v>
      </c>
      <c r="K3" s="1795"/>
    </row>
    <row r="4" spans="1:11" x14ac:dyDescent="0.2">
      <c r="A4" s="2323" t="s">
        <v>366</v>
      </c>
      <c r="B4" s="2324"/>
      <c r="C4" s="2324"/>
      <c r="D4" s="2324"/>
      <c r="E4" s="2270"/>
      <c r="F4" s="620"/>
      <c r="G4" s="1796"/>
      <c r="H4" s="1797"/>
      <c r="I4" s="1796"/>
      <c r="J4" s="1798"/>
      <c r="K4" s="1798"/>
    </row>
    <row r="5" spans="1:11" x14ac:dyDescent="0.2">
      <c r="A5" s="2301" t="s">
        <v>1062</v>
      </c>
      <c r="B5" s="2302"/>
      <c r="C5" s="2302"/>
      <c r="D5" s="2302"/>
      <c r="E5" s="2303"/>
      <c r="F5" s="622" t="s">
        <v>843</v>
      </c>
      <c r="G5" s="1799"/>
      <c r="H5" s="1794">
        <v>147444</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16125</v>
      </c>
    </row>
    <row r="8" spans="1:11" x14ac:dyDescent="0.2">
      <c r="A8" s="629" t="s">
        <v>342</v>
      </c>
      <c r="B8" s="630"/>
      <c r="C8" s="630"/>
      <c r="D8" s="630"/>
      <c r="E8" s="631"/>
      <c r="F8" s="622" t="s">
        <v>846</v>
      </c>
      <c r="G8" s="1803"/>
      <c r="H8" s="1803"/>
      <c r="I8" s="1803"/>
      <c r="J8" s="1795">
        <v>1314220</v>
      </c>
      <c r="K8" s="1798"/>
    </row>
    <row r="9" spans="1:11" x14ac:dyDescent="0.2">
      <c r="A9" s="629" t="s">
        <v>137</v>
      </c>
      <c r="B9" s="630"/>
      <c r="C9" s="630"/>
      <c r="D9" s="630"/>
      <c r="E9" s="631"/>
      <c r="F9" s="628" t="s">
        <v>848</v>
      </c>
      <c r="G9" s="1803"/>
      <c r="H9" s="1799"/>
      <c r="I9" s="1799"/>
      <c r="J9" s="1802"/>
      <c r="K9" s="1795"/>
    </row>
    <row r="10" spans="1:11" x14ac:dyDescent="0.2">
      <c r="A10" s="2301" t="s">
        <v>1790</v>
      </c>
      <c r="B10" s="2302"/>
      <c r="C10" s="2302"/>
      <c r="D10" s="2302"/>
      <c r="E10" s="2304"/>
      <c r="F10" s="633" t="s">
        <v>857</v>
      </c>
      <c r="G10" s="1803"/>
      <c r="H10" s="1804"/>
      <c r="I10" s="1794"/>
      <c r="J10" s="1795"/>
      <c r="K10" s="1795"/>
    </row>
    <row r="11" spans="1:11" x14ac:dyDescent="0.2">
      <c r="A11" s="2301" t="s">
        <v>159</v>
      </c>
      <c r="B11" s="2302"/>
      <c r="C11" s="2302"/>
      <c r="D11" s="2302"/>
      <c r="E11" s="2303"/>
      <c r="F11" s="622" t="s">
        <v>847</v>
      </c>
      <c r="G11" s="1799"/>
      <c r="H11" s="1794"/>
      <c r="I11" s="1794"/>
      <c r="J11" s="1795"/>
      <c r="K11" s="1801"/>
    </row>
    <row r="12" spans="1:11" ht="13.5" thickBot="1" x14ac:dyDescent="0.25">
      <c r="A12" s="2328" t="s">
        <v>899</v>
      </c>
      <c r="B12" s="2329"/>
      <c r="C12" s="2329"/>
      <c r="D12" s="2329"/>
      <c r="E12" s="2330"/>
      <c r="F12" s="1482"/>
      <c r="G12" s="1805">
        <f>SUM(G5:G11)</f>
        <v>0</v>
      </c>
      <c r="H12" s="1805">
        <f>SUM(H5:H11)</f>
        <v>147444</v>
      </c>
      <c r="I12" s="1805">
        <f>SUM(I5:I11)</f>
        <v>0</v>
      </c>
      <c r="J12" s="1805">
        <f>SUM(J5:J11)</f>
        <v>1314220</v>
      </c>
      <c r="K12" s="1805">
        <f>SUM(K5:K11)</f>
        <v>16125</v>
      </c>
    </row>
    <row r="13" spans="1:11" ht="13.5" thickTop="1" x14ac:dyDescent="0.2">
      <c r="A13" s="2325" t="s">
        <v>367</v>
      </c>
      <c r="B13" s="2326"/>
      <c r="C13" s="2326"/>
      <c r="D13" s="2326"/>
      <c r="E13" s="2327"/>
      <c r="F13" s="634"/>
      <c r="G13" s="1806"/>
      <c r="H13" s="1807"/>
      <c r="I13" s="1808"/>
      <c r="J13" s="1808"/>
      <c r="K13" s="1808"/>
    </row>
    <row r="14" spans="1:11" x14ac:dyDescent="0.2">
      <c r="A14" s="2308" t="s">
        <v>453</v>
      </c>
      <c r="B14" s="2308"/>
      <c r="C14" s="2308"/>
      <c r="D14" s="2308"/>
      <c r="E14" s="2309"/>
      <c r="F14" s="635" t="s">
        <v>849</v>
      </c>
      <c r="G14" s="1803"/>
      <c r="H14" s="1794">
        <v>147444</v>
      </c>
      <c r="I14" s="1799"/>
      <c r="J14" s="1801"/>
      <c r="K14" s="1795">
        <v>16125</v>
      </c>
    </row>
    <row r="15" spans="1:11" x14ac:dyDescent="0.2">
      <c r="A15" s="2302" t="s">
        <v>4</v>
      </c>
      <c r="B15" s="2302"/>
      <c r="C15" s="2302"/>
      <c r="D15" s="2302"/>
      <c r="E15" s="2303"/>
      <c r="F15" s="635" t="s">
        <v>850</v>
      </c>
      <c r="G15" s="1799"/>
      <c r="H15" s="1794"/>
      <c r="I15" s="1794"/>
      <c r="J15" s="1795">
        <v>1541265</v>
      </c>
      <c r="K15" s="1795"/>
    </row>
    <row r="16" spans="1:11" x14ac:dyDescent="0.2">
      <c r="A16" s="2302" t="s">
        <v>295</v>
      </c>
      <c r="B16" s="2302"/>
      <c r="C16" s="2302"/>
      <c r="D16" s="2302"/>
      <c r="E16" s="2303"/>
      <c r="F16" s="635" t="s">
        <v>917</v>
      </c>
      <c r="G16" s="1800"/>
      <c r="H16" s="1796"/>
      <c r="I16" s="1796"/>
      <c r="J16" s="1798"/>
      <c r="K16" s="1798"/>
    </row>
    <row r="17" spans="1:15" x14ac:dyDescent="0.2">
      <c r="A17" s="2335" t="s">
        <v>929</v>
      </c>
      <c r="B17" s="2335"/>
      <c r="C17" s="2335"/>
      <c r="D17" s="2335"/>
      <c r="E17" s="2336"/>
      <c r="F17" s="636"/>
      <c r="G17" s="1809"/>
      <c r="H17" s="1810"/>
      <c r="I17" s="1810"/>
      <c r="J17" s="1811"/>
      <c r="K17" s="1812"/>
    </row>
    <row r="18" spans="1:15" x14ac:dyDescent="0.2">
      <c r="A18" s="2312" t="s">
        <v>365</v>
      </c>
      <c r="B18" s="2313"/>
      <c r="C18" s="2313"/>
      <c r="D18" s="2313"/>
      <c r="E18" s="2314"/>
      <c r="F18" s="635" t="s">
        <v>926</v>
      </c>
      <c r="G18" s="1803"/>
      <c r="H18" s="1803"/>
      <c r="I18" s="1803"/>
      <c r="J18" s="1795">
        <v>660000</v>
      </c>
      <c r="K18" s="1813"/>
    </row>
    <row r="19" spans="1:15" ht="21.75" customHeight="1" x14ac:dyDescent="0.2">
      <c r="A19" s="2310" t="s">
        <v>1786</v>
      </c>
      <c r="B19" s="2310"/>
      <c r="C19" s="2310"/>
      <c r="D19" s="2310"/>
      <c r="E19" s="2311"/>
      <c r="F19" s="635" t="s">
        <v>927</v>
      </c>
      <c r="G19" s="1803"/>
      <c r="H19" s="1803"/>
      <c r="I19" s="1803"/>
      <c r="J19" s="1795">
        <v>590000</v>
      </c>
      <c r="K19" s="1813"/>
    </row>
    <row r="20" spans="1:15" x14ac:dyDescent="0.2">
      <c r="A20" s="2312" t="s">
        <v>1791</v>
      </c>
      <c r="B20" s="2313"/>
      <c r="C20" s="2313"/>
      <c r="D20" s="2313"/>
      <c r="E20" s="2314"/>
      <c r="F20" s="635" t="s">
        <v>928</v>
      </c>
      <c r="G20" s="1803"/>
      <c r="H20" s="1803"/>
      <c r="I20" s="1803"/>
      <c r="J20" s="1795"/>
      <c r="K20" s="1813"/>
    </row>
    <row r="21" spans="1:15" ht="13.5" thickBot="1" x14ac:dyDescent="0.25">
      <c r="A21" s="2331" t="s">
        <v>633</v>
      </c>
      <c r="B21" s="2331"/>
      <c r="C21" s="2331"/>
      <c r="D21" s="2331"/>
      <c r="E21" s="2331"/>
      <c r="F21" s="1483"/>
      <c r="G21" s="1810"/>
      <c r="H21" s="1814"/>
      <c r="I21" s="1814"/>
      <c r="J21" s="1815">
        <f>SUM(J18:J20)</f>
        <v>1250000</v>
      </c>
      <c r="K21" s="1811"/>
    </row>
    <row r="22" spans="1:15" ht="13.5" thickTop="1" x14ac:dyDescent="0.2">
      <c r="A22" s="2302" t="s">
        <v>1792</v>
      </c>
      <c r="B22" s="2302"/>
      <c r="C22" s="2302"/>
      <c r="D22" s="2302"/>
      <c r="E22" s="2303"/>
      <c r="F22" s="635" t="s">
        <v>857</v>
      </c>
      <c r="G22" s="1803"/>
      <c r="H22" s="1794"/>
      <c r="I22" s="1794"/>
      <c r="J22" s="1816"/>
      <c r="K22" s="1795"/>
    </row>
    <row r="23" spans="1:15" ht="13.5" thickBot="1" x14ac:dyDescent="0.25">
      <c r="A23" s="2332" t="s">
        <v>900</v>
      </c>
      <c r="B23" s="2331"/>
      <c r="C23" s="2331"/>
      <c r="D23" s="2331"/>
      <c r="E23" s="2331"/>
      <c r="F23" s="1485"/>
      <c r="G23" s="1805">
        <f>SUM(G14:G16,G21,G22)</f>
        <v>0</v>
      </c>
      <c r="H23" s="1805">
        <f>SUM(H14:H16,H21,H22)</f>
        <v>147444</v>
      </c>
      <c r="I23" s="1805">
        <f>SUM(I14:I16,I21,I22)</f>
        <v>0</v>
      </c>
      <c r="J23" s="1805">
        <f>SUM(J14:J16,J21,J22)</f>
        <v>2791265</v>
      </c>
      <c r="K23" s="1805">
        <f>SUM(K14:K16,K21,K22)</f>
        <v>16125</v>
      </c>
      <c r="M23" s="1904"/>
      <c r="N23" s="1904"/>
      <c r="O23" s="1904"/>
    </row>
    <row r="24" spans="1:15" ht="14.25" thickTop="1" thickBot="1" x14ac:dyDescent="0.25">
      <c r="A24" s="2333" t="str">
        <f>"Ending Cash Basis Fund Balance as of June 30, "&amp;'AFR20'!E2</f>
        <v>Ending Cash Basis Fund Balance as of June 30, 2020</v>
      </c>
      <c r="B24" s="2334"/>
      <c r="C24" s="2334"/>
      <c r="D24" s="2334"/>
      <c r="E24" s="2334"/>
      <c r="F24" s="1486"/>
      <c r="G24" s="1817">
        <f>SUM(G3,G12)-G23</f>
        <v>0</v>
      </c>
      <c r="H24" s="1817">
        <f>SUM(H3,H12)-H23</f>
        <v>0</v>
      </c>
      <c r="I24" s="1817">
        <f>SUM(I3,I12)-I23</f>
        <v>0</v>
      </c>
      <c r="J24" s="1817">
        <f>SUM(J3,J12)-J23</f>
        <v>1223827</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1223827</v>
      </c>
      <c r="K26" s="1805">
        <f>K24-K25</f>
        <v>0</v>
      </c>
    </row>
    <row r="27" spans="1:15" ht="5.25" customHeight="1" thickTop="1" x14ac:dyDescent="0.2">
      <c r="I27" s="197"/>
      <c r="J27" s="197"/>
    </row>
    <row r="28" spans="1:15" ht="29.25" customHeight="1" x14ac:dyDescent="0.2">
      <c r="A28" s="1558" t="s">
        <v>1876</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5"/>
      <c r="I31" s="2306"/>
      <c r="J31" s="2306"/>
      <c r="K31" s="2306"/>
    </row>
    <row r="32" spans="1:15" x14ac:dyDescent="0.2">
      <c r="A32" s="649"/>
      <c r="B32" s="232"/>
      <c r="C32" s="232"/>
      <c r="D32" s="232"/>
      <c r="E32" s="645"/>
      <c r="F32" s="651" t="s">
        <v>537</v>
      </c>
      <c r="G32" s="618"/>
      <c r="H32" s="2307"/>
      <c r="I32" s="2306"/>
      <c r="J32" s="2306"/>
      <c r="K32" s="2306"/>
    </row>
    <row r="33" spans="1:11" ht="1.5" customHeight="1" x14ac:dyDescent="0.2">
      <c r="A33" s="652" t="s">
        <v>1161</v>
      </c>
      <c r="B33" s="341"/>
      <c r="C33" s="341"/>
      <c r="D33" s="341"/>
      <c r="E33" s="341"/>
      <c r="F33" s="341"/>
      <c r="G33" s="653"/>
      <c r="H33" s="2307"/>
      <c r="I33" s="2306"/>
      <c r="J33" s="2306"/>
      <c r="K33" s="230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2" t="s">
        <v>538</v>
      </c>
      <c r="B41" s="2315"/>
      <c r="C41" s="2315"/>
      <c r="D41" s="2315"/>
      <c r="E41" s="2315"/>
      <c r="F41" s="231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3.15" customHeight="1" x14ac:dyDescent="0.2">
      <c r="A47" s="661"/>
      <c r="B47" s="662" t="s">
        <v>1660</v>
      </c>
      <c r="E47" s="662"/>
      <c r="K47" s="664"/>
    </row>
    <row r="48" spans="1:11" ht="13.1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39" t="s">
        <v>1875</v>
      </c>
      <c r="B1" s="2340"/>
      <c r="C1" s="2341"/>
      <c r="D1" s="666"/>
      <c r="E1" s="667"/>
      <c r="F1" s="667"/>
      <c r="G1" s="668"/>
      <c r="H1" s="669"/>
      <c r="I1" s="670"/>
      <c r="J1" s="2337"/>
      <c r="K1" s="2338"/>
      <c r="L1" s="233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1191208</v>
      </c>
      <c r="D5" s="1820"/>
      <c r="E5" s="1820"/>
      <c r="F5" s="1815">
        <f>(C5+D5)-E5</f>
        <v>1191208</v>
      </c>
      <c r="G5" s="676"/>
      <c r="H5" s="680"/>
      <c r="I5" s="680"/>
      <c r="J5" s="680"/>
      <c r="K5" s="637"/>
      <c r="L5" s="1491">
        <f>F5-K5</f>
        <v>1191208</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24743169</v>
      </c>
      <c r="D8" s="1821">
        <f>6461413+15908391</f>
        <v>22369804</v>
      </c>
      <c r="E8" s="1821"/>
      <c r="F8" s="1815">
        <f>(C8+D8)-E8</f>
        <v>47112973</v>
      </c>
      <c r="G8" s="681">
        <v>50</v>
      </c>
      <c r="H8" s="619">
        <v>10738184</v>
      </c>
      <c r="I8" s="619">
        <v>811757</v>
      </c>
      <c r="J8" s="619"/>
      <c r="K8" s="1491">
        <f>(H8+I8)-J8</f>
        <v>11549941</v>
      </c>
      <c r="L8" s="1491">
        <f>F8-K8</f>
        <v>35563032</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8756232</v>
      </c>
      <c r="D10" s="1822">
        <v>223079</v>
      </c>
      <c r="E10" s="1822"/>
      <c r="F10" s="1823">
        <f>(C10+D10)-E10</f>
        <v>8979311</v>
      </c>
      <c r="G10" s="681">
        <v>20</v>
      </c>
      <c r="H10" s="683">
        <v>3685006</v>
      </c>
      <c r="I10" s="683">
        <v>367906</v>
      </c>
      <c r="J10" s="683"/>
      <c r="K10" s="1491">
        <f>(H10+I10)-J10</f>
        <v>4052912</v>
      </c>
      <c r="L10" s="1491">
        <f>F10-K10</f>
        <v>4926399</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2902950</v>
      </c>
      <c r="D12" s="1821">
        <v>312084</v>
      </c>
      <c r="E12" s="1821"/>
      <c r="F12" s="1815">
        <f>(C12+D12)-E12</f>
        <v>3215034</v>
      </c>
      <c r="G12" s="681">
        <v>10</v>
      </c>
      <c r="H12" s="619">
        <v>2449930</v>
      </c>
      <c r="I12" s="619">
        <v>107912</v>
      </c>
      <c r="J12" s="619"/>
      <c r="K12" s="1491">
        <f>(H12+I12)-J12</f>
        <v>2557842</v>
      </c>
      <c r="L12" s="1491">
        <f>F12-K12</f>
        <v>657192</v>
      </c>
    </row>
    <row r="13" spans="1:14" ht="14.25" thickTop="1" thickBot="1" x14ac:dyDescent="0.25">
      <c r="A13" s="684" t="s">
        <v>1114</v>
      </c>
      <c r="B13" s="679">
        <v>252</v>
      </c>
      <c r="C13" s="1821">
        <v>332178</v>
      </c>
      <c r="D13" s="1821"/>
      <c r="E13" s="1821"/>
      <c r="F13" s="1815">
        <f>(C13+D13)-E13</f>
        <v>332178</v>
      </c>
      <c r="G13" s="681">
        <v>5</v>
      </c>
      <c r="H13" s="619">
        <v>303672</v>
      </c>
      <c r="I13" s="619">
        <v>7601</v>
      </c>
      <c r="J13" s="619"/>
      <c r="K13" s="1491">
        <f>(H13+I13)-J13</f>
        <v>311273</v>
      </c>
      <c r="L13" s="1491">
        <f>F13-K13</f>
        <v>20905</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v>23170278</v>
      </c>
      <c r="D15" s="1821">
        <v>2843525</v>
      </c>
      <c r="E15" s="1821">
        <v>15908391</v>
      </c>
      <c r="F15" s="1815">
        <f>(C15+D15)-E15</f>
        <v>10105412</v>
      </c>
      <c r="G15" s="685" t="s">
        <v>857</v>
      </c>
      <c r="H15" s="632"/>
      <c r="I15" s="632"/>
      <c r="J15" s="632"/>
      <c r="K15" s="632"/>
      <c r="L15" s="1491">
        <f>F15-K15</f>
        <v>10105412</v>
      </c>
    </row>
    <row r="16" spans="1:14" ht="15" customHeight="1" thickTop="1" thickBot="1" x14ac:dyDescent="0.25">
      <c r="A16" s="1487" t="s">
        <v>638</v>
      </c>
      <c r="B16" s="1488">
        <v>200</v>
      </c>
      <c r="C16" s="1815">
        <f>SUM(C3,C5:C6,C8:C10,C12:C15)</f>
        <v>61096015</v>
      </c>
      <c r="D16" s="1815">
        <f>SUM(D3,D5:D6,D8:D10,D12:D15)</f>
        <v>25748492</v>
      </c>
      <c r="E16" s="1815">
        <f>SUM(E3,E5:E6,E8:E10,E12:E15)</f>
        <v>15908391</v>
      </c>
      <c r="F16" s="1815">
        <f>SUM(F3,F5:F6,F8:F10,F12:F15)</f>
        <v>70936116</v>
      </c>
      <c r="G16" s="681"/>
      <c r="H16" s="1484">
        <f>SUM(H3,H6,H8:H10,H12:H14,)</f>
        <v>17176792</v>
      </c>
      <c r="I16" s="1484">
        <f>SUM(I3,I6,I8:I10,I12:I14,)</f>
        <v>1295176</v>
      </c>
      <c r="J16" s="1484">
        <f>SUM(J3,J6,J8:J10,J12:J14,)</f>
        <v>0</v>
      </c>
      <c r="K16" s="1484">
        <f>(H16+I16)-J16</f>
        <v>18471968</v>
      </c>
      <c r="L16" s="1484">
        <f>F16-K16</f>
        <v>52464148</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1295176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0" activePane="bottomLeft" state="frozen"/>
      <selection activeCell="B7" sqref="B7"/>
      <selection pane="bottomLeft"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5" t="str">
        <f>"ESTIMATED OPERATING EXPENSE PER PUPIL (OEPP)/PER CAPITA TUITION CHARGE (PCTC) COMPUTATIONS ("&amp;'AFR20'!E2-1&amp;" - "&amp;'AFR20'!E2&amp;")"</f>
        <v>ESTIMATED OPERATING EXPENSE PER PUPIL (OEPP)/PER CAPITA TUITION CHARGE (PCTC) COMPUTATIONS (2019 - 2020)</v>
      </c>
      <c r="B1" s="2346"/>
      <c r="C1" s="2346"/>
      <c r="D1" s="2346"/>
      <c r="E1" s="2346"/>
      <c r="F1" s="2347"/>
      <c r="G1" s="691"/>
      <c r="I1" s="701"/>
    </row>
    <row r="2" spans="1:9" ht="15" customHeight="1" thickBot="1" x14ac:dyDescent="0.25">
      <c r="A2" s="2348" t="s">
        <v>474</v>
      </c>
      <c r="B2" s="2349"/>
      <c r="C2" s="2349"/>
      <c r="D2" s="2349"/>
      <c r="E2" s="2349"/>
      <c r="F2" s="2350"/>
      <c r="G2" s="693"/>
    </row>
    <row r="3" spans="1:9" ht="5.25" customHeight="1" thickTop="1" x14ac:dyDescent="0.2">
      <c r="A3" s="694"/>
      <c r="B3" s="695"/>
      <c r="C3" s="696"/>
      <c r="D3" s="695"/>
      <c r="E3" s="696"/>
      <c r="F3" s="695"/>
      <c r="G3" s="695"/>
    </row>
    <row r="4" spans="1:9" ht="12.4" customHeight="1" x14ac:dyDescent="0.2">
      <c r="A4" s="697" t="s">
        <v>1070</v>
      </c>
      <c r="B4" s="698" t="s">
        <v>115</v>
      </c>
      <c r="D4" s="700" t="s">
        <v>508</v>
      </c>
      <c r="F4" s="698" t="s">
        <v>860</v>
      </c>
    </row>
    <row r="5" spans="1:9" ht="7.5" customHeight="1" x14ac:dyDescent="0.2">
      <c r="A5" s="2351"/>
      <c r="B5" s="2352"/>
      <c r="C5" s="2352"/>
      <c r="D5" s="2352"/>
      <c r="E5" s="2352"/>
      <c r="F5" s="2352"/>
    </row>
    <row r="6" spans="1:9" ht="13.5" customHeight="1" thickBot="1" x14ac:dyDescent="0.25">
      <c r="A6" s="2342" t="s">
        <v>1097</v>
      </c>
      <c r="B6" s="2343"/>
      <c r="C6" s="2343"/>
      <c r="D6" s="2343"/>
      <c r="E6" s="2343"/>
      <c r="F6" s="234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23278669</v>
      </c>
      <c r="G8" s="701"/>
    </row>
    <row r="9" spans="1:9" x14ac:dyDescent="0.2">
      <c r="A9" s="705" t="s">
        <v>457</v>
      </c>
      <c r="B9" s="706" t="s">
        <v>1848</v>
      </c>
      <c r="C9" s="707"/>
      <c r="D9" s="705" t="s">
        <v>498</v>
      </c>
      <c r="E9" s="704"/>
      <c r="F9" s="1825">
        <f>'Expenditures 15-22'!K151</f>
        <v>1917963</v>
      </c>
      <c r="G9" s="708"/>
    </row>
    <row r="10" spans="1:9" x14ac:dyDescent="0.2">
      <c r="A10" s="705" t="s">
        <v>496</v>
      </c>
      <c r="B10" s="706" t="s">
        <v>1849</v>
      </c>
      <c r="C10" s="707"/>
      <c r="D10" s="705" t="s">
        <v>498</v>
      </c>
      <c r="E10" s="704"/>
      <c r="F10" s="1825">
        <f>'Expenditures 15-22'!K174</f>
        <v>3173035</v>
      </c>
      <c r="G10" s="708"/>
    </row>
    <row r="11" spans="1:9" x14ac:dyDescent="0.2">
      <c r="A11" s="705" t="s">
        <v>458</v>
      </c>
      <c r="B11" s="706" t="s">
        <v>1850</v>
      </c>
      <c r="C11" s="707"/>
      <c r="D11" s="705" t="s">
        <v>498</v>
      </c>
      <c r="E11" s="704"/>
      <c r="F11" s="1825">
        <f>'Expenditures 15-22'!K210</f>
        <v>2284702</v>
      </c>
      <c r="G11" s="708"/>
    </row>
    <row r="12" spans="1:9" x14ac:dyDescent="0.2">
      <c r="A12" s="705" t="s">
        <v>459</v>
      </c>
      <c r="B12" s="706" t="s">
        <v>1851</v>
      </c>
      <c r="C12" s="707"/>
      <c r="D12" s="705" t="s">
        <v>498</v>
      </c>
      <c r="E12" s="704"/>
      <c r="F12" s="1825">
        <f>'Expenditures 15-22'!K295</f>
        <v>724902</v>
      </c>
      <c r="G12" s="708"/>
    </row>
    <row r="13" spans="1:9" x14ac:dyDescent="0.2">
      <c r="A13" s="705" t="s">
        <v>106</v>
      </c>
      <c r="B13" s="706" t="s">
        <v>1852</v>
      </c>
      <c r="C13" s="707"/>
      <c r="D13" s="705" t="s">
        <v>498</v>
      </c>
      <c r="E13" s="704"/>
      <c r="F13" s="1825">
        <f>'Expenditures 15-22'!K342</f>
        <v>987837</v>
      </c>
      <c r="G13" s="709"/>
    </row>
    <row r="14" spans="1:9" ht="12" customHeight="1" thickBot="1" x14ac:dyDescent="0.25">
      <c r="A14" s="1492"/>
      <c r="B14" s="1493"/>
      <c r="C14" s="1494"/>
      <c r="D14" s="1495" t="s">
        <v>498</v>
      </c>
      <c r="E14" s="1496" t="s">
        <v>952</v>
      </c>
      <c r="F14" s="1826">
        <f>SUM(F8:F13)</f>
        <v>32367108</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1909</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149611</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17615</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56875</v>
      </c>
      <c r="G52" s="701"/>
    </row>
    <row r="53" spans="1:7" x14ac:dyDescent="0.2">
      <c r="A53" s="705" t="s">
        <v>456</v>
      </c>
      <c r="B53" s="705" t="s">
        <v>1461</v>
      </c>
      <c r="C53" s="724">
        <f>'Expenditures 15-22'!B102</f>
        <v>4000</v>
      </c>
      <c r="D53" s="723" t="str">
        <f>'Expenditures 15-22'!A102</f>
        <v>Total Payments to Other Govt Units</v>
      </c>
      <c r="E53" s="704"/>
      <c r="F53" s="1832">
        <f>'Expenditures 15-22'!K102</f>
        <v>2476052</v>
      </c>
      <c r="G53" s="701"/>
    </row>
    <row r="54" spans="1:7" x14ac:dyDescent="0.2">
      <c r="A54" s="705" t="s">
        <v>456</v>
      </c>
      <c r="B54" s="705" t="s">
        <v>1462</v>
      </c>
      <c r="C54" s="724" t="s">
        <v>975</v>
      </c>
      <c r="D54" s="720" t="s">
        <v>1088</v>
      </c>
      <c r="E54" s="704"/>
      <c r="F54" s="1832">
        <f>'Expenditures 15-22'!G114</f>
        <v>526856</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2">
        <f>'Expenditures 15-22'!K139</f>
        <v>23416</v>
      </c>
      <c r="G57" s="701"/>
    </row>
    <row r="58" spans="1:7" x14ac:dyDescent="0.2">
      <c r="A58" s="705" t="s">
        <v>457</v>
      </c>
      <c r="B58" s="705" t="s">
        <v>1854</v>
      </c>
      <c r="C58" s="721" t="s">
        <v>975</v>
      </c>
      <c r="D58" s="720" t="s">
        <v>1088</v>
      </c>
      <c r="E58" s="704"/>
      <c r="F58" s="1834">
        <f>'Expenditures 15-22'!G151</f>
        <v>54554</v>
      </c>
      <c r="G58" s="701"/>
    </row>
    <row r="59" spans="1:7" x14ac:dyDescent="0.2">
      <c r="A59" s="728" t="s">
        <v>457</v>
      </c>
      <c r="B59" s="692" t="s">
        <v>1855</v>
      </c>
      <c r="C59" s="729" t="s">
        <v>975</v>
      </c>
      <c r="D59" s="692" t="s">
        <v>288</v>
      </c>
      <c r="F59" s="1835">
        <f>'Expenditures 15-22'!I151</f>
        <v>0</v>
      </c>
      <c r="G59" s="701"/>
    </row>
    <row r="60" spans="1:7" x14ac:dyDescent="0.2">
      <c r="A60" s="728" t="s">
        <v>496</v>
      </c>
      <c r="B60" s="692" t="s">
        <v>1856</v>
      </c>
      <c r="C60" s="729">
        <v>4000</v>
      </c>
      <c r="D60" s="692" t="s">
        <v>309</v>
      </c>
      <c r="F60" s="1833">
        <f>'Expenditures 15-22'!K160</f>
        <v>0</v>
      </c>
      <c r="G60" s="701"/>
    </row>
    <row r="61" spans="1:7" x14ac:dyDescent="0.2">
      <c r="A61" s="730" t="s">
        <v>496</v>
      </c>
      <c r="B61" s="730" t="s">
        <v>1857</v>
      </c>
      <c r="C61" s="731" t="str">
        <f>'Expenditures 15-22'!B170</f>
        <v>5300</v>
      </c>
      <c r="D61" s="732" t="s">
        <v>308</v>
      </c>
      <c r="E61" s="715"/>
      <c r="F61" s="1832">
        <f>'Expenditures 15-22'!K170</f>
        <v>1580000</v>
      </c>
      <c r="G61" s="701"/>
    </row>
    <row r="62" spans="1:7" x14ac:dyDescent="0.2">
      <c r="A62" s="705" t="s">
        <v>458</v>
      </c>
      <c r="B62" s="705" t="s">
        <v>1858</v>
      </c>
      <c r="C62" s="721">
        <f>'Expenditures 15-22'!B185</f>
        <v>3000</v>
      </c>
      <c r="D62" s="712" t="s">
        <v>446</v>
      </c>
      <c r="E62" s="704"/>
      <c r="F62" s="183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1860</v>
      </c>
      <c r="C64" s="731" t="str">
        <f>'Expenditures 15-22'!B206</f>
        <v>5300</v>
      </c>
      <c r="D64" s="727" t="s">
        <v>308</v>
      </c>
      <c r="E64" s="704"/>
      <c r="F64" s="1832">
        <f>'Expenditures 15-22'!K206</f>
        <v>0</v>
      </c>
      <c r="G64" s="701"/>
    </row>
    <row r="65" spans="1:9" x14ac:dyDescent="0.2">
      <c r="A65" s="705" t="s">
        <v>458</v>
      </c>
      <c r="B65" s="705" t="s">
        <v>1861</v>
      </c>
      <c r="C65" s="721" t="s">
        <v>975</v>
      </c>
      <c r="D65" s="720" t="s">
        <v>1088</v>
      </c>
      <c r="E65" s="704"/>
      <c r="F65" s="1832">
        <f>'Expenditures 15-22'!G210</f>
        <v>3283</v>
      </c>
      <c r="G65" s="701"/>
    </row>
    <row r="66" spans="1:9" x14ac:dyDescent="0.2">
      <c r="A66" s="705" t="s">
        <v>458</v>
      </c>
      <c r="B66" s="705" t="s">
        <v>1862</v>
      </c>
      <c r="C66" s="721" t="s">
        <v>975</v>
      </c>
      <c r="D66" s="720" t="s">
        <v>288</v>
      </c>
      <c r="E66" s="704"/>
      <c r="F66" s="1832">
        <f>'Expenditures 15-22'!I210</f>
        <v>0</v>
      </c>
      <c r="G66" s="701"/>
    </row>
    <row r="67" spans="1:9" x14ac:dyDescent="0.2">
      <c r="A67" s="705" t="s">
        <v>459</v>
      </c>
      <c r="B67" s="705" t="s">
        <v>1863</v>
      </c>
      <c r="C67" s="721" t="str">
        <f>'Expenditures 15-22'!B216</f>
        <v>1125</v>
      </c>
      <c r="D67" s="727" t="str">
        <f>'Expenditures 15-22'!A216</f>
        <v>Pre-K Programs</v>
      </c>
      <c r="E67" s="704"/>
      <c r="F67" s="1832">
        <f>'Expenditures 15-22'!K216</f>
        <v>8100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1865</v>
      </c>
      <c r="C70" s="721">
        <f>'Expenditures 15-22'!B221</f>
        <v>1300</v>
      </c>
      <c r="D70" s="722" t="str">
        <f>'Expenditures 15-22'!A221</f>
        <v>Adult/Continuing Education Programs</v>
      </c>
      <c r="E70" s="704"/>
      <c r="F70" s="1832">
        <f>'Expenditures 15-22'!K221</f>
        <v>0</v>
      </c>
      <c r="G70" s="701"/>
    </row>
    <row r="71" spans="1:9" x14ac:dyDescent="0.2">
      <c r="A71" s="705" t="s">
        <v>459</v>
      </c>
      <c r="B71" s="705" t="s">
        <v>1866</v>
      </c>
      <c r="C71" s="721">
        <f>'Expenditures 15-22'!B224</f>
        <v>1600</v>
      </c>
      <c r="D71" s="722" t="str">
        <f>'Expenditures 15-22'!A224</f>
        <v>Summer School Programs</v>
      </c>
      <c r="E71" s="704"/>
      <c r="F71" s="1832">
        <f>'Expenditures 15-22'!K224</f>
        <v>222</v>
      </c>
      <c r="G71" s="701"/>
    </row>
    <row r="72" spans="1:9" x14ac:dyDescent="0.2">
      <c r="A72" s="705" t="s">
        <v>459</v>
      </c>
      <c r="B72" s="705" t="s">
        <v>1867</v>
      </c>
      <c r="C72" s="721">
        <f>'Expenditures 15-22'!B280</f>
        <v>3000</v>
      </c>
      <c r="D72" s="712" t="s">
        <v>446</v>
      </c>
      <c r="E72" s="704"/>
      <c r="F72" s="1832">
        <f>'Expenditures 15-22'!K280</f>
        <v>4781</v>
      </c>
      <c r="G72" s="701"/>
    </row>
    <row r="73" spans="1:9" x14ac:dyDescent="0.2">
      <c r="A73" s="705" t="s">
        <v>459</v>
      </c>
      <c r="B73" s="705" t="s">
        <v>1868</v>
      </c>
      <c r="C73" s="721" t="str">
        <f>'Expenditures 15-22'!B285</f>
        <v>4000</v>
      </c>
      <c r="D73" s="722" t="str">
        <f>'Expenditures 15-22'!A285</f>
        <v>Total Payments to Other Govt Units</v>
      </c>
      <c r="E73" s="704"/>
      <c r="F73" s="1832">
        <f>'Expenditures 15-22'!K285</f>
        <v>0</v>
      </c>
      <c r="G73" s="701"/>
    </row>
    <row r="74" spans="1:9" x14ac:dyDescent="0.2">
      <c r="A74" s="705" t="s">
        <v>433</v>
      </c>
      <c r="B74" s="705" t="s">
        <v>1869</v>
      </c>
      <c r="C74" s="721" t="s">
        <v>855</v>
      </c>
      <c r="D74" s="722" t="s">
        <v>1473</v>
      </c>
      <c r="E74" s="704"/>
      <c r="F74" s="1836">
        <f>'Expenditures 15-22'!K334</f>
        <v>0</v>
      </c>
      <c r="G74" s="701"/>
    </row>
    <row r="75" spans="1:9" x14ac:dyDescent="0.2">
      <c r="A75" s="705" t="s">
        <v>2008</v>
      </c>
      <c r="B75" s="705" t="s">
        <v>2009</v>
      </c>
      <c r="C75" s="721" t="s">
        <v>975</v>
      </c>
      <c r="D75" s="722" t="s">
        <v>1088</v>
      </c>
      <c r="E75" s="704"/>
      <c r="F75" s="1836">
        <f>'Expenditures 15-22'!G342</f>
        <v>0</v>
      </c>
      <c r="G75" s="701"/>
    </row>
    <row r="76" spans="1:9" ht="10.5" customHeight="1" x14ac:dyDescent="0.2">
      <c r="A76" s="701" t="s">
        <v>433</v>
      </c>
      <c r="B76" s="705" t="s">
        <v>2010</v>
      </c>
      <c r="C76" s="711" t="s">
        <v>975</v>
      </c>
      <c r="D76" s="701" t="s">
        <v>288</v>
      </c>
      <c r="E76" s="704"/>
      <c r="F76" s="1836">
        <f>'Expenditures 15-22'!I342</f>
        <v>0</v>
      </c>
      <c r="G76" s="703"/>
    </row>
    <row r="77" spans="1:9" ht="12" thickBot="1" x14ac:dyDescent="0.25">
      <c r="A77" s="1492"/>
      <c r="B77" s="1497"/>
      <c r="C77" s="1494"/>
      <c r="D77" s="1498" t="s">
        <v>2011</v>
      </c>
      <c r="E77" s="1496" t="s">
        <v>952</v>
      </c>
      <c r="F77" s="1837">
        <f>SUM(F18:F76)</f>
        <v>4901365</v>
      </c>
      <c r="G77" s="701"/>
    </row>
    <row r="78" spans="1:9" s="728" customFormat="1" ht="12" customHeight="1" thickTop="1" thickBot="1" x14ac:dyDescent="0.25">
      <c r="A78" s="1499"/>
      <c r="B78" s="1497"/>
      <c r="C78" s="1494"/>
      <c r="D78" s="1498" t="s">
        <v>2012</v>
      </c>
      <c r="E78" s="1496"/>
      <c r="F78" s="1838">
        <f>(F14-F77)</f>
        <v>27465743</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2521.9899999999998</v>
      </c>
      <c r="G79" s="733"/>
      <c r="H79" s="705"/>
      <c r="I79" s="705"/>
    </row>
    <row r="80" spans="1:9" s="728" customFormat="1" ht="12" customHeight="1" thickBot="1" x14ac:dyDescent="0.25">
      <c r="A80" s="1501"/>
      <c r="B80" s="1497"/>
      <c r="C80" s="1494"/>
      <c r="D80" s="1498" t="s">
        <v>2013</v>
      </c>
      <c r="E80" s="1496" t="s">
        <v>952</v>
      </c>
      <c r="F80" s="1840">
        <f>IF(F79&gt;0,F78/F79," Complete Line 79")</f>
        <v>10890.504323966392</v>
      </c>
      <c r="G80" s="705"/>
    </row>
    <row r="81" spans="1:7" s="728" customFormat="1" ht="8.25" customHeight="1" thickTop="1" x14ac:dyDescent="0.2">
      <c r="A81" s="734"/>
      <c r="B81" s="705"/>
      <c r="C81" s="707"/>
      <c r="D81" s="735"/>
      <c r="E81" s="704"/>
      <c r="F81" s="1841"/>
      <c r="G81" s="705"/>
    </row>
    <row r="82" spans="1:7" s="728" customFormat="1" ht="12" thickBot="1" x14ac:dyDescent="0.25">
      <c r="A82" s="2342" t="s">
        <v>1098</v>
      </c>
      <c r="B82" s="2343"/>
      <c r="C82" s="2343"/>
      <c r="D82" s="2343"/>
      <c r="E82" s="2343"/>
      <c r="F82" s="234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174671</v>
      </c>
      <c r="G95" s="745"/>
    </row>
    <row r="96" spans="1:7" x14ac:dyDescent="0.2">
      <c r="A96" s="741" t="s">
        <v>139</v>
      </c>
      <c r="B96" s="741" t="s">
        <v>174</v>
      </c>
      <c r="C96" s="743">
        <v>1700</v>
      </c>
      <c r="D96" s="751" t="str">
        <f>'Revenues 9-14'!A82</f>
        <v>Total District/School Activity Income</v>
      </c>
      <c r="E96" s="739"/>
      <c r="F96" s="1843">
        <f>SUM('Revenues 9-14'!C82,'Revenues 9-14'!D82)</f>
        <v>124471</v>
      </c>
      <c r="G96" s="745"/>
    </row>
    <row r="97" spans="1:7" x14ac:dyDescent="0.2">
      <c r="A97" s="741" t="s">
        <v>456</v>
      </c>
      <c r="B97" s="741" t="s">
        <v>175</v>
      </c>
      <c r="C97" s="743">
        <f>'Revenues 9-14'!B84</f>
        <v>1811</v>
      </c>
      <c r="D97" s="744" t="str">
        <f>'Revenues 9-14'!A84</f>
        <v>Rentals - Regular Textbooks</v>
      </c>
      <c r="E97" s="739"/>
      <c r="F97" s="1843">
        <f>'Revenues 9-14'!C84</f>
        <v>133209</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103064</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29071</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1910</v>
      </c>
      <c r="C106" s="746">
        <v>3100</v>
      </c>
      <c r="D106" s="752" t="str">
        <f>'Revenues 9-14'!A132</f>
        <v>Total Special Education</v>
      </c>
      <c r="E106" s="739"/>
      <c r="F106" s="1843">
        <f>SUM('Revenues 9-14'!C132:D132,'Revenues 9-14'!F132)</f>
        <v>198615</v>
      </c>
      <c r="G106" s="745"/>
    </row>
    <row r="107" spans="1:7" x14ac:dyDescent="0.2">
      <c r="A107" s="741" t="s">
        <v>668</v>
      </c>
      <c r="B107" s="741" t="s">
        <v>1911</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1912</v>
      </c>
      <c r="C108" s="753">
        <v>3300</v>
      </c>
      <c r="D108" s="744" t="str">
        <f>'Revenues 9-14'!A145</f>
        <v>Total Bilingual Ed</v>
      </c>
      <c r="E108" s="739"/>
      <c r="F108" s="184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3">
        <f>'Revenues 9-14'!C146</f>
        <v>9961</v>
      </c>
      <c r="G109" s="745"/>
    </row>
    <row r="110" spans="1:7" x14ac:dyDescent="0.2">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3">
        <f>SUM('Revenues 9-14'!C148,'Revenues 9-14'!D148)</f>
        <v>26199</v>
      </c>
      <c r="G111" s="745"/>
    </row>
    <row r="112" spans="1:7" x14ac:dyDescent="0.2">
      <c r="A112" s="741" t="s">
        <v>663</v>
      </c>
      <c r="B112" s="741" t="s">
        <v>1916</v>
      </c>
      <c r="C112" s="755">
        <v>3500</v>
      </c>
      <c r="D112" s="744" t="str">
        <f>'Revenues 9-14'!A155</f>
        <v>Total Transportation</v>
      </c>
      <c r="E112" s="739"/>
      <c r="F112" s="1843">
        <f>SUM('Revenues 9-14'!C155,'Revenues 9-14'!D155,'Revenues 9-14'!F155,'Revenues 9-14'!G155)</f>
        <v>1411813</v>
      </c>
      <c r="G112" s="745"/>
    </row>
    <row r="113" spans="1:7" x14ac:dyDescent="0.2">
      <c r="A113" s="741" t="s">
        <v>456</v>
      </c>
      <c r="B113" s="741" t="s">
        <v>1917</v>
      </c>
      <c r="C113" s="753">
        <f>'Revenues 9-14'!B156</f>
        <v>3610</v>
      </c>
      <c r="D113" s="744" t="str">
        <f>'Revenues 9-14'!A156</f>
        <v>Learning Improvement - Change Grants</v>
      </c>
      <c r="E113" s="739"/>
      <c r="F113" s="1843">
        <f>'Revenues 9-14'!C156</f>
        <v>0</v>
      </c>
      <c r="G113" s="745"/>
    </row>
    <row r="114" spans="1:7" x14ac:dyDescent="0.2">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2">
        <f>SUM('Revenues 9-14'!C163:G163)</f>
        <v>0</v>
      </c>
      <c r="G119" s="745"/>
    </row>
    <row r="120" spans="1:7" x14ac:dyDescent="0.2">
      <c r="A120" s="756" t="s">
        <v>501</v>
      </c>
      <c r="B120" s="756" t="s">
        <v>1924</v>
      </c>
      <c r="C120" s="757">
        <f>'Revenues 9-14'!B164</f>
        <v>3815</v>
      </c>
      <c r="D120" s="758" t="str">
        <f>'Revenues 9-14'!A164</f>
        <v>State Charter Schools</v>
      </c>
      <c r="E120" s="739"/>
      <c r="F120" s="184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3">
        <f>'Revenues 9-14'!D167</f>
        <v>0</v>
      </c>
      <c r="G121" s="763"/>
    </row>
    <row r="122" spans="1:7" x14ac:dyDescent="0.2">
      <c r="A122" s="760" t="s">
        <v>497</v>
      </c>
      <c r="B122" s="760" t="s">
        <v>1926</v>
      </c>
      <c r="C122" s="761">
        <f>'Revenues 9-14'!B168</f>
        <v>3999</v>
      </c>
      <c r="D122" s="762" t="s">
        <v>540</v>
      </c>
      <c r="E122" s="764"/>
      <c r="F122" s="184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84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1929</v>
      </c>
      <c r="C125" s="765">
        <v>4100</v>
      </c>
      <c r="D125" s="766" t="str">
        <f>'Revenues 9-14'!A188</f>
        <v>Total Title V</v>
      </c>
      <c r="E125" s="739"/>
      <c r="F125" s="184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3">
        <f>SUM('Revenues 9-14'!C198,'Revenues 9-14'!G198)</f>
        <v>595098</v>
      </c>
      <c r="G126" s="763"/>
    </row>
    <row r="127" spans="1:7" x14ac:dyDescent="0.2">
      <c r="A127" s="760" t="s">
        <v>663</v>
      </c>
      <c r="B127" s="760" t="s">
        <v>1931</v>
      </c>
      <c r="C127" s="765">
        <v>4300</v>
      </c>
      <c r="D127" s="766" t="str">
        <f>'Revenues 9-14'!A204</f>
        <v>Total Title I</v>
      </c>
      <c r="E127" s="739"/>
      <c r="F127" s="1843">
        <f>SUM('Revenues 9-14'!C204,'Revenues 9-14'!D204,'Revenues 9-14'!F204,'Revenues 9-14'!G204)</f>
        <v>884703</v>
      </c>
      <c r="G127" s="763"/>
    </row>
    <row r="128" spans="1:7" x14ac:dyDescent="0.2">
      <c r="A128" s="760" t="s">
        <v>663</v>
      </c>
      <c r="B128" s="760" t="s">
        <v>1932</v>
      </c>
      <c r="C128" s="765">
        <v>4400</v>
      </c>
      <c r="D128" s="766" t="str">
        <f>'Revenues 9-14'!A209</f>
        <v>Total Title IV</v>
      </c>
      <c r="E128" s="739"/>
      <c r="F128" s="1843">
        <f>SUM('Revenues 9-14'!C209,'Revenues 9-14'!D209,'Revenues 9-14'!F209,'Revenues 9-14'!G209)</f>
        <v>35774</v>
      </c>
      <c r="G128" s="763"/>
    </row>
    <row r="129" spans="1:7" x14ac:dyDescent="0.2">
      <c r="A129" s="760" t="s">
        <v>663</v>
      </c>
      <c r="B129" s="760" t="s">
        <v>1933</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843">
        <f>SUM('Revenues 9-14'!C214,'Revenues 9-14'!D214,'Revenues 9-14'!F214,'Revenues 9-14'!G214)</f>
        <v>801</v>
      </c>
      <c r="G130" s="763"/>
    </row>
    <row r="131" spans="1:7" x14ac:dyDescent="0.2">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3">
        <v>0</v>
      </c>
      <c r="G139" s="738"/>
    </row>
    <row r="140" spans="1:7" s="703" customFormat="1" hidden="1" x14ac:dyDescent="0.2">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1951</v>
      </c>
      <c r="C158" s="773" t="s">
        <v>836</v>
      </c>
      <c r="D158" s="774" t="s">
        <v>772</v>
      </c>
      <c r="E158" s="775"/>
      <c r="F158" s="1843">
        <f>SUM(F134:F157)</f>
        <v>0</v>
      </c>
      <c r="G158" s="738"/>
    </row>
    <row r="159" spans="1:7" s="703" customFormat="1" x14ac:dyDescent="0.2">
      <c r="A159" s="771" t="s">
        <v>456</v>
      </c>
      <c r="B159" s="772" t="s">
        <v>1952</v>
      </c>
      <c r="C159" s="773" t="s">
        <v>1413</v>
      </c>
      <c r="D159" s="774" t="s">
        <v>1414</v>
      </c>
      <c r="E159" s="775"/>
      <c r="F159" s="1843">
        <f>SUM('Revenues 9-14'!C253)</f>
        <v>0</v>
      </c>
      <c r="G159" s="738"/>
    </row>
    <row r="160" spans="1:7" s="703" customFormat="1" x14ac:dyDescent="0.2">
      <c r="A160" s="771" t="s">
        <v>497</v>
      </c>
      <c r="B160" s="772" t="s">
        <v>1953</v>
      </c>
      <c r="C160" s="773" t="s">
        <v>1452</v>
      </c>
      <c r="D160" s="774" t="s">
        <v>1453</v>
      </c>
      <c r="E160" s="775"/>
      <c r="F160" s="184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2">
        <f>SUM('Revenues 9-14'!C259,'Revenues 9-14'!D259,'Revenues 9-14'!F259,'Revenues 9-14'!G259)</f>
        <v>134649</v>
      </c>
      <c r="G165" s="763"/>
    </row>
    <row r="166" spans="1:7" x14ac:dyDescent="0.2">
      <c r="A166" s="760" t="s">
        <v>663</v>
      </c>
      <c r="B166" s="760" t="s">
        <v>1959</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3">
        <f>SUM('Revenues 9-14'!C263:D263,'Revenues 9-14'!F263:G263)</f>
        <v>60651</v>
      </c>
      <c r="G169" s="780">
        <v>6320</v>
      </c>
    </row>
    <row r="170" spans="1:7" x14ac:dyDescent="0.2">
      <c r="A170" s="760" t="s">
        <v>663</v>
      </c>
      <c r="B170" s="760" t="s">
        <v>1961</v>
      </c>
      <c r="C170" s="765">
        <f>'Revenues 9-14'!B264</f>
        <v>4992</v>
      </c>
      <c r="D170" s="766" t="str">
        <f>'Revenues 9-14'!A264</f>
        <v>Medicaid Matching Funds - Fee-for-Service Program</v>
      </c>
      <c r="E170" s="739"/>
      <c r="F170" s="1843">
        <f>SUM('Revenues 9-14'!C264:D264,'Revenues 9-14'!F264:G264)</f>
        <v>232976</v>
      </c>
      <c r="G170" s="780"/>
    </row>
    <row r="171" spans="1:7" x14ac:dyDescent="0.2">
      <c r="A171" s="781" t="s">
        <v>663</v>
      </c>
      <c r="B171" s="777" t="s">
        <v>1962</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1885</v>
      </c>
      <c r="C172" s="1581">
        <v>3100</v>
      </c>
      <c r="D172" s="1582" t="s">
        <v>1887</v>
      </c>
      <c r="E172" s="739"/>
      <c r="F172" s="1844">
        <v>847535</v>
      </c>
      <c r="G172" s="760"/>
    </row>
    <row r="173" spans="1:7" x14ac:dyDescent="0.2">
      <c r="A173" s="1579" t="s">
        <v>659</v>
      </c>
      <c r="B173" s="1580" t="s">
        <v>1885</v>
      </c>
      <c r="C173" s="1581">
        <v>3300</v>
      </c>
      <c r="D173" s="1582" t="s">
        <v>1888</v>
      </c>
      <c r="E173" s="739"/>
      <c r="F173" s="1844">
        <v>3724</v>
      </c>
      <c r="G173" s="760"/>
    </row>
    <row r="174" spans="1:7" ht="6" customHeight="1" x14ac:dyDescent="0.2">
      <c r="A174" s="760"/>
      <c r="B174" s="760"/>
      <c r="C174" s="782"/>
      <c r="D174" s="760"/>
      <c r="E174" s="739"/>
      <c r="F174" s="1845"/>
      <c r="G174" s="780"/>
    </row>
    <row r="175" spans="1:7" x14ac:dyDescent="0.2">
      <c r="A175" s="1492"/>
      <c r="B175" s="1502"/>
      <c r="C175" s="1503"/>
      <c r="D175" s="1504" t="s">
        <v>2016</v>
      </c>
      <c r="E175" s="1505" t="s">
        <v>952</v>
      </c>
      <c r="F175" s="1846">
        <f>SUM(F85:F133,F158:F173)</f>
        <v>5006985</v>
      </c>
    </row>
    <row r="176" spans="1:7" ht="12" customHeight="1" x14ac:dyDescent="0.2">
      <c r="A176" s="1492"/>
      <c r="B176" s="1502"/>
      <c r="C176" s="1503"/>
      <c r="D176" s="1504" t="s">
        <v>2014</v>
      </c>
      <c r="E176" s="1505"/>
      <c r="F176" s="1843">
        <f>'PCTC-OEPP 27-28'!F78-F175</f>
        <v>22458758</v>
      </c>
    </row>
    <row r="177" spans="1:9" ht="12" customHeight="1" x14ac:dyDescent="0.2">
      <c r="A177" s="1492"/>
      <c r="B177" s="1502"/>
      <c r="C177" s="1503"/>
      <c r="D177" s="1504" t="s">
        <v>1794</v>
      </c>
      <c r="E177" s="1505"/>
      <c r="F177" s="1843">
        <f>'Cap Outlay Deprec 26'!I18</f>
        <v>1295176</v>
      </c>
    </row>
    <row r="178" spans="1:9" ht="12" customHeight="1" x14ac:dyDescent="0.2">
      <c r="A178" s="1492"/>
      <c r="B178" s="1502"/>
      <c r="C178" s="1503"/>
      <c r="D178" s="1504" t="s">
        <v>2015</v>
      </c>
      <c r="E178" s="1505"/>
      <c r="F178" s="1843">
        <f>F176+F177</f>
        <v>23753934</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2521.9899999999998</v>
      </c>
      <c r="G179" s="763"/>
      <c r="I179" s="701"/>
    </row>
    <row r="180" spans="1:9" ht="12" customHeight="1" thickBot="1" x14ac:dyDescent="0.25">
      <c r="A180" s="1492"/>
      <c r="B180" s="1506"/>
      <c r="C180" s="1503"/>
      <c r="D180" s="1504" t="s">
        <v>2017</v>
      </c>
      <c r="E180" s="1505" t="s">
        <v>1531</v>
      </c>
      <c r="F180" s="1848">
        <f>F178/F179</f>
        <v>9418.7264818655112</v>
      </c>
      <c r="G180" s="692">
        <v>6323</v>
      </c>
    </row>
    <row r="181" spans="1:9" ht="12" thickTop="1" x14ac:dyDescent="0.2">
      <c r="B181" s="763"/>
      <c r="C181" s="782"/>
      <c r="D181" s="763"/>
      <c r="E181" s="782"/>
      <c r="F181" s="763"/>
      <c r="G181" s="783">
        <v>6326</v>
      </c>
    </row>
    <row r="182" spans="1:9" ht="12.4" customHeight="1" x14ac:dyDescent="0.2">
      <c r="A182" s="763" t="s">
        <v>1886</v>
      </c>
      <c r="B182" s="763"/>
      <c r="C182" s="782"/>
      <c r="D182" s="763"/>
      <c r="E182" s="782"/>
      <c r="F182" s="763"/>
      <c r="G182" s="763"/>
    </row>
    <row r="183" spans="1:9" s="1583" customFormat="1" ht="12.4"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4"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1890</v>
      </c>
      <c r="B186" s="158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9" sqref="B19"/>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1807</v>
      </c>
      <c r="B1" s="1923"/>
      <c r="C1" s="1924"/>
      <c r="D1" s="1924"/>
      <c r="E1" s="1924"/>
      <c r="F1" s="1924"/>
    </row>
    <row r="2" spans="1:6" x14ac:dyDescent="0.25">
      <c r="A2" s="1926"/>
      <c r="B2" s="1927"/>
      <c r="C2" s="1980" t="s">
        <v>2003</v>
      </c>
      <c r="D2" s="1926"/>
      <c r="E2" s="1926"/>
      <c r="F2" s="1926"/>
    </row>
    <row r="3" spans="1:6" ht="5.25" customHeight="1" x14ac:dyDescent="0.25">
      <c r="A3" s="1928"/>
      <c r="B3" s="1929"/>
      <c r="C3" s="1928"/>
      <c r="D3" s="1928"/>
      <c r="E3" s="1928"/>
      <c r="F3" s="1928"/>
    </row>
    <row r="4" spans="1:6" ht="18.75" customHeight="1" x14ac:dyDescent="0.25">
      <c r="A4" s="2356" t="s">
        <v>1795</v>
      </c>
      <c r="B4" s="2357"/>
      <c r="C4" s="2357"/>
      <c r="D4" s="2357"/>
      <c r="E4" s="2357"/>
      <c r="F4" s="2358"/>
    </row>
    <row r="5" spans="1:6" x14ac:dyDescent="0.25">
      <c r="A5" s="2359"/>
      <c r="B5" s="2360"/>
      <c r="C5" s="2360"/>
      <c r="D5" s="2360"/>
      <c r="E5" s="2360"/>
      <c r="F5" s="2361"/>
    </row>
    <row r="6" spans="1:6" ht="18.75" x14ac:dyDescent="0.25">
      <c r="A6" s="1930" t="s">
        <v>1796</v>
      </c>
      <c r="B6" s="1931"/>
      <c r="C6" s="1932"/>
      <c r="D6" s="1932"/>
      <c r="E6" s="1932"/>
      <c r="F6" s="1933"/>
    </row>
    <row r="7" spans="1:6" ht="47.25" customHeight="1" x14ac:dyDescent="0.25">
      <c r="A7" s="2362" t="s">
        <v>1985</v>
      </c>
      <c r="B7" s="2363"/>
      <c r="C7" s="2363"/>
      <c r="D7" s="2363"/>
      <c r="E7" s="2363"/>
      <c r="F7" s="2364"/>
    </row>
    <row r="8" spans="1:6" ht="20.25" customHeight="1" x14ac:dyDescent="0.25">
      <c r="A8" s="1964" t="s">
        <v>1987</v>
      </c>
      <c r="B8" s="1965"/>
      <c r="C8" s="1965"/>
      <c r="D8" s="1965"/>
      <c r="E8" s="1934"/>
      <c r="F8" s="1935"/>
    </row>
    <row r="9" spans="1:6" ht="18" customHeight="1" x14ac:dyDescent="0.25">
      <c r="A9" s="1936" t="s">
        <v>1984</v>
      </c>
      <c r="B9" s="1938"/>
      <c r="C9" s="1938"/>
      <c r="D9" s="1938"/>
      <c r="E9" s="1934"/>
      <c r="F9" s="1935"/>
    </row>
    <row r="10" spans="1:6" ht="15.75" customHeight="1" x14ac:dyDescent="0.25">
      <c r="A10" s="2365" t="s">
        <v>1981</v>
      </c>
      <c r="B10" s="2366"/>
      <c r="C10" s="2366"/>
      <c r="D10" s="2366"/>
      <c r="E10" s="2366"/>
      <c r="F10" s="2367"/>
    </row>
    <row r="11" spans="1:6" ht="33" customHeight="1" x14ac:dyDescent="0.25">
      <c r="A11" s="2362" t="s">
        <v>1986</v>
      </c>
      <c r="B11" s="2363"/>
      <c r="C11" s="2363"/>
      <c r="D11" s="2363"/>
      <c r="E11" s="2363"/>
      <c r="F11" s="2364"/>
    </row>
    <row r="12" spans="1:6" ht="15" customHeight="1" x14ac:dyDescent="0.25">
      <c r="A12" s="1936" t="s">
        <v>1982</v>
      </c>
      <c r="B12" s="1937"/>
      <c r="C12" s="1938"/>
      <c r="D12" s="1938"/>
      <c r="E12" s="1938"/>
      <c r="F12" s="1939"/>
    </row>
    <row r="13" spans="1:6" ht="17.25" customHeight="1" x14ac:dyDescent="0.25">
      <c r="A13" s="2362" t="s">
        <v>1983</v>
      </c>
      <c r="B13" s="2363"/>
      <c r="C13" s="2363"/>
      <c r="D13" s="2363"/>
      <c r="E13" s="2363"/>
      <c r="F13" s="2364"/>
    </row>
    <row r="14" spans="1:6" ht="15" customHeight="1" x14ac:dyDescent="0.25">
      <c r="A14" s="1936" t="s">
        <v>1800</v>
      </c>
      <c r="B14" s="1937"/>
      <c r="C14" s="1938"/>
      <c r="D14" s="1938"/>
      <c r="E14" s="1938"/>
      <c r="F14" s="1939"/>
    </row>
    <row r="15" spans="1:6" ht="32.25" customHeight="1" x14ac:dyDescent="0.25">
      <c r="A15" s="235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4"/>
      <c r="C15" s="2354"/>
      <c r="D15" s="2354"/>
      <c r="E15" s="2354"/>
      <c r="F15" s="2355"/>
    </row>
    <row r="16" spans="1:6" ht="61.5" customHeight="1" x14ac:dyDescent="0.25">
      <c r="A16" s="1940" t="s">
        <v>1801</v>
      </c>
      <c r="B16" s="1941" t="s">
        <v>1802</v>
      </c>
      <c r="C16" s="1940" t="s">
        <v>1803</v>
      </c>
      <c r="D16" s="1942" t="s">
        <v>1804</v>
      </c>
      <c r="E16" s="1942" t="s">
        <v>1805</v>
      </c>
      <c r="F16" s="1942" t="s">
        <v>1806</v>
      </c>
    </row>
    <row r="17" spans="1:7" x14ac:dyDescent="0.25">
      <c r="A17" s="1943" t="s">
        <v>1808</v>
      </c>
      <c r="B17" s="1969" t="s">
        <v>1799</v>
      </c>
      <c r="C17" s="1944" t="s">
        <v>1797</v>
      </c>
      <c r="D17" s="1945">
        <v>500000</v>
      </c>
      <c r="E17" s="1945" t="str">
        <f>IF(D17&lt;25000,D17,"25,000")</f>
        <v>25,000</v>
      </c>
      <c r="F17" s="1946">
        <f>IF(D17&gt;=25000,(D17-E17),"0")</f>
        <v>475000</v>
      </c>
    </row>
    <row r="18" spans="1:7" ht="30" x14ac:dyDescent="0.25">
      <c r="A18" s="2014" t="s">
        <v>2180</v>
      </c>
      <c r="B18" s="1970">
        <v>102560300</v>
      </c>
      <c r="C18" s="2015" t="s">
        <v>2182</v>
      </c>
      <c r="D18" s="1948">
        <v>548899</v>
      </c>
      <c r="E18" s="1968" t="str">
        <f t="shared" ref="E18:E33" si="0">IF(D18&lt;25000,D18,"25,000")</f>
        <v>25,000</v>
      </c>
      <c r="F18" s="1968">
        <f t="shared" ref="F18:F33" si="1">IF(D18&gt;=25000,(D18-E18),"0")</f>
        <v>523899</v>
      </c>
      <c r="G18" s="1949"/>
    </row>
    <row r="19" spans="1:7" ht="30" x14ac:dyDescent="0.25">
      <c r="A19" s="2014" t="s">
        <v>2181</v>
      </c>
      <c r="B19" s="1970">
        <v>402550300</v>
      </c>
      <c r="C19" s="2015" t="s">
        <v>2183</v>
      </c>
      <c r="D19" s="1948">
        <v>2129927</v>
      </c>
      <c r="E19" s="1968" t="str">
        <f t="shared" si="0"/>
        <v>25,000</v>
      </c>
      <c r="F19" s="1968">
        <f t="shared" si="1"/>
        <v>2104927</v>
      </c>
    </row>
    <row r="20" spans="1:7" x14ac:dyDescent="0.25">
      <c r="A20" s="1950"/>
      <c r="B20" s="1970"/>
      <c r="C20" s="1947"/>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1"/>
      <c r="C34" s="1951"/>
      <c r="D34" s="1948"/>
      <c r="E34" s="1968">
        <f t="shared" ref="E34:E35" si="2">IF(D34&lt;25000,D34,"25,000")</f>
        <v>0</v>
      </c>
      <c r="F34" s="1968" t="str">
        <f t="shared" ref="F34:F35" si="3">IF(D34&gt;=25000,(D34-E34),"0")</f>
        <v>0</v>
      </c>
    </row>
    <row r="35" spans="1:6" x14ac:dyDescent="0.25">
      <c r="A35" s="1950"/>
      <c r="B35" s="1972"/>
      <c r="C35" s="1951"/>
      <c r="D35" s="1948"/>
      <c r="E35" s="1968">
        <f t="shared" si="2"/>
        <v>0</v>
      </c>
      <c r="F35" s="1968" t="str">
        <f t="shared" si="3"/>
        <v>0</v>
      </c>
    </row>
    <row r="36" spans="1:6" x14ac:dyDescent="0.25">
      <c r="A36" s="1952" t="s">
        <v>155</v>
      </c>
      <c r="B36" s="1973"/>
      <c r="C36" s="1953"/>
      <c r="D36" s="1954">
        <f>SUM(D18:D35)</f>
        <v>2678826</v>
      </c>
      <c r="E36" s="1955">
        <f>SUM(E18:E35)</f>
        <v>0</v>
      </c>
      <c r="F36" s="1956">
        <f>SUM(F18:F35)</f>
        <v>2628826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1200150</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4"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8" t="s">
        <v>1663</v>
      </c>
      <c r="B5" s="2369"/>
      <c r="C5" s="2369"/>
      <c r="D5" s="2369"/>
      <c r="E5" s="2369"/>
      <c r="F5" s="2369"/>
      <c r="G5" s="237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1894</v>
      </c>
      <c r="B10" s="803"/>
      <c r="C10" s="807"/>
      <c r="D10" s="804"/>
      <c r="E10" s="1850"/>
      <c r="F10" s="805"/>
      <c r="G10" s="806"/>
      <c r="H10" s="157"/>
      <c r="I10" s="157"/>
    </row>
    <row r="11" spans="1:13" s="542" customFormat="1" ht="22.5" customHeight="1" x14ac:dyDescent="0.2">
      <c r="A11" s="237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4"/>
      <c r="C11" s="2374"/>
      <c r="D11" s="2375"/>
      <c r="E11" s="1851">
        <v>63897</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16048052</v>
      </c>
      <c r="F19" s="1852"/>
      <c r="G19" s="1854">
        <f>'Expenditures 15-22'!K33-SUM('Expenditures 15-22'!G33,'Expenditures 15-22'!I33)+'Expenditures 15-22'!D229</f>
        <v>16048052</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1097001</v>
      </c>
      <c r="F21" s="1855"/>
      <c r="G21" s="1858">
        <f>'Expenditures 15-22'!K42-SUM('Expenditures 15-22'!G42,'Expenditures 15-22'!I42)+'Expenditures 15-22'!K120-SUM('Expenditures 15-22'!G120,'Expenditures 15-22'!I120)+'Expenditures 15-22'!K180-SUM('Expenditures 15-22'!G180,'Expenditures 15-22'!I180)+'Expenditures 15-22'!D238</f>
        <v>1097001</v>
      </c>
      <c r="H21" s="817"/>
      <c r="I21" s="157"/>
    </row>
    <row r="22" spans="1:9" s="542" customFormat="1" ht="12" customHeight="1" x14ac:dyDescent="0.2">
      <c r="A22" s="824" t="s">
        <v>560</v>
      </c>
      <c r="B22" s="825"/>
      <c r="C22" s="823">
        <v>2200</v>
      </c>
      <c r="D22" s="1855"/>
      <c r="E22" s="1857">
        <f>'Expenditures 15-22'!K47-SUM('Expenditures 15-22'!G47,'Expenditures 15-22'!I47)+'Expenditures 15-22'!D243</f>
        <v>666750</v>
      </c>
      <c r="F22" s="1855"/>
      <c r="G22" s="1858">
        <f>'Expenditures 15-22'!K47-SUM('Expenditures 15-22'!G47,'Expenditures 15-22'!I47)+'Expenditures 15-22'!D243</f>
        <v>666750</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1591936</v>
      </c>
      <c r="F23" s="1855"/>
      <c r="G23" s="1857">
        <f>'Expenditures 15-22'!K53-SUM('Expenditures 15-22'!G53,'Expenditures 15-22'!I53)+'Expenditures 15-22'!D257+'Expenditures 15-22'!K330-SUM('Expenditures 15-22'!G330,'Expenditures 15-22'!I330)</f>
        <v>1591936</v>
      </c>
      <c r="H23" s="817"/>
      <c r="I23" s="157"/>
    </row>
    <row r="24" spans="1:9" s="542" customFormat="1" ht="12" customHeight="1" x14ac:dyDescent="0.2">
      <c r="A24" s="824" t="s">
        <v>562</v>
      </c>
      <c r="B24" s="825"/>
      <c r="C24" s="823">
        <v>2400</v>
      </c>
      <c r="D24" s="1855"/>
      <c r="E24" s="1857">
        <f>'Expenditures 15-22'!K57-SUM('Expenditures 15-22'!G57,'Expenditures 15-22'!I57)+'Expenditures 15-22'!D261</f>
        <v>1502297</v>
      </c>
      <c r="F24" s="1855"/>
      <c r="G24" s="1858">
        <f>'Expenditures 15-22'!K57-SUM('Expenditures 15-22'!G57,'Expenditures 15-22'!I57)+'Expenditures 15-22'!D261</f>
        <v>1502297</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191167</v>
      </c>
      <c r="E26" s="1857">
        <f>'Expenditures 15-22'!K122-SUM('Expenditures 15-22'!G122,'Expenditures 15-22'!I122)+E7</f>
        <v>0</v>
      </c>
      <c r="F26" s="1857">
        <f>'Expenditures 15-22'!K59-SUM('Expenditures 15-22'!G59,'Expenditures 15-22'!I59)+'Expenditures 15-22'!D263-E7</f>
        <v>191167</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44437</v>
      </c>
      <c r="E27" s="1857">
        <f>E8</f>
        <v>0</v>
      </c>
      <c r="F27" s="1857">
        <f>'Expenditures 15-22'!K60-SUM('Expenditures 15-22'!G60,'Expenditures 15-22'!I60)+'Expenditures 15-22'!D264-E8</f>
        <v>44437</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1996781</v>
      </c>
      <c r="F28" s="1859">
        <f>'Expenditures 15-22'!K61-SUM('Expenditures 15-22'!G61,'Expenditures 15-22'!I61)+'Expenditures 15-22'!K124-SUM('Expenditures 15-22'!G124,'Expenditures 15-22'!I124)+'Expenditures 15-22'!D266-E9</f>
        <v>1996781</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2283834</v>
      </c>
      <c r="F29" s="1855"/>
      <c r="G29" s="1858">
        <f>'Expenditures 15-22'!K62-SUM('Expenditures 15-22'!G62,'Expenditures 15-22'!I62)+'Expenditures 15-22'!K125-SUM('Expenditures 15-22'!G125,'Expenditures 15-22'!I125)+'Expenditures 15-22'!K182-SUM('Expenditures 15-22'!G182,'Expenditures 15-22'!I182)+'Expenditures 15-22'!D267</f>
        <v>2283834</v>
      </c>
      <c r="H29" s="815"/>
    </row>
    <row r="30" spans="1:9" ht="12" customHeight="1" x14ac:dyDescent="0.2">
      <c r="A30" s="824" t="s">
        <v>100</v>
      </c>
      <c r="B30" s="827"/>
      <c r="C30" s="823">
        <v>2560</v>
      </c>
      <c r="D30" s="1855"/>
      <c r="E30" s="1857">
        <f>'Expenditures 15-22'!K63-SUM('Expenditures 15-22'!G63,'Expenditures 15-22'!I63)+'Expenditures 15-22'!D268-E10</f>
        <v>558000</v>
      </c>
      <c r="F30" s="1855"/>
      <c r="G30" s="1857">
        <f>'Expenditures 15-22'!K63-SUM('Expenditures 15-22'!G63,'Expenditures 15-22'!I63)+'Expenditures 15-22'!D268-E10</f>
        <v>558000</v>
      </c>
    </row>
    <row r="31" spans="1:9" ht="12" customHeight="1" x14ac:dyDescent="0.2">
      <c r="A31" s="824" t="s">
        <v>101</v>
      </c>
      <c r="B31" s="827"/>
      <c r="C31" s="823">
        <v>2570</v>
      </c>
      <c r="D31" s="1857">
        <f>'Expenditures 15-22'!K64-SUM('Expenditures 15-22'!G64,'Expenditures 15-22'!I64)+'Expenditures 15-22'!D269-E12</f>
        <v>42501</v>
      </c>
      <c r="E31" s="1857">
        <f>E12</f>
        <v>0</v>
      </c>
      <c r="F31" s="1857">
        <f>'Expenditures 15-22'!K64-SUM('Expenditures 15-22'!G64,'Expenditures 15-22'!I64)+'Expenditures 15-22'!D269-E12</f>
        <v>42501</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25500</v>
      </c>
      <c r="E37" s="1857">
        <f>E14</f>
        <v>0</v>
      </c>
      <c r="F37" s="1857">
        <f>'Expenditures 15-22'!K71-SUM('Expenditures 15-22'!G71,'Expenditures 15-22'!I71)+'Expenditures 15-22'!D276-E14</f>
        <v>25500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61656</v>
      </c>
      <c r="F39" s="1855"/>
      <c r="G39" s="1857">
        <f>'Expenditures 15-22'!K75-SUM('Expenditures 15-22'!G75,'Expenditures 15-22'!I75)+'Expenditures 15-22'!K130-SUM('Expenditures 15-22'!G130,'Expenditures 15-22'!I130)+'Expenditures 15-22'!K185-SUM('Expenditures 15-22'!G185,'Expenditures 15-22'!I185)+'Expenditures 15-22'!D280</f>
        <v>61656</v>
      </c>
    </row>
    <row r="40" spans="1:7" ht="12" customHeight="1" x14ac:dyDescent="0.2">
      <c r="A40" s="820" t="s">
        <v>1798</v>
      </c>
      <c r="B40" s="821"/>
      <c r="C40" s="823"/>
      <c r="D40" s="1855"/>
      <c r="E40" s="1859">
        <f>-'Contracts Paid in CY 29'!F36</f>
        <v>-2628826</v>
      </c>
      <c r="F40" s="1855"/>
      <c r="G40" s="1859">
        <f>-'Contracts Paid in CY 29'!F36</f>
        <v>-2628826</v>
      </c>
    </row>
    <row r="41" spans="1:7" ht="12" customHeight="1" x14ac:dyDescent="0.2">
      <c r="A41" s="828" t="s">
        <v>155</v>
      </c>
      <c r="B41" s="829"/>
      <c r="C41" s="830"/>
      <c r="D41" s="1859">
        <f>SUM(D19:D39)</f>
        <v>303605</v>
      </c>
      <c r="E41" s="1859">
        <f>SUM(E19:E40)</f>
        <v>23177481</v>
      </c>
      <c r="F41" s="1859">
        <f>SUM(F19:F39)</f>
        <v>2300386</v>
      </c>
      <c r="G41" s="1859">
        <f>SUM(G19:G40)</f>
        <v>21180700</v>
      </c>
    </row>
    <row r="42" spans="1:7" x14ac:dyDescent="0.2">
      <c r="A42" s="817"/>
      <c r="B42" s="157"/>
      <c r="C42" s="831"/>
      <c r="D42" s="2371" t="s">
        <v>519</v>
      </c>
      <c r="E42" s="2372"/>
      <c r="F42" s="832" t="s">
        <v>520</v>
      </c>
      <c r="G42" s="833"/>
    </row>
    <row r="43" spans="1:7" ht="12" customHeight="1" x14ac:dyDescent="0.2">
      <c r="A43" s="817"/>
      <c r="B43" s="157"/>
      <c r="C43" s="831"/>
      <c r="D43" s="1507" t="s">
        <v>470</v>
      </c>
      <c r="E43" s="1860">
        <f>D41</f>
        <v>303605</v>
      </c>
      <c r="F43" s="1507" t="s">
        <v>470</v>
      </c>
      <c r="G43" s="1860">
        <f>F41</f>
        <v>2300386</v>
      </c>
    </row>
    <row r="44" spans="1:7" ht="12" customHeight="1" x14ac:dyDescent="0.2">
      <c r="A44" s="817"/>
      <c r="B44" s="157"/>
      <c r="C44" s="831"/>
      <c r="D44" s="1507" t="s">
        <v>471</v>
      </c>
      <c r="E44" s="1860">
        <f>E41</f>
        <v>23177481</v>
      </c>
      <c r="F44" s="1507" t="s">
        <v>471</v>
      </c>
      <c r="G44" s="1860">
        <f>G41</f>
        <v>21180700</v>
      </c>
    </row>
    <row r="45" spans="1:7" ht="12" customHeight="1" x14ac:dyDescent="0.2">
      <c r="A45" s="817"/>
      <c r="B45" s="157"/>
      <c r="C45" s="157"/>
      <c r="D45" s="1508" t="s">
        <v>999</v>
      </c>
      <c r="E45" s="1861">
        <f>(E43/E44)</f>
        <v>1.3099137045997362E-2</v>
      </c>
      <c r="F45" s="1508" t="s">
        <v>999</v>
      </c>
      <c r="G45" s="1861">
        <f>(G43/G44)</f>
        <v>0.10860764752817423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18" activePane="bottomLeft" state="frozen"/>
      <selection activeCell="B7" sqref="B7"/>
      <selection pane="bottomLeft" activeCell="C35" sqref="C35:F35"/>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90" t="s">
        <v>1365</v>
      </c>
      <c r="B1" s="2390"/>
      <c r="C1" s="2390"/>
      <c r="D1" s="2390"/>
      <c r="E1" s="2390"/>
      <c r="F1" s="2390"/>
    </row>
    <row r="2" spans="1:15" x14ac:dyDescent="0.2">
      <c r="A2" s="1562" t="s">
        <v>1878</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91" t="s">
        <v>1532</v>
      </c>
      <c r="B5" s="2392"/>
      <c r="C5" s="2393"/>
      <c r="D5" s="2393"/>
      <c r="E5" s="2393"/>
      <c r="F5" s="2393"/>
      <c r="G5" s="1556"/>
      <c r="L5" s="1556"/>
      <c r="M5" s="1913"/>
      <c r="N5" s="1913"/>
      <c r="O5" s="1913"/>
    </row>
    <row r="6" spans="1:15" ht="12" customHeight="1" x14ac:dyDescent="0.25">
      <c r="A6" s="1529"/>
      <c r="B6" s="1530"/>
      <c r="C6" s="2394" t="str">
        <f>COVER!A17</f>
        <v>Dixon USD 170</v>
      </c>
      <c r="D6" s="2394"/>
      <c r="E6" s="2394"/>
      <c r="F6" s="1531"/>
      <c r="G6" s="1556"/>
      <c r="L6" s="1556"/>
      <c r="M6" s="1913"/>
      <c r="N6" s="1913"/>
      <c r="O6" s="1913"/>
    </row>
    <row r="7" spans="1:15" ht="11.25" customHeight="1" thickBot="1" x14ac:dyDescent="0.3">
      <c r="A7" s="1529"/>
      <c r="B7" s="1530"/>
      <c r="C7" s="2395">
        <f>COVER!A13</f>
        <v>47052170022</v>
      </c>
      <c r="D7" s="2395"/>
      <c r="E7" s="2395"/>
      <c r="F7" s="1531"/>
      <c r="G7" s="1556"/>
      <c r="L7" s="1556"/>
      <c r="M7" s="1913"/>
      <c r="N7" s="1913"/>
      <c r="O7" s="1913"/>
    </row>
    <row r="8" spans="1:15" ht="25.5" customHeight="1" thickBot="1" x14ac:dyDescent="0.25">
      <c r="A8" s="1568" t="s">
        <v>1874</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2033</v>
      </c>
      <c r="D26" s="1544" t="s">
        <v>2033</v>
      </c>
      <c r="E26" s="1547"/>
      <c r="F26" s="1546" t="s">
        <v>2103</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2033</v>
      </c>
      <c r="D31" s="1544" t="s">
        <v>2033</v>
      </c>
      <c r="E31" s="1547"/>
      <c r="F31" s="1546">
        <v>1</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1378</v>
      </c>
      <c r="B35" s="1550"/>
      <c r="C35" s="2396"/>
      <c r="D35" s="2396"/>
      <c r="E35" s="2396"/>
      <c r="F35" s="2397"/>
    </row>
    <row r="36" spans="1:15" ht="12" customHeight="1" x14ac:dyDescent="0.2">
      <c r="A36" s="2379"/>
      <c r="B36" s="2380"/>
      <c r="C36" s="2380"/>
      <c r="D36" s="2380"/>
      <c r="E36" s="2380"/>
      <c r="F36" s="2381"/>
    </row>
    <row r="37" spans="1:15" ht="12" customHeight="1" x14ac:dyDescent="0.2">
      <c r="A37" s="2379"/>
      <c r="B37" s="2380"/>
      <c r="C37" s="2380"/>
      <c r="D37" s="2380"/>
      <c r="E37" s="2380"/>
      <c r="F37" s="2381"/>
    </row>
    <row r="38" spans="1:15" ht="12" customHeight="1" x14ac:dyDescent="0.2">
      <c r="A38" s="2382"/>
      <c r="B38" s="2383"/>
      <c r="C38" s="2383"/>
      <c r="D38" s="2383"/>
      <c r="E38" s="2383"/>
      <c r="F38" s="2384"/>
    </row>
    <row r="39" spans="1:15" ht="4.5" hidden="1" customHeight="1" x14ac:dyDescent="0.2">
      <c r="A39" s="1551"/>
      <c r="B39" s="1551"/>
      <c r="C39" s="1551"/>
      <c r="D39" s="1551"/>
      <c r="E39" s="1551"/>
      <c r="F39" s="1551"/>
    </row>
    <row r="40" spans="1:15" s="1548" customFormat="1" ht="12" customHeight="1" x14ac:dyDescent="0.25">
      <c r="A40" s="1552" t="s">
        <v>1377</v>
      </c>
      <c r="B40" s="1553"/>
      <c r="C40" s="2385"/>
      <c r="D40" s="2385"/>
      <c r="E40" s="2385"/>
      <c r="F40" s="2386"/>
      <c r="H40" s="1557"/>
      <c r="I40" s="1557"/>
      <c r="J40" s="1557"/>
      <c r="K40" s="1557"/>
    </row>
    <row r="41" spans="1:15" s="1548" customFormat="1" ht="12" customHeight="1" x14ac:dyDescent="0.25">
      <c r="A41" s="2387" t="s">
        <v>2104</v>
      </c>
      <c r="B41" s="2388"/>
      <c r="C41" s="2388"/>
      <c r="D41" s="2388"/>
      <c r="E41" s="2388"/>
      <c r="F41" s="2389"/>
      <c r="H41" s="1557"/>
      <c r="I41" s="1557"/>
      <c r="J41" s="1557"/>
      <c r="K41" s="1557"/>
    </row>
    <row r="42" spans="1:15" s="1548" customFormat="1" ht="12" customHeight="1" x14ac:dyDescent="0.25">
      <c r="A42" s="2387"/>
      <c r="B42" s="2388"/>
      <c r="C42" s="2388"/>
      <c r="D42" s="2388"/>
      <c r="E42" s="2388"/>
      <c r="F42" s="2389"/>
      <c r="H42" s="1557"/>
      <c r="I42" s="1557"/>
      <c r="J42" s="1557"/>
      <c r="K42" s="1557"/>
    </row>
    <row r="43" spans="1:15" s="1548" customFormat="1" ht="15" x14ac:dyDescent="0.25">
      <c r="A43" s="2376"/>
      <c r="B43" s="2377"/>
      <c r="C43" s="2377"/>
      <c r="D43" s="2377"/>
      <c r="E43" s="2377"/>
      <c r="F43" s="2378"/>
      <c r="H43" s="1557"/>
      <c r="I43" s="1557"/>
      <c r="J43" s="1557"/>
      <c r="K43" s="1557"/>
    </row>
    <row r="44" spans="1:15" s="1548" customFormat="1" ht="12" hidden="1" customHeight="1" x14ac:dyDescent="0.25">
      <c r="A44" s="2376"/>
      <c r="B44" s="2377"/>
      <c r="C44" s="2377"/>
      <c r="D44" s="2377"/>
      <c r="E44" s="2377"/>
      <c r="F44" s="237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topLeftCell="A13" colorId="8" zoomScaleNormal="100" workbookViewId="0">
      <selection activeCell="H17" sqref="H1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4" customHeight="1" x14ac:dyDescent="0.2">
      <c r="F5" s="844"/>
    </row>
    <row r="6" spans="1:18" x14ac:dyDescent="0.2">
      <c r="A6" s="1569" t="s">
        <v>667</v>
      </c>
      <c r="B6" s="1422"/>
      <c r="C6" s="1422"/>
      <c r="D6" s="1422"/>
      <c r="E6" s="1423"/>
      <c r="F6" s="845"/>
      <c r="G6" s="839"/>
      <c r="H6" s="846" t="s">
        <v>1021</v>
      </c>
      <c r="I6" s="2403" t="str">
        <f>COVER!A17</f>
        <v>Dixon USD 170</v>
      </c>
      <c r="J6" s="2404"/>
      <c r="K6" s="2405"/>
      <c r="R6" s="1427"/>
    </row>
    <row r="7" spans="1:18" x14ac:dyDescent="0.2">
      <c r="A7" s="2406" t="s">
        <v>864</v>
      </c>
      <c r="B7" s="2407"/>
      <c r="C7" s="2407"/>
      <c r="D7" s="2407"/>
      <c r="E7" s="2408"/>
      <c r="F7" s="847"/>
      <c r="G7" s="839"/>
      <c r="H7" s="846" t="s">
        <v>369</v>
      </c>
      <c r="I7" s="2409">
        <f>COVER!A13</f>
        <v>47052170022</v>
      </c>
      <c r="J7" s="2409"/>
      <c r="K7" s="2409"/>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410" t="s">
        <v>478</v>
      </c>
      <c r="B11" s="2411"/>
      <c r="C11" s="2412"/>
      <c r="D11" s="861" t="s">
        <v>866</v>
      </c>
      <c r="E11" s="861" t="s">
        <v>64</v>
      </c>
      <c r="F11" s="861" t="s">
        <v>6</v>
      </c>
      <c r="G11" s="862" t="s">
        <v>155</v>
      </c>
      <c r="H11" s="861" t="s">
        <v>64</v>
      </c>
      <c r="I11" s="861" t="s">
        <v>6</v>
      </c>
      <c r="J11" s="1979" t="s">
        <v>2001</v>
      </c>
      <c r="K11" s="862" t="s">
        <v>155</v>
      </c>
    </row>
    <row r="12" spans="1:18" ht="15" customHeight="1" x14ac:dyDescent="0.2">
      <c r="A12" s="863">
        <v>1</v>
      </c>
      <c r="B12" s="864" t="s">
        <v>813</v>
      </c>
      <c r="C12" s="865"/>
      <c r="D12" s="866">
        <v>2320</v>
      </c>
      <c r="E12" s="1863">
        <f>'Expenditures 15-22'!K50</f>
        <v>268672</v>
      </c>
      <c r="F12" s="1864"/>
      <c r="G12" s="1863">
        <f t="shared" ref="G12:G18" si="0">SUM(E12:F12)</f>
        <v>268672</v>
      </c>
      <c r="H12" s="1865">
        <v>274328</v>
      </c>
      <c r="I12" s="1864"/>
      <c r="J12" s="1865"/>
      <c r="K12" s="1863">
        <f t="shared" ref="K12:K18" si="1">SUM(H12:J12)</f>
        <v>274328</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166467</v>
      </c>
      <c r="F15" s="1863">
        <f>'Expenditures 15-22'!K122</f>
        <v>0</v>
      </c>
      <c r="G15" s="1863">
        <f t="shared" si="0"/>
        <v>166467</v>
      </c>
      <c r="H15" s="1865">
        <v>158741</v>
      </c>
      <c r="I15" s="1865"/>
      <c r="J15" s="1865"/>
      <c r="K15" s="1863">
        <f t="shared" si="1"/>
        <v>158741</v>
      </c>
    </row>
    <row r="16" spans="1:18" ht="15" customHeight="1" x14ac:dyDescent="0.2">
      <c r="A16" s="863">
        <v>5</v>
      </c>
      <c r="B16" s="864" t="s">
        <v>101</v>
      </c>
      <c r="C16" s="865"/>
      <c r="D16" s="866">
        <v>2570</v>
      </c>
      <c r="E16" s="1863">
        <f>'Expenditures 15-22'!K64</f>
        <v>36218</v>
      </c>
      <c r="F16" s="1864"/>
      <c r="G16" s="1863">
        <f t="shared" si="0"/>
        <v>36218</v>
      </c>
      <c r="H16" s="1865">
        <v>37373</v>
      </c>
      <c r="I16" s="1864"/>
      <c r="J16" s="1865"/>
      <c r="K16" s="1863">
        <f t="shared" si="1"/>
        <v>37373</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413" t="s">
        <v>7</v>
      </c>
      <c r="C18" s="2414"/>
      <c r="D18" s="2415"/>
      <c r="E18" s="1866"/>
      <c r="F18" s="1866"/>
      <c r="G18" s="1867">
        <f t="shared" si="0"/>
        <v>0</v>
      </c>
      <c r="H18" s="1865"/>
      <c r="I18" s="1865"/>
      <c r="J18" s="1865"/>
      <c r="K18" s="1863">
        <f t="shared" si="1"/>
        <v>0</v>
      </c>
    </row>
    <row r="19" spans="1:11" ht="13.15" customHeight="1" thickBot="1" x14ac:dyDescent="0.25">
      <c r="A19" s="863">
        <v>8</v>
      </c>
      <c r="B19" s="869" t="s">
        <v>1153</v>
      </c>
      <c r="D19" s="870"/>
      <c r="E19" s="1868">
        <f t="shared" ref="E19:K19" si="2">SUM(E12:E17)-E18</f>
        <v>471357</v>
      </c>
      <c r="F19" s="1868">
        <f t="shared" si="2"/>
        <v>0</v>
      </c>
      <c r="G19" s="1868">
        <f t="shared" si="2"/>
        <v>471357</v>
      </c>
      <c r="H19" s="1868">
        <f t="shared" si="2"/>
        <v>470442</v>
      </c>
      <c r="I19" s="1868">
        <f t="shared" si="2"/>
        <v>0</v>
      </c>
      <c r="J19" s="1868">
        <f t="shared" si="2"/>
        <v>0</v>
      </c>
      <c r="K19" s="1868">
        <f t="shared" si="2"/>
        <v>470442</v>
      </c>
    </row>
    <row r="20" spans="1:11" ht="13.5" thickTop="1" x14ac:dyDescent="0.2">
      <c r="A20" s="863">
        <v>9</v>
      </c>
      <c r="B20" s="2416" t="str">
        <f>"Percent Increase (Decrease) for FY"&amp;'AFR20'!E2+1&amp;" (Budgeted) over FY"&amp;'AFR20'!E2&amp;" (Actual)"</f>
        <v>Percent Increase (Decrease) for FY2021 (Budgeted) over FY2020 (Actual)</v>
      </c>
      <c r="C20" s="2416"/>
      <c r="D20" s="2417"/>
      <c r="E20" s="1869"/>
      <c r="F20" s="1869"/>
      <c r="G20" s="1869"/>
      <c r="H20" s="1869"/>
      <c r="I20" s="1869"/>
      <c r="J20" s="1977"/>
      <c r="K20" s="1870">
        <f>IF(AND(G19&gt;0,K19&gt;0),(((K19-G19)/G19)),"Enter Budget Data")</f>
        <v>-1.9412038009406882E-3</v>
      </c>
    </row>
    <row r="21" spans="1:11" ht="9.4"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25" customHeight="1" x14ac:dyDescent="0.2">
      <c r="B26" s="871"/>
      <c r="C26" s="2422"/>
      <c r="D26" s="2422"/>
      <c r="E26" s="874"/>
      <c r="F26" s="2421"/>
      <c r="G26" s="2421"/>
    </row>
    <row r="27" spans="1:11" x14ac:dyDescent="0.2">
      <c r="B27" s="871"/>
      <c r="C27" s="875" t="s">
        <v>1026</v>
      </c>
      <c r="D27" s="876"/>
      <c r="E27" s="877"/>
      <c r="F27" s="2418" t="s">
        <v>1495</v>
      </c>
      <c r="G27" s="2418"/>
    </row>
    <row r="28" spans="1:11" ht="28.5" customHeight="1" x14ac:dyDescent="0.2">
      <c r="B28" s="871"/>
      <c r="C28" s="2420"/>
      <c r="D28" s="2420"/>
      <c r="E28" s="878"/>
      <c r="F28" s="2420"/>
      <c r="G28" s="2420"/>
    </row>
    <row r="29" spans="1:11" x14ac:dyDescent="0.2">
      <c r="B29" s="871"/>
      <c r="C29" s="879" t="s">
        <v>1547</v>
      </c>
      <c r="E29" s="880"/>
      <c r="F29" s="2419" t="s">
        <v>1496</v>
      </c>
      <c r="G29" s="2419"/>
    </row>
    <row r="30" spans="1:11" ht="9.4" customHeight="1" x14ac:dyDescent="0.2">
      <c r="B30" s="871"/>
      <c r="C30" s="881"/>
      <c r="E30" s="882"/>
      <c r="F30" s="883"/>
      <c r="G30" s="883"/>
    </row>
    <row r="31" spans="1:11" ht="15" customHeight="1" x14ac:dyDescent="0.2">
      <c r="A31" s="841"/>
      <c r="B31" s="884" t="s">
        <v>1027</v>
      </c>
    </row>
    <row r="32" spans="1:11" ht="9.4" customHeight="1" x14ac:dyDescent="0.2">
      <c r="A32" s="841"/>
      <c r="B32" s="872"/>
    </row>
    <row r="33" spans="1:11" ht="13.15" customHeight="1" x14ac:dyDescent="0.2">
      <c r="A33" s="841"/>
      <c r="B33" s="885"/>
      <c r="C33" s="240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01"/>
      <c r="E33" s="2401"/>
      <c r="F33" s="2401"/>
      <c r="G33" s="2401"/>
      <c r="H33" s="2401"/>
      <c r="I33" s="2401"/>
      <c r="J33" s="1975"/>
    </row>
    <row r="34" spans="1:11" ht="10.35" customHeight="1" x14ac:dyDescent="0.2">
      <c r="C34" s="2401"/>
      <c r="D34" s="2401"/>
      <c r="E34" s="2401"/>
      <c r="F34" s="2401"/>
      <c r="G34" s="2401"/>
      <c r="H34" s="2401"/>
      <c r="I34" s="2401"/>
      <c r="J34" s="1975"/>
    </row>
    <row r="35" spans="1:11" ht="7.5" customHeight="1" x14ac:dyDescent="0.2">
      <c r="C35" s="886"/>
    </row>
    <row r="36" spans="1:11" ht="13.5" customHeight="1" x14ac:dyDescent="0.2">
      <c r="B36" s="885"/>
      <c r="C36" s="240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01"/>
      <c r="E36" s="2401"/>
      <c r="F36" s="2401"/>
      <c r="G36" s="2401"/>
      <c r="H36" s="2401"/>
      <c r="I36" s="2401"/>
      <c r="J36" s="1975"/>
      <c r="K36" s="887"/>
    </row>
    <row r="37" spans="1:11" ht="22.5" customHeight="1" x14ac:dyDescent="0.2">
      <c r="C37" s="2401"/>
      <c r="D37" s="2401"/>
      <c r="E37" s="2401"/>
      <c r="F37" s="2401"/>
      <c r="G37" s="2401"/>
      <c r="H37" s="2401"/>
      <c r="I37" s="2401"/>
      <c r="J37" s="1975"/>
      <c r="K37" s="887"/>
    </row>
    <row r="38" spans="1:11" ht="7.5" customHeight="1" x14ac:dyDescent="0.2">
      <c r="C38" s="886"/>
      <c r="D38" s="888"/>
      <c r="E38" s="889"/>
      <c r="F38" s="890"/>
      <c r="G38" s="889"/>
    </row>
    <row r="39" spans="1:11" ht="13.5" customHeight="1" x14ac:dyDescent="0.2">
      <c r="B39" s="885"/>
      <c r="C39" s="2398" t="str">
        <f>"The district will amend their budget to become in compliance with the limitation."</f>
        <v>The district will amend their budget to become in compliance with the limitation.</v>
      </c>
      <c r="D39" s="2399"/>
      <c r="E39" s="2399"/>
      <c r="F39" s="2399"/>
      <c r="G39" s="2399"/>
      <c r="H39" s="2399"/>
      <c r="I39" s="2399"/>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 sqref="B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32" t="s">
        <v>1058</v>
      </c>
      <c r="B35" s="2132"/>
      <c r="C35" s="2132"/>
      <c r="D35" s="2132"/>
      <c r="E35" s="213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29" t="s">
        <v>686</v>
      </c>
      <c r="B40" s="2129"/>
      <c r="C40" s="2129"/>
      <c r="D40" s="2129"/>
      <c r="E40" s="2129"/>
    </row>
    <row r="41" spans="1:5" x14ac:dyDescent="0.2">
      <c r="A41" s="2130" t="s">
        <v>1594</v>
      </c>
      <c r="B41" s="2130"/>
      <c r="C41" s="2130"/>
      <c r="D41" s="2130"/>
      <c r="E41" s="2130"/>
    </row>
    <row r="42" spans="1:5" ht="13.15" customHeight="1" x14ac:dyDescent="0.2">
      <c r="A42" s="2131" t="s">
        <v>1015</v>
      </c>
      <c r="B42" s="2131"/>
      <c r="C42" s="2131"/>
      <c r="D42" s="2131"/>
      <c r="E42" s="213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4"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4" customHeight="1" x14ac:dyDescent="0.2">
      <c r="A76" s="184" t="s">
        <v>1607</v>
      </c>
      <c r="B76" s="193" t="s">
        <v>1762</v>
      </c>
    </row>
    <row r="77" spans="1:9" ht="12.4"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4"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43" zoomScale="110" zoomScaleNormal="110" workbookViewId="0">
      <selection activeCell="B50" sqref="B5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2105</v>
      </c>
    </row>
    <row r="6" spans="1:2" x14ac:dyDescent="0.2">
      <c r="A6" s="892">
        <v>2</v>
      </c>
      <c r="B6" s="307" t="s">
        <v>2106</v>
      </c>
    </row>
    <row r="7" spans="1:2" x14ac:dyDescent="0.2">
      <c r="A7" s="892">
        <v>3</v>
      </c>
      <c r="B7" s="307" t="s">
        <v>2107</v>
      </c>
    </row>
    <row r="8" spans="1:2" x14ac:dyDescent="0.2">
      <c r="A8" s="892">
        <v>4</v>
      </c>
      <c r="B8" s="307" t="s">
        <v>2108</v>
      </c>
    </row>
    <row r="9" spans="1:2" x14ac:dyDescent="0.2">
      <c r="A9" s="892">
        <v>5</v>
      </c>
      <c r="B9" s="307" t="s">
        <v>2109</v>
      </c>
    </row>
    <row r="10" spans="1:2" x14ac:dyDescent="0.2">
      <c r="A10" s="892">
        <v>6</v>
      </c>
      <c r="B10" s="307" t="s">
        <v>2110</v>
      </c>
    </row>
    <row r="11" spans="1:2" x14ac:dyDescent="0.2">
      <c r="A11" s="892">
        <v>7</v>
      </c>
      <c r="B11" s="307" t="s">
        <v>2111</v>
      </c>
    </row>
    <row r="12" spans="1:2" x14ac:dyDescent="0.2">
      <c r="A12" s="892">
        <v>8</v>
      </c>
      <c r="B12" s="307" t="s">
        <v>2112</v>
      </c>
    </row>
    <row r="13" spans="1:2" x14ac:dyDescent="0.2">
      <c r="A13" s="892">
        <v>9</v>
      </c>
      <c r="B13" s="307" t="s">
        <v>2113</v>
      </c>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Dixon USD 170</v>
      </c>
    </row>
    <row r="65" spans="2:2" x14ac:dyDescent="0.2">
      <c r="B65" s="894">
        <f>COVER!A13</f>
        <v>47052170022</v>
      </c>
    </row>
  </sheetData>
  <phoneticPr fontId="15"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3.15" customHeight="1" x14ac:dyDescent="0.2">
      <c r="B11" s="18" t="s">
        <v>940</v>
      </c>
      <c r="C11" s="16" t="s">
        <v>854</v>
      </c>
    </row>
    <row r="12" spans="1:4" ht="21.75" customHeight="1" x14ac:dyDescent="0.2">
      <c r="B12" s="18" t="s">
        <v>941</v>
      </c>
      <c r="C12" s="141" t="s">
        <v>1385</v>
      </c>
    </row>
    <row r="13" spans="1:4" s="19" customFormat="1" ht="13.15" customHeight="1" x14ac:dyDescent="0.2">
      <c r="B13" s="18" t="s">
        <v>909</v>
      </c>
      <c r="C13" s="16" t="s">
        <v>1119</v>
      </c>
    </row>
    <row r="14" spans="1:4" ht="21.75" customHeight="1" x14ac:dyDescent="0.2">
      <c r="B14" s="18" t="s">
        <v>910</v>
      </c>
      <c r="C14" s="16" t="s">
        <v>838</v>
      </c>
    </row>
    <row r="15" spans="1:4" ht="13.15" customHeight="1" x14ac:dyDescent="0.2">
      <c r="B15" s="139" t="s">
        <v>1316</v>
      </c>
      <c r="C15" s="138" t="s">
        <v>1317</v>
      </c>
    </row>
    <row r="16" spans="1:4" ht="13.15" customHeight="1" x14ac:dyDescent="0.2">
      <c r="C16" s="138" t="s">
        <v>1318</v>
      </c>
    </row>
    <row r="17" spans="3:3" ht="13.1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7"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4" customHeight="1" x14ac:dyDescent="0.2">
      <c r="A16" s="897"/>
      <c r="B16" s="897" t="s">
        <v>1973</v>
      </c>
    </row>
    <row r="17" spans="1:2" ht="6" customHeight="1" x14ac:dyDescent="0.2"/>
    <row r="18" spans="1:2" ht="24.75" customHeight="1" x14ac:dyDescent="0.2">
      <c r="A18" s="2423" t="s">
        <v>1668</v>
      </c>
      <c r="B18" s="242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5057"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7" sqref="B7"/>
    </sheetView>
  </sheetViews>
  <sheetFormatPr defaultColWidth="9.140625" defaultRowHeight="12.75" x14ac:dyDescent="0.2"/>
  <cols>
    <col min="1" max="1" width="33.85546875" style="294" customWidth="1"/>
    <col min="2" max="6" width="16.7109375" style="294" customWidth="1"/>
    <col min="7" max="16384" width="9.140625" style="294"/>
  </cols>
  <sheetData>
    <row r="1" spans="1:8" ht="49.15" customHeight="1" x14ac:dyDescent="0.2">
      <c r="A1" s="2424" t="s">
        <v>1672</v>
      </c>
      <c r="B1" s="2425"/>
      <c r="C1" s="2425"/>
      <c r="D1" s="2425"/>
      <c r="E1" s="2425"/>
      <c r="F1" s="2426"/>
    </row>
    <row r="2" spans="1:8" ht="45.4" customHeight="1" x14ac:dyDescent="0.2">
      <c r="A2" s="243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5"/>
      <c r="C2" s="2435"/>
      <c r="D2" s="2435"/>
      <c r="E2" s="2435"/>
      <c r="F2" s="2436"/>
      <c r="G2" s="898"/>
      <c r="H2" s="898"/>
    </row>
    <row r="3" spans="1:8" ht="57" customHeight="1" x14ac:dyDescent="0.2">
      <c r="A3" s="2437" t="s">
        <v>1972</v>
      </c>
      <c r="B3" s="2438"/>
      <c r="C3" s="2438"/>
      <c r="D3" s="2438"/>
      <c r="E3" s="2438"/>
      <c r="F3" s="2439"/>
      <c r="G3" s="898"/>
      <c r="H3" s="898"/>
    </row>
    <row r="4" spans="1:8" ht="14.25" customHeight="1" x14ac:dyDescent="0.2">
      <c r="A4" s="244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4"/>
      <c r="C4" s="2444"/>
      <c r="D4" s="2444"/>
      <c r="E4" s="2444"/>
      <c r="F4" s="2445"/>
      <c r="G4" s="898"/>
      <c r="H4" s="898"/>
    </row>
    <row r="5" spans="1:8" ht="14.25" customHeight="1" x14ac:dyDescent="0.2">
      <c r="A5" s="244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7"/>
      <c r="C5" s="2447"/>
      <c r="D5" s="2447"/>
      <c r="E5" s="2447"/>
      <c r="F5" s="2448"/>
      <c r="G5" s="898"/>
      <c r="H5" s="898"/>
    </row>
    <row r="6" spans="1:8" s="899" customFormat="1" ht="41.25" customHeight="1" x14ac:dyDescent="0.2">
      <c r="A6" s="2440" t="s">
        <v>1673</v>
      </c>
      <c r="B6" s="2441"/>
      <c r="C6" s="2441"/>
      <c r="D6" s="2441"/>
      <c r="E6" s="2441"/>
      <c r="F6" s="244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22064610</v>
      </c>
      <c r="C8" s="1871">
        <f>'Acct Summary 7-8'!D8</f>
        <v>2140399</v>
      </c>
      <c r="D8" s="1871">
        <f>'Acct Summary 7-8'!F8</f>
        <v>2499255</v>
      </c>
      <c r="E8" s="1871">
        <f>'Acct Summary 7-8'!I8</f>
        <v>216606</v>
      </c>
      <c r="F8" s="1871">
        <f>SUM(B8:E8)</f>
        <v>26920870</v>
      </c>
    </row>
    <row r="9" spans="1:8" s="903" customFormat="1" ht="14.25" customHeight="1" thickBot="1" x14ac:dyDescent="0.25">
      <c r="A9" s="902" t="s">
        <v>1355</v>
      </c>
      <c r="B9" s="1872">
        <f>'Acct Summary 7-8'!C17</f>
        <v>23278669</v>
      </c>
      <c r="C9" s="1872">
        <f>'Acct Summary 7-8'!D17</f>
        <v>1917963</v>
      </c>
      <c r="D9" s="1872">
        <f>'Acct Summary 7-8'!F17</f>
        <v>2284702</v>
      </c>
      <c r="E9" s="1871"/>
      <c r="F9" s="1871">
        <f>SUM(B9:E9)</f>
        <v>27481334</v>
      </c>
    </row>
    <row r="10" spans="1:8" s="903" customFormat="1" ht="14.25" thickTop="1" thickBot="1" x14ac:dyDescent="0.25">
      <c r="A10" s="904" t="s">
        <v>1356</v>
      </c>
      <c r="B10" s="1873">
        <f>(B8-B9)</f>
        <v>-1214059</v>
      </c>
      <c r="C10" s="1873">
        <f>(C8-C9)</f>
        <v>222436</v>
      </c>
      <c r="D10" s="1873">
        <f>(D8-D9)</f>
        <v>214553</v>
      </c>
      <c r="E10" s="1872">
        <f>(E8-E9)</f>
        <v>216606</v>
      </c>
      <c r="F10" s="1874">
        <f>SUM(F8-F9)</f>
        <v>-560464</v>
      </c>
    </row>
    <row r="11" spans="1:8" s="903" customFormat="1" ht="14.25" thickTop="1" thickBot="1" x14ac:dyDescent="0.25">
      <c r="A11" s="905" t="s">
        <v>1903</v>
      </c>
      <c r="B11" s="1875">
        <f>'Acct Summary 7-8'!C81</f>
        <v>-298891</v>
      </c>
      <c r="C11" s="1875">
        <f>'Acct Summary 7-8'!D81</f>
        <v>220885</v>
      </c>
      <c r="D11" s="1875">
        <f>'Acct Summary 7-8'!F81</f>
        <v>35476</v>
      </c>
      <c r="E11" s="1875">
        <f>'Acct Summary 7-8'!I81</f>
        <v>3156922</v>
      </c>
      <c r="F11" s="1876">
        <f>SUM(B11:E11)</f>
        <v>3114392</v>
      </c>
    </row>
    <row r="12" spans="1:8" ht="16.7" customHeight="1" thickTop="1" x14ac:dyDescent="0.2">
      <c r="A12" s="906"/>
      <c r="B12" s="907"/>
      <c r="C12" s="2428" t="str">
        <f>IF(AND(F10&lt;0,F11&gt;=0,ABS(F10*3)&gt;ABS(F11)),A16,IF(AND(F10&lt;0,F11&gt;0,ABS(F10*3)&lt;=ABS(F11)),A17,IF(AND(F10&lt;0,F11&lt;0),A16,IF(F11=0,A19,A18))))</f>
        <v>Unbalanced -  however, a deficit reduction plan is not required at this time.</v>
      </c>
      <c r="D12" s="2429"/>
      <c r="E12" s="2429"/>
      <c r="F12" s="2430"/>
    </row>
    <row r="13" spans="1:8" ht="19.5" customHeight="1" x14ac:dyDescent="0.2">
      <c r="A13" s="908"/>
      <c r="B13" s="909"/>
      <c r="C13" s="2428"/>
      <c r="D13" s="2429"/>
      <c r="E13" s="2429"/>
      <c r="F13" s="2430"/>
      <c r="H13" s="898"/>
    </row>
    <row r="14" spans="1:8" ht="19.5" customHeight="1" x14ac:dyDescent="0.2">
      <c r="A14" s="908"/>
      <c r="B14" s="909"/>
      <c r="C14" s="2428"/>
      <c r="D14" s="2429"/>
      <c r="E14" s="2429"/>
      <c r="F14" s="2430"/>
      <c r="H14" s="898"/>
    </row>
    <row r="15" spans="1:8" ht="17.25" customHeight="1" x14ac:dyDescent="0.2">
      <c r="A15" s="908"/>
      <c r="B15" s="909"/>
      <c r="C15" s="2431"/>
      <c r="D15" s="2432"/>
      <c r="E15" s="2432"/>
      <c r="F15" s="2433"/>
      <c r="H15" s="898"/>
    </row>
    <row r="16" spans="1:8" s="288" customFormat="1" ht="51.75" hidden="1" customHeight="1" x14ac:dyDescent="0.2">
      <c r="A16" s="2427" t="s">
        <v>1669</v>
      </c>
      <c r="B16" s="2427"/>
      <c r="C16" s="2427"/>
      <c r="D16" s="2427"/>
      <c r="E16" s="242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B7" sqref="B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49" t="s">
        <v>660</v>
      </c>
      <c r="B3" s="2450"/>
      <c r="C3" s="2450"/>
      <c r="D3" s="2451"/>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60" t="s">
        <v>1490</v>
      </c>
      <c r="D7" s="2461"/>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52" t="s">
        <v>1001</v>
      </c>
      <c r="B15" s="2453"/>
      <c r="C15" s="2453"/>
      <c r="D15" s="2454"/>
    </row>
    <row r="16" spans="1:4" s="542" customFormat="1" ht="24" customHeight="1" x14ac:dyDescent="0.2">
      <c r="A16" s="2455" t="s">
        <v>658</v>
      </c>
      <c r="B16" s="2456"/>
      <c r="C16" s="2456"/>
      <c r="D16" s="2457"/>
    </row>
    <row r="17" spans="1:10" s="542" customFormat="1" ht="13.15" customHeight="1" x14ac:dyDescent="0.2">
      <c r="A17" s="980" t="s">
        <v>1675</v>
      </c>
      <c r="B17" s="981"/>
      <c r="C17" s="982"/>
      <c r="D17" s="983"/>
    </row>
    <row r="18" spans="1:10" s="542" customFormat="1" ht="13.1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64" t="s">
        <v>311</v>
      </c>
      <c r="D21" s="2465"/>
    </row>
    <row r="22" spans="1:10" ht="12.75" x14ac:dyDescent="0.2">
      <c r="A22" s="963"/>
      <c r="B22" s="964">
        <v>2</v>
      </c>
      <c r="C22" s="2462" t="s">
        <v>1510</v>
      </c>
      <c r="D22" s="2463"/>
    </row>
    <row r="23" spans="1:10" ht="12.4" customHeight="1" x14ac:dyDescent="0.2">
      <c r="A23" s="963"/>
      <c r="B23" s="964"/>
      <c r="C23" s="965" t="s">
        <v>948</v>
      </c>
      <c r="D23" s="966" t="str">
        <f>IF(COVER!O11="X","CASH",IF(COVER!O12="X","ACCRUAL ","PLEASE CHECK AN ACCOUNTING BASIS."))</f>
        <v xml:space="preserve">ACCRUAL </v>
      </c>
    </row>
    <row r="24" spans="1:10" ht="12.4"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95"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3.1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66" t="s">
        <v>533</v>
      </c>
      <c r="D43" s="246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58" t="s">
        <v>779</v>
      </c>
      <c r="D56" s="245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3.1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3.1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458" t="s">
        <v>1677</v>
      </c>
      <c r="D70" s="245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3" t="str">
        <f>IF('Contracts Paid in CY 29'!$D$36&gt;0,"OK","PLEASE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1967</v>
      </c>
      <c r="F1" s="1593" t="s">
        <v>1968</v>
      </c>
      <c r="G1" s="1962" t="s">
        <v>1978</v>
      </c>
    </row>
    <row r="2" spans="1:7" ht="15.75" x14ac:dyDescent="0.25">
      <c r="A2" t="s">
        <v>260</v>
      </c>
      <c r="B2" s="135">
        <f>COVER!A13</f>
        <v>47052170022</v>
      </c>
      <c r="E2" s="1592">
        <v>2020</v>
      </c>
      <c r="F2" s="1592">
        <v>1</v>
      </c>
      <c r="G2" s="1961">
        <v>101000300</v>
      </c>
    </row>
    <row r="3" spans="1:7" ht="15" x14ac:dyDescent="0.25">
      <c r="A3" t="s">
        <v>950</v>
      </c>
      <c r="B3" s="135" t="str">
        <f>COVER!A15</f>
        <v>Lee</v>
      </c>
      <c r="E3" s="1888" t="s">
        <v>1971</v>
      </c>
      <c r="F3" s="1888" t="s">
        <v>1970</v>
      </c>
      <c r="G3" s="1961">
        <v>101000400</v>
      </c>
    </row>
    <row r="4" spans="1:7" ht="15" x14ac:dyDescent="0.25">
      <c r="A4" t="s">
        <v>1000</v>
      </c>
      <c r="B4" s="135" t="str">
        <f>COVER!A17</f>
        <v>Dixon USD 170</v>
      </c>
      <c r="E4" s="1886">
        <v>44119</v>
      </c>
      <c r="F4" s="1887">
        <v>44151</v>
      </c>
      <c r="G4" s="1961">
        <v>101000600</v>
      </c>
    </row>
    <row r="5" spans="1:7" ht="15" x14ac:dyDescent="0.25">
      <c r="A5" t="s">
        <v>699</v>
      </c>
      <c r="B5" s="135" t="str">
        <f>COVER!A38</f>
        <v>Margo Empen</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 xml:space="preserve">ACCRUAL </v>
      </c>
      <c r="G9" s="1961">
        <v>102100800</v>
      </c>
    </row>
    <row r="10" spans="1:7" ht="15" x14ac:dyDescent="0.25">
      <c r="A10" t="s">
        <v>970</v>
      </c>
      <c r="B10" s="135">
        <f>COVER!B5</f>
        <v>0</v>
      </c>
      <c r="G10" s="1961">
        <v>202100300</v>
      </c>
    </row>
    <row r="11" spans="1:7" ht="15" x14ac:dyDescent="0.25">
      <c r="A11" t="s">
        <v>971</v>
      </c>
      <c r="B11" s="135">
        <f>COVER!B6</f>
        <v>0</v>
      </c>
      <c r="G11" s="1961">
        <v>202100400</v>
      </c>
    </row>
    <row r="12" spans="1:7" ht="15" x14ac:dyDescent="0.25">
      <c r="A12" s="1" t="s">
        <v>1529</v>
      </c>
      <c r="B12" s="135" t="str">
        <f>IF(COVER!J29="x","Yes",IF(COVER!L29="X","No",0))</f>
        <v>Yes</v>
      </c>
      <c r="G12" s="1961">
        <v>202100600</v>
      </c>
    </row>
    <row r="13" spans="1:7" ht="15" x14ac:dyDescent="0.25">
      <c r="A13" s="1" t="s">
        <v>1530</v>
      </c>
      <c r="B13" s="135" t="str">
        <f>IF(COVER!J30="x","Yes",IF(COVER!L30="x","No",0))</f>
        <v>Yes</v>
      </c>
      <c r="G13" s="1961">
        <v>202100800</v>
      </c>
    </row>
    <row r="14" spans="1:7" ht="15" x14ac:dyDescent="0.25">
      <c r="A14" t="s">
        <v>473</v>
      </c>
      <c r="B14" s="135" t="str">
        <f>IF(COVER!J31="x","Yes",IF(COVER!L31="x","No",0))</f>
        <v>Yes</v>
      </c>
      <c r="G14" s="1961">
        <v>402100300</v>
      </c>
    </row>
    <row r="15" spans="1:7" ht="15" x14ac:dyDescent="0.25">
      <c r="A15" t="s">
        <v>573</v>
      </c>
      <c r="B15" s="135" t="str">
        <f>COVER!T23</f>
        <v>066-004023</v>
      </c>
      <c r="G15" s="1961">
        <v>402100400</v>
      </c>
    </row>
    <row r="16" spans="1:7" ht="15" x14ac:dyDescent="0.25">
      <c r="A16" t="s">
        <v>419</v>
      </c>
      <c r="B16" s="135" t="str">
        <f>COVER!T13</f>
        <v>Wipfli LLP</v>
      </c>
      <c r="G16" s="1961">
        <v>402100600</v>
      </c>
    </row>
    <row r="17" spans="1:7" ht="15" x14ac:dyDescent="0.25">
      <c r="A17" t="s">
        <v>878</v>
      </c>
      <c r="B17" s="135" t="str">
        <f>COVER!T15</f>
        <v>Matthew Schueler</v>
      </c>
      <c r="G17" s="1961">
        <v>402100800</v>
      </c>
    </row>
    <row r="18" spans="1:7" ht="15" x14ac:dyDescent="0.25">
      <c r="A18" t="s">
        <v>1142</v>
      </c>
      <c r="B18" s="135" t="str">
        <f>COVER!T17</f>
        <v>403 East 3rd Street</v>
      </c>
      <c r="G18" s="1961">
        <v>102200300</v>
      </c>
    </row>
    <row r="19" spans="1:7" ht="15" x14ac:dyDescent="0.25">
      <c r="A19" t="s">
        <v>880</v>
      </c>
      <c r="B19" s="135" t="str">
        <f>COVER!T25</f>
        <v>mschueler@wipfli.com</v>
      </c>
      <c r="G19" s="1961">
        <v>102200400</v>
      </c>
    </row>
    <row r="20" spans="1:7" ht="15" x14ac:dyDescent="0.25">
      <c r="A20" t="s">
        <v>881</v>
      </c>
      <c r="B20" s="135" t="str">
        <f>COVER!T19</f>
        <v>Sterling</v>
      </c>
      <c r="G20" s="1961">
        <v>102200600</v>
      </c>
    </row>
    <row r="21" spans="1:7" ht="15" x14ac:dyDescent="0.25">
      <c r="A21" t="s">
        <v>476</v>
      </c>
      <c r="B21" s="135" t="str">
        <f>COVER!X19</f>
        <v>IL</v>
      </c>
      <c r="G21" s="1961">
        <v>102200800</v>
      </c>
    </row>
    <row r="22" spans="1:7" ht="15" x14ac:dyDescent="0.25">
      <c r="A22" t="s">
        <v>882</v>
      </c>
      <c r="B22" s="135">
        <f>COVER!Z19</f>
        <v>61081</v>
      </c>
      <c r="G22" s="1961">
        <v>102300300</v>
      </c>
    </row>
    <row r="23" spans="1:7" ht="15" x14ac:dyDescent="0.25">
      <c r="A23" t="s">
        <v>1144</v>
      </c>
      <c r="B23" s="135" t="str">
        <f>COVER!T21</f>
        <v>815-626-1277</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Yes</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11175598</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1852201</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13807525</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11474034</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14106416</v>
      </c>
      <c r="C91" s="2" t="s">
        <v>569</v>
      </c>
      <c r="D91" s="2" t="str">
        <f t="shared" si="0"/>
        <v>Error?</v>
      </c>
      <c r="G91" s="1961">
        <v>102640400</v>
      </c>
    </row>
    <row r="92" spans="1:7" ht="15" x14ac:dyDescent="0.25">
      <c r="A92" s="5">
        <v>31</v>
      </c>
      <c r="B92" s="1890">
        <f>'Assets-Liab 5-6'!C39</f>
        <v>-298891</v>
      </c>
      <c r="D92" s="2" t="str">
        <f t="shared" si="0"/>
        <v>Error?</v>
      </c>
      <c r="G92" s="1961">
        <v>102640600</v>
      </c>
    </row>
    <row r="93" spans="1:7" ht="15" x14ac:dyDescent="0.25">
      <c r="A93" s="5">
        <v>32</v>
      </c>
      <c r="B93" s="1890">
        <f>'Assets-Liab 5-6'!C41</f>
        <v>13807525</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1837725</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2125236</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1904351</v>
      </c>
      <c r="C122" s="2" t="s">
        <v>569</v>
      </c>
      <c r="D122" s="2" t="str">
        <f t="shared" si="0"/>
        <v>Error?</v>
      </c>
      <c r="G122" s="1961">
        <v>203000300</v>
      </c>
    </row>
    <row r="123" spans="1:7" ht="15" x14ac:dyDescent="0.25">
      <c r="A123" s="5">
        <v>62</v>
      </c>
      <c r="B123" s="1890">
        <f>'Assets-Liab 5-6'!D39</f>
        <v>220885</v>
      </c>
      <c r="D123" s="2" t="str">
        <f t="shared" si="0"/>
        <v>Error?</v>
      </c>
      <c r="G123" s="1961">
        <v>203000400</v>
      </c>
    </row>
    <row r="124" spans="1:7" ht="15" x14ac:dyDescent="0.25">
      <c r="A124" s="5">
        <v>63</v>
      </c>
      <c r="B124" s="1890">
        <f>'Assets-Liab 5-6'!D41</f>
        <v>2125236</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2280546</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526367</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3799890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2342741</v>
      </c>
      <c r="C139" s="2" t="s">
        <v>569</v>
      </c>
      <c r="D139" s="2" t="str">
        <f t="shared" si="1"/>
        <v>Error?</v>
      </c>
    </row>
    <row r="140" spans="1:7" x14ac:dyDescent="0.2">
      <c r="A140" s="5">
        <v>79</v>
      </c>
      <c r="B140" s="1890">
        <f>'Assets-Liab 5-6'!E39</f>
        <v>836650</v>
      </c>
      <c r="D140" s="2" t="str">
        <f t="shared" si="1"/>
        <v>Error?</v>
      </c>
    </row>
    <row r="141" spans="1:7" x14ac:dyDescent="0.2">
      <c r="A141" s="5">
        <v>80</v>
      </c>
      <c r="B141" s="1890">
        <f>'Assets-Liab 5-6'!E41</f>
        <v>3799890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735090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321763</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1459961</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754871</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1424485</v>
      </c>
      <c r="C169" s="2" t="s">
        <v>569</v>
      </c>
      <c r="D169" s="2" t="str">
        <f t="shared" si="1"/>
        <v>Error?</v>
      </c>
    </row>
    <row r="170" spans="1:4" x14ac:dyDescent="0.2">
      <c r="A170" s="5">
        <v>109</v>
      </c>
      <c r="B170" s="1890">
        <f>'Assets-Liab 5-6'!F39</f>
        <v>35476</v>
      </c>
      <c r="D170" s="2" t="str">
        <f t="shared" si="1"/>
        <v>Error?</v>
      </c>
    </row>
    <row r="171" spans="1:4" x14ac:dyDescent="0.2">
      <c r="A171" s="5">
        <v>110</v>
      </c>
      <c r="B171" s="1890">
        <f>'Assets-Liab 5-6'!F41</f>
        <v>1459961</v>
      </c>
      <c r="C171" s="2" t="s">
        <v>569</v>
      </c>
      <c r="D171" s="2" t="str">
        <f t="shared" si="1"/>
        <v>Error?</v>
      </c>
    </row>
    <row r="172" spans="1:4" x14ac:dyDescent="0.2">
      <c r="A172" s="10">
        <v>111</v>
      </c>
      <c r="B172" s="1890"/>
      <c r="D172" s="2" t="str">
        <f t="shared" si="1"/>
        <v>OK</v>
      </c>
    </row>
    <row r="173" spans="1:4" x14ac:dyDescent="0.2">
      <c r="A173" s="5">
        <v>112</v>
      </c>
      <c r="B173" s="1890">
        <f>'Assets-Liab 5-6'!G6</f>
        <v>601748</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121858</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1214500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618239</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690140</v>
      </c>
      <c r="C188" s="2" t="s">
        <v>569</v>
      </c>
      <c r="D188" s="2" t="str">
        <f t="shared" si="1"/>
        <v>Error?</v>
      </c>
    </row>
    <row r="189" spans="1:4" x14ac:dyDescent="0.2">
      <c r="A189" s="5">
        <v>128</v>
      </c>
      <c r="B189" s="1890">
        <f>'Assets-Liab 5-6'!G39</f>
        <v>524360</v>
      </c>
      <c r="D189" s="2" t="str">
        <f t="shared" si="1"/>
        <v>Error?</v>
      </c>
    </row>
    <row r="190" spans="1:4" x14ac:dyDescent="0.2">
      <c r="A190" s="5">
        <v>129</v>
      </c>
      <c r="B190" s="1890">
        <f>'Assets-Liab 5-6'!G41</f>
        <v>1214500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745</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1069867</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949480</v>
      </c>
      <c r="C211" s="2" t="s">
        <v>569</v>
      </c>
      <c r="D211" s="2" t="str">
        <f t="shared" si="2"/>
        <v>Error?</v>
      </c>
    </row>
    <row r="212" spans="1:4" x14ac:dyDescent="0.2">
      <c r="A212" s="5">
        <v>151</v>
      </c>
      <c r="B212" s="1890">
        <f>'Assets-Liab 5-6'!H39</f>
        <v>-482941</v>
      </c>
      <c r="D212" s="2" t="str">
        <f t="shared" si="2"/>
        <v>Error?</v>
      </c>
    </row>
    <row r="213" spans="1:4" x14ac:dyDescent="0.2">
      <c r="A213" s="12">
        <v>152</v>
      </c>
      <c r="B213" s="1890">
        <f>'Assets-Liab 5-6'!H41</f>
        <v>1069867</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1191208</v>
      </c>
      <c r="D273" s="2" t="str">
        <f t="shared" si="3"/>
        <v>Error?</v>
      </c>
    </row>
    <row r="274" spans="1:4" x14ac:dyDescent="0.2">
      <c r="A274" s="5">
        <v>213</v>
      </c>
      <c r="B274" s="1890">
        <f>'Assets-Liab 5-6'!M17</f>
        <v>35563032</v>
      </c>
      <c r="D274" s="2" t="str">
        <f t="shared" si="3"/>
        <v>Error?</v>
      </c>
    </row>
    <row r="275" spans="1:4" x14ac:dyDescent="0.2">
      <c r="A275" s="5">
        <v>214</v>
      </c>
      <c r="B275" s="1890">
        <f>'Assets-Liab 5-6'!M18</f>
        <v>4926399</v>
      </c>
      <c r="D275" s="2" t="str">
        <f t="shared" si="3"/>
        <v>Error?</v>
      </c>
    </row>
    <row r="276" spans="1:4" x14ac:dyDescent="0.2">
      <c r="A276" s="5">
        <v>215</v>
      </c>
      <c r="B276" s="1890">
        <f>'Assets-Liab 5-6'!M19</f>
        <v>678097</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52464148</v>
      </c>
      <c r="C279" s="2" t="s">
        <v>569</v>
      </c>
      <c r="D279" s="2" t="str">
        <f t="shared" si="3"/>
        <v>Error?</v>
      </c>
    </row>
    <row r="280" spans="1:4" x14ac:dyDescent="0.2">
      <c r="A280" s="5">
        <v>219</v>
      </c>
      <c r="B280" s="1890">
        <f>'Assets-Liab 5-6'!M40</f>
        <v>52464148</v>
      </c>
      <c r="D280" s="2" t="str">
        <f t="shared" si="3"/>
        <v>Error?</v>
      </c>
    </row>
    <row r="281" spans="1:4" x14ac:dyDescent="0.2">
      <c r="A281" s="5">
        <v>220</v>
      </c>
      <c r="B281" s="1890">
        <f>'Assets-Liab 5-6'!M41</f>
        <v>52464148</v>
      </c>
      <c r="C281" s="2" t="s">
        <v>569</v>
      </c>
      <c r="D281" s="2" t="str">
        <f t="shared" si="3"/>
        <v>Error?</v>
      </c>
    </row>
    <row r="282" spans="1:4" x14ac:dyDescent="0.2">
      <c r="A282" s="5">
        <v>221</v>
      </c>
      <c r="B282" s="1890">
        <f>'Assets-Liab 5-6'!N21</f>
        <v>836650</v>
      </c>
      <c r="D282" s="2" t="str">
        <f t="shared" si="3"/>
        <v>Error?</v>
      </c>
    </row>
    <row r="283" spans="1:4" x14ac:dyDescent="0.2">
      <c r="A283" s="5">
        <v>222</v>
      </c>
      <c r="B283" s="1890">
        <f>'Assets-Liab 5-6'!N22</f>
        <v>40393350</v>
      </c>
      <c r="D283" s="2" t="str">
        <f t="shared" si="3"/>
        <v>Error?</v>
      </c>
    </row>
    <row r="284" spans="1:4" x14ac:dyDescent="0.2">
      <c r="A284" s="5">
        <v>223</v>
      </c>
      <c r="B284" s="1890">
        <f>'Assets-Liab 5-6'!N23</f>
        <v>41230000</v>
      </c>
      <c r="C284" s="2" t="s">
        <v>569</v>
      </c>
      <c r="D284" s="2" t="str">
        <f t="shared" si="3"/>
        <v>Error?</v>
      </c>
    </row>
    <row r="285" spans="1:4" x14ac:dyDescent="0.2">
      <c r="A285" s="5">
        <v>224</v>
      </c>
      <c r="B285" s="1890">
        <f>'Assets-Liab 5-6'!N36</f>
        <v>41230000</v>
      </c>
      <c r="D285" s="2" t="str">
        <f t="shared" si="3"/>
        <v>Error?</v>
      </c>
    </row>
    <row r="286" spans="1:4" x14ac:dyDescent="0.2">
      <c r="A286" s="10">
        <v>225</v>
      </c>
      <c r="B286" s="1890"/>
      <c r="D286" s="2" t="str">
        <f t="shared" si="3"/>
        <v>OK</v>
      </c>
    </row>
    <row r="287" spans="1:4" x14ac:dyDescent="0.2">
      <c r="A287" s="5">
        <v>226</v>
      </c>
      <c r="B287" s="1890">
        <f>'Assets-Liab 5-6'!N37</f>
        <v>41230000</v>
      </c>
      <c r="C287" s="2" t="s">
        <v>569</v>
      </c>
      <c r="D287" s="2" t="str">
        <f t="shared" si="3"/>
        <v>Error?</v>
      </c>
    </row>
    <row r="288" spans="1:4" x14ac:dyDescent="0.2">
      <c r="A288" s="5">
        <v>227</v>
      </c>
      <c r="B288" s="1890">
        <f>'Assets-Liab 5-6'!N41</f>
        <v>41230000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32371</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7786768</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70201</v>
      </c>
      <c r="D717" s="2" t="str">
        <f t="shared" si="10"/>
        <v>Error?</v>
      </c>
    </row>
    <row r="718" spans="1:4" x14ac:dyDescent="0.2">
      <c r="A718" s="5">
        <v>657</v>
      </c>
      <c r="B718" s="1890">
        <f>'Expenditures 15-22'!C14</f>
        <v>439604</v>
      </c>
      <c r="D718" s="2" t="str">
        <f t="shared" si="10"/>
        <v>Error?</v>
      </c>
    </row>
    <row r="719" spans="1:4" x14ac:dyDescent="0.2">
      <c r="A719" s="5">
        <v>658</v>
      </c>
      <c r="B719" s="1890">
        <f>'Expenditures 15-22'!C15</f>
        <v>15766</v>
      </c>
      <c r="D719" s="2" t="str">
        <f t="shared" si="10"/>
        <v>Error?</v>
      </c>
    </row>
    <row r="720" spans="1:4" x14ac:dyDescent="0.2">
      <c r="A720" s="5">
        <v>659</v>
      </c>
      <c r="B720" s="1890">
        <f>'Expenditures 15-22'!C33</f>
        <v>10711978</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587547</v>
      </c>
      <c r="D722" s="2" t="str">
        <f t="shared" si="10"/>
        <v>Error?</v>
      </c>
    </row>
    <row r="723" spans="1:4" x14ac:dyDescent="0.2">
      <c r="A723" s="5">
        <v>662</v>
      </c>
      <c r="B723" s="1890">
        <f>'Expenditures 15-22'!C38</f>
        <v>156161</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82624</v>
      </c>
      <c r="D725" s="2" t="str">
        <f t="shared" si="10"/>
        <v>Error?</v>
      </c>
    </row>
    <row r="726" spans="1:4" x14ac:dyDescent="0.2">
      <c r="A726" s="5">
        <v>665</v>
      </c>
      <c r="B726" s="1890">
        <f>'Expenditures 15-22'!C41</f>
        <v>6661</v>
      </c>
      <c r="D726" s="2" t="str">
        <f t="shared" si="10"/>
        <v>Error?</v>
      </c>
    </row>
    <row r="727" spans="1:4" x14ac:dyDescent="0.2">
      <c r="A727" s="5">
        <v>666</v>
      </c>
      <c r="B727" s="1890">
        <f>'Expenditures 15-22'!C42</f>
        <v>832993</v>
      </c>
      <c r="C727" s="2" t="s">
        <v>569</v>
      </c>
      <c r="D727" s="2" t="str">
        <f t="shared" si="10"/>
        <v>Error?</v>
      </c>
    </row>
    <row r="728" spans="1:4" x14ac:dyDescent="0.2">
      <c r="A728" s="5">
        <v>667</v>
      </c>
      <c r="B728" s="1890">
        <f>'Expenditures 15-22'!C44</f>
        <v>207038</v>
      </c>
      <c r="D728" s="2" t="str">
        <f t="shared" si="10"/>
        <v>Error?</v>
      </c>
    </row>
    <row r="729" spans="1:4" x14ac:dyDescent="0.2">
      <c r="A729" s="5">
        <v>668</v>
      </c>
      <c r="B729" s="1890">
        <f>'Expenditures 15-22'!C45</f>
        <v>48084</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255122</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199006</v>
      </c>
      <c r="D733" s="2" t="str">
        <f t="shared" si="10"/>
        <v>Error?</v>
      </c>
    </row>
    <row r="734" spans="1:4" x14ac:dyDescent="0.2">
      <c r="A734" s="5">
        <v>673</v>
      </c>
      <c r="B734" s="1890">
        <f>'Expenditures 15-22'!C53</f>
        <v>199006</v>
      </c>
      <c r="C734" s="2" t="s">
        <v>569</v>
      </c>
      <c r="D734" s="2" t="str">
        <f t="shared" si="10"/>
        <v>Error?</v>
      </c>
    </row>
    <row r="735" spans="1:4" x14ac:dyDescent="0.2">
      <c r="A735" s="5">
        <v>674</v>
      </c>
      <c r="B735" s="1890">
        <f>'Expenditures 15-22'!C55</f>
        <v>975412</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975412</v>
      </c>
      <c r="C737" s="2" t="s">
        <v>569</v>
      </c>
      <c r="D737" s="2" t="str">
        <f t="shared" si="10"/>
        <v>Error?</v>
      </c>
    </row>
    <row r="738" spans="1:4" x14ac:dyDescent="0.2">
      <c r="A738" s="5">
        <v>677</v>
      </c>
      <c r="B738" s="1890">
        <f>'Expenditures 15-22'!C59</f>
        <v>123898</v>
      </c>
      <c r="D738" s="2" t="str">
        <f t="shared" si="10"/>
        <v>Error?</v>
      </c>
    </row>
    <row r="739" spans="1:4" x14ac:dyDescent="0.2">
      <c r="A739" s="5">
        <v>678</v>
      </c>
      <c r="B739" s="1890">
        <f>'Expenditures 15-22'!C60</f>
        <v>37637</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35660</v>
      </c>
      <c r="D743" s="2" t="str">
        <f t="shared" si="10"/>
        <v>Error?</v>
      </c>
    </row>
    <row r="744" spans="1:4" x14ac:dyDescent="0.2">
      <c r="A744" s="10">
        <v>683</v>
      </c>
      <c r="B744" s="1890"/>
      <c r="D744" s="2" t="str">
        <f t="shared" si="10"/>
        <v>OK</v>
      </c>
    </row>
    <row r="745" spans="1:4" x14ac:dyDescent="0.2">
      <c r="A745" s="5">
        <v>684</v>
      </c>
      <c r="B745" s="1890">
        <f>'Expenditures 15-22'!C65</f>
        <v>197195</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2459728</v>
      </c>
      <c r="C755" s="2" t="s">
        <v>569</v>
      </c>
      <c r="D755" s="2" t="str">
        <f t="shared" si="10"/>
        <v>Error?</v>
      </c>
    </row>
    <row r="756" spans="1:4" x14ac:dyDescent="0.2">
      <c r="A756" s="5">
        <v>695</v>
      </c>
      <c r="B756" s="1890">
        <f>'Expenditures 15-22'!C75</f>
        <v>37499</v>
      </c>
      <c r="D756" s="2" t="str">
        <f t="shared" si="10"/>
        <v>Error?</v>
      </c>
    </row>
    <row r="757" spans="1:4" x14ac:dyDescent="0.2">
      <c r="A757" s="5">
        <v>696</v>
      </c>
      <c r="B757" s="1890">
        <f>'Expenditures 15-22'!C114</f>
        <v>13209205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4174461</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9776</v>
      </c>
      <c r="D775" s="2" t="str">
        <f t="shared" si="11"/>
        <v>Error?</v>
      </c>
    </row>
    <row r="776" spans="1:4" x14ac:dyDescent="0.2">
      <c r="A776" s="5">
        <v>715</v>
      </c>
      <c r="B776" s="1890">
        <f>'Expenditures 15-22'!D14</f>
        <v>38032</v>
      </c>
      <c r="D776" s="2" t="str">
        <f t="shared" si="11"/>
        <v>Error?</v>
      </c>
    </row>
    <row r="777" spans="1:4" x14ac:dyDescent="0.2">
      <c r="A777" s="5">
        <v>716</v>
      </c>
      <c r="B777" s="1890">
        <f>'Expenditures 15-22'!D15</f>
        <v>1849</v>
      </c>
      <c r="D777" s="2" t="str">
        <f t="shared" si="11"/>
        <v>Error?</v>
      </c>
    </row>
    <row r="778" spans="1:4" x14ac:dyDescent="0.2">
      <c r="A778" s="5">
        <v>717</v>
      </c>
      <c r="B778" s="1890">
        <f>'Expenditures 15-22'!D33</f>
        <v>4581999</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203978</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10194</v>
      </c>
      <c r="D783" s="2" t="str">
        <f t="shared" si="11"/>
        <v>Error?</v>
      </c>
    </row>
    <row r="784" spans="1:4" x14ac:dyDescent="0.2">
      <c r="A784" s="5">
        <v>723</v>
      </c>
      <c r="B784" s="1890">
        <f>'Expenditures 15-22'!D41</f>
        <v>295</v>
      </c>
      <c r="D784" s="2" t="str">
        <f t="shared" si="11"/>
        <v>Error?</v>
      </c>
    </row>
    <row r="785" spans="1:4" x14ac:dyDescent="0.2">
      <c r="A785" s="5">
        <v>724</v>
      </c>
      <c r="B785" s="1890">
        <f>'Expenditures 15-22'!D42</f>
        <v>214467</v>
      </c>
      <c r="C785" s="2" t="s">
        <v>569</v>
      </c>
      <c r="D785" s="2" t="str">
        <f t="shared" si="11"/>
        <v>Error?</v>
      </c>
    </row>
    <row r="786" spans="1:4" x14ac:dyDescent="0.2">
      <c r="A786" s="5">
        <v>725</v>
      </c>
      <c r="B786" s="1890">
        <f>'Expenditures 15-22'!D44</f>
        <v>60135</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60135</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62738</v>
      </c>
      <c r="D791" s="2" t="str">
        <f t="shared" si="11"/>
        <v>Error?</v>
      </c>
    </row>
    <row r="792" spans="1:4" x14ac:dyDescent="0.2">
      <c r="A792" s="5">
        <v>731</v>
      </c>
      <c r="B792" s="1890">
        <f>'Expenditures 15-22'!D53</f>
        <v>62738</v>
      </c>
      <c r="C792" s="2" t="s">
        <v>569</v>
      </c>
      <c r="D792" s="2" t="str">
        <f t="shared" si="11"/>
        <v>Error?</v>
      </c>
    </row>
    <row r="793" spans="1:4" x14ac:dyDescent="0.2">
      <c r="A793" s="5">
        <v>732</v>
      </c>
      <c r="B793" s="1890">
        <f>'Expenditures 15-22'!D55</f>
        <v>348099</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348099</v>
      </c>
      <c r="C795" s="2" t="s">
        <v>569</v>
      </c>
      <c r="D795" s="2" t="str">
        <f t="shared" si="11"/>
        <v>Error?</v>
      </c>
    </row>
    <row r="796" spans="1:4" x14ac:dyDescent="0.2">
      <c r="A796" s="5">
        <v>735</v>
      </c>
      <c r="B796" s="1890">
        <f>'Expenditures 15-22'!D59</f>
        <v>41164</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41164</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726603</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5308602</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153765</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32208</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186728</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1801</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1801</v>
      </c>
      <c r="C843" s="2" t="s">
        <v>569</v>
      </c>
      <c r="D843" s="2" t="str">
        <f t="shared" si="12"/>
        <v>Error?</v>
      </c>
    </row>
    <row r="844" spans="1:4" x14ac:dyDescent="0.2">
      <c r="A844" s="5">
        <v>783</v>
      </c>
      <c r="B844" s="1890">
        <f>'Expenditures 15-22'!E44</f>
        <v>147559</v>
      </c>
      <c r="D844" s="2" t="str">
        <f t="shared" si="12"/>
        <v>Error?</v>
      </c>
    </row>
    <row r="845" spans="1:4" x14ac:dyDescent="0.2">
      <c r="A845" s="5">
        <v>784</v>
      </c>
      <c r="B845" s="1890">
        <f>'Expenditures 15-22'!E45</f>
        <v>34</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147593</v>
      </c>
      <c r="C847" s="2" t="s">
        <v>569</v>
      </c>
      <c r="D847" s="2" t="str">
        <f t="shared" si="12"/>
        <v>Error?</v>
      </c>
    </row>
    <row r="848" spans="1:4" x14ac:dyDescent="0.2">
      <c r="A848" s="5">
        <v>787</v>
      </c>
      <c r="B848" s="1890">
        <f>'Expenditures 15-22'!E49</f>
        <v>189455</v>
      </c>
      <c r="D848" s="2" t="str">
        <f t="shared" si="12"/>
        <v>Error?</v>
      </c>
    </row>
    <row r="849" spans="1:4" x14ac:dyDescent="0.2">
      <c r="A849" s="5">
        <v>788</v>
      </c>
      <c r="B849" s="1890">
        <f>'Expenditures 15-22'!E50</f>
        <v>4095</v>
      </c>
      <c r="D849" s="2" t="str">
        <f t="shared" si="12"/>
        <v>Error?</v>
      </c>
    </row>
    <row r="850" spans="1:4" x14ac:dyDescent="0.2">
      <c r="A850" s="5">
        <v>789</v>
      </c>
      <c r="B850" s="1890">
        <f>'Expenditures 15-22'!E53</f>
        <v>193550</v>
      </c>
      <c r="C850" s="2" t="s">
        <v>569</v>
      </c>
      <c r="D850" s="2" t="str">
        <f t="shared" si="12"/>
        <v>Error?</v>
      </c>
    </row>
    <row r="851" spans="1:4" x14ac:dyDescent="0.2">
      <c r="A851" s="5">
        <v>790</v>
      </c>
      <c r="B851" s="1890">
        <f>'Expenditures 15-22'!E55</f>
        <v>66098</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66098</v>
      </c>
      <c r="C853" s="2" t="s">
        <v>569</v>
      </c>
      <c r="D853" s="2" t="str">
        <f t="shared" si="12"/>
        <v>Error?</v>
      </c>
    </row>
    <row r="854" spans="1:4" x14ac:dyDescent="0.2">
      <c r="A854" s="5">
        <v>793</v>
      </c>
      <c r="B854" s="1890">
        <f>'Expenditures 15-22'!E59</f>
        <v>145</v>
      </c>
      <c r="D854" s="2" t="str">
        <f t="shared" si="12"/>
        <v>Error?</v>
      </c>
    </row>
    <row r="855" spans="1:4" x14ac:dyDescent="0.2">
      <c r="A855" s="5">
        <v>794</v>
      </c>
      <c r="B855" s="1890">
        <f>'Expenditures 15-22'!E60</f>
        <v>346</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552724</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553215</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25500</v>
      </c>
      <c r="D867" s="2" t="str">
        <f t="shared" si="12"/>
        <v>Error?</v>
      </c>
    </row>
    <row r="868" spans="1:4" x14ac:dyDescent="0.2">
      <c r="A868" s="10">
        <v>807</v>
      </c>
      <c r="B868" s="1890"/>
      <c r="D868" s="2" t="str">
        <f t="shared" si="12"/>
        <v>OK</v>
      </c>
    </row>
    <row r="869" spans="1:4" x14ac:dyDescent="0.2">
      <c r="A869" s="5">
        <v>808</v>
      </c>
      <c r="B869" s="1890">
        <f>'Expenditures 15-22'!E72</f>
        <v>25500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987757</v>
      </c>
      <c r="C871" s="2" t="s">
        <v>569</v>
      </c>
      <c r="D871" s="2" t="str">
        <f t="shared" si="12"/>
        <v>Error?</v>
      </c>
    </row>
    <row r="872" spans="1:4" x14ac:dyDescent="0.2">
      <c r="A872" s="5">
        <v>811</v>
      </c>
      <c r="B872" s="1890">
        <f>'Expenditures 15-22'!E75</f>
        <v>7051</v>
      </c>
      <c r="D872" s="2" t="str">
        <f t="shared" si="12"/>
        <v>Error?</v>
      </c>
    </row>
    <row r="873" spans="1:4" x14ac:dyDescent="0.2">
      <c r="A873" s="5">
        <v>812</v>
      </c>
      <c r="B873" s="1890">
        <f>'Expenditures 15-22'!E114</f>
        <v>1181536</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55800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8406</v>
      </c>
      <c r="D891" s="2" t="str">
        <f t="shared" si="12"/>
        <v>Error?</v>
      </c>
    </row>
    <row r="892" spans="1:4" x14ac:dyDescent="0.2">
      <c r="A892" s="5">
        <v>831</v>
      </c>
      <c r="B892" s="1890">
        <f>'Expenditures 15-22'!F14</f>
        <v>13955</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169769</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5476</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5476</v>
      </c>
      <c r="C901" s="2" t="s">
        <v>569</v>
      </c>
      <c r="D901" s="2" t="str">
        <f t="shared" si="13"/>
        <v>Error?</v>
      </c>
    </row>
    <row r="902" spans="1:4" x14ac:dyDescent="0.2">
      <c r="A902" s="5">
        <v>841</v>
      </c>
      <c r="B902" s="1890">
        <f>'Expenditures 15-22'!F44</f>
        <v>154525</v>
      </c>
      <c r="D902" s="2" t="str">
        <f t="shared" si="13"/>
        <v>Error?</v>
      </c>
    </row>
    <row r="903" spans="1:4" x14ac:dyDescent="0.2">
      <c r="A903" s="5">
        <v>842</v>
      </c>
      <c r="B903" s="1890">
        <f>'Expenditures 15-22'!F45</f>
        <v>16338</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170863</v>
      </c>
      <c r="C905" s="2" t="s">
        <v>569</v>
      </c>
      <c r="D905" s="2" t="str">
        <f t="shared" si="13"/>
        <v>Error?</v>
      </c>
    </row>
    <row r="906" spans="1:4" x14ac:dyDescent="0.2">
      <c r="A906" s="5">
        <v>845</v>
      </c>
      <c r="B906" s="1890">
        <f>'Expenditures 15-22'!F49</f>
        <v>77778</v>
      </c>
      <c r="D906" s="2" t="str">
        <f t="shared" si="13"/>
        <v>Error?</v>
      </c>
    </row>
    <row r="907" spans="1:4" x14ac:dyDescent="0.2">
      <c r="A907" s="5">
        <v>846</v>
      </c>
      <c r="B907" s="1890">
        <f>'Expenditures 15-22'!F50</f>
        <v>546</v>
      </c>
      <c r="D907" s="2" t="str">
        <f t="shared" si="13"/>
        <v>Error?</v>
      </c>
    </row>
    <row r="908" spans="1:4" x14ac:dyDescent="0.2">
      <c r="A908" s="5">
        <v>847</v>
      </c>
      <c r="B908" s="1890">
        <f>'Expenditures 15-22'!F53</f>
        <v>78324</v>
      </c>
      <c r="C908" s="2" t="s">
        <v>569</v>
      </c>
      <c r="D908" s="2" t="str">
        <f t="shared" si="13"/>
        <v>Error?</v>
      </c>
    </row>
    <row r="909" spans="1:4" x14ac:dyDescent="0.2">
      <c r="A909" s="5">
        <v>848</v>
      </c>
      <c r="B909" s="1890">
        <f>'Expenditures 15-22'!F55</f>
        <v>47025</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47025</v>
      </c>
      <c r="C911" s="2" t="s">
        <v>569</v>
      </c>
      <c r="D911" s="2" t="str">
        <f t="shared" si="13"/>
        <v>Error?</v>
      </c>
    </row>
    <row r="912" spans="1:4" x14ac:dyDescent="0.2">
      <c r="A912" s="5">
        <v>851</v>
      </c>
      <c r="B912" s="1890">
        <f>'Expenditures 15-22'!F59</f>
        <v>920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5276</v>
      </c>
      <c r="D916" s="2" t="str">
        <f t="shared" si="13"/>
        <v>Error?</v>
      </c>
    </row>
    <row r="917" spans="1:4" x14ac:dyDescent="0.2">
      <c r="A917" s="5">
        <v>856</v>
      </c>
      <c r="B917" s="1890">
        <f>'Expenditures 15-22'!F64</f>
        <v>558</v>
      </c>
      <c r="D917" s="2" t="str">
        <f t="shared" si="13"/>
        <v>Error?</v>
      </c>
    </row>
    <row r="918" spans="1:4" x14ac:dyDescent="0.2">
      <c r="A918" s="10">
        <v>857</v>
      </c>
      <c r="B918" s="1890"/>
      <c r="D918" s="2" t="str">
        <f t="shared" si="13"/>
        <v>OK</v>
      </c>
    </row>
    <row r="919" spans="1:4" x14ac:dyDescent="0.2">
      <c r="A919" s="5">
        <v>858</v>
      </c>
      <c r="B919" s="1890">
        <f>'Expenditures 15-22'!F65</f>
        <v>6754</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308442</v>
      </c>
      <c r="C929" s="2" t="s">
        <v>569</v>
      </c>
      <c r="D929" s="2" t="str">
        <f t="shared" si="13"/>
        <v>Error?</v>
      </c>
    </row>
    <row r="930" spans="1:4" x14ac:dyDescent="0.2">
      <c r="A930" s="5">
        <v>869</v>
      </c>
      <c r="B930" s="1890">
        <f>'Expenditures 15-22'!F75</f>
        <v>12325</v>
      </c>
      <c r="D930" s="2" t="str">
        <f t="shared" si="13"/>
        <v>Error?</v>
      </c>
    </row>
    <row r="931" spans="1:4" x14ac:dyDescent="0.2">
      <c r="A931" s="5">
        <v>870</v>
      </c>
      <c r="B931" s="1890">
        <f>'Expenditures 15-22'!F114</f>
        <v>490536</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501548</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501548</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1712</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1712</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23596</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23596</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25308</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526856</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33318</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20192</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53510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16707</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16707</v>
      </c>
      <c r="C1021" s="2" t="s">
        <v>569</v>
      </c>
      <c r="D1021" s="2" t="str">
        <f t="shared" si="14"/>
        <v>Error?</v>
      </c>
    </row>
    <row r="1022" spans="1:4" x14ac:dyDescent="0.2">
      <c r="A1022" s="5">
        <v>961</v>
      </c>
      <c r="B1022" s="1890">
        <f>'Expenditures 15-22'!H49</f>
        <v>8877</v>
      </c>
      <c r="D1022" s="2" t="str">
        <f t="shared" si="14"/>
        <v>Error?</v>
      </c>
    </row>
    <row r="1023" spans="1:4" x14ac:dyDescent="0.2">
      <c r="A1023" s="5">
        <v>962</v>
      </c>
      <c r="B1023" s="1890">
        <f>'Expenditures 15-22'!H50</f>
        <v>2287</v>
      </c>
      <c r="D1023" s="2" t="str">
        <f t="shared" ref="D1023:D1086" si="15">IF(ISBLANK(B1023),"OK",IF(A1023-B1023=0,"OK","Error?"))</f>
        <v>Error?</v>
      </c>
    </row>
    <row r="1024" spans="1:4" x14ac:dyDescent="0.2">
      <c r="A1024" s="5">
        <v>963</v>
      </c>
      <c r="B1024" s="1890">
        <f>'Expenditures 15-22'!H53</f>
        <v>11164</v>
      </c>
      <c r="C1024" s="2" t="s">
        <v>569</v>
      </c>
      <c r="D1024" s="2" t="str">
        <f t="shared" si="15"/>
        <v>Error?</v>
      </c>
    </row>
    <row r="1025" spans="1:4" x14ac:dyDescent="0.2">
      <c r="A1025" s="5">
        <v>964</v>
      </c>
      <c r="B1025" s="1890">
        <f>'Expenditures 15-22'!H55</f>
        <v>4161</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4161</v>
      </c>
      <c r="C1027" s="2" t="s">
        <v>569</v>
      </c>
      <c r="D1027" s="2" t="str">
        <f t="shared" si="15"/>
        <v>Error?</v>
      </c>
    </row>
    <row r="1028" spans="1:4" x14ac:dyDescent="0.2">
      <c r="A1028" s="5">
        <v>967</v>
      </c>
      <c r="B1028" s="1890">
        <f>'Expenditures 15-22'!H59</f>
        <v>340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340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32372</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2476052</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2561934</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1997</v>
      </c>
      <c r="E1056" s="4" t="s">
        <v>1996</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12705660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88383</v>
      </c>
      <c r="C1105" s="2" t="s">
        <v>569</v>
      </c>
      <c r="D1105" s="2" t="str">
        <f t="shared" si="16"/>
        <v>Error?</v>
      </c>
    </row>
    <row r="1106" spans="1:4" x14ac:dyDescent="0.2">
      <c r="A1106" s="5">
        <v>1045</v>
      </c>
      <c r="B1106" s="1890">
        <f>'Expenditures 15-22'!K14</f>
        <v>543991</v>
      </c>
      <c r="C1106" s="2" t="s">
        <v>569</v>
      </c>
      <c r="D1106" s="2" t="str">
        <f t="shared" si="16"/>
        <v>Error?</v>
      </c>
    </row>
    <row r="1107" spans="1:4" x14ac:dyDescent="0.2">
      <c r="A1107" s="5">
        <v>1046</v>
      </c>
      <c r="B1107" s="1890">
        <f>'Expenditures 15-22'!K15</f>
        <v>17615</v>
      </c>
      <c r="C1107" s="2" t="s">
        <v>569</v>
      </c>
      <c r="D1107" s="2" t="str">
        <f t="shared" si="16"/>
        <v>Error?</v>
      </c>
    </row>
    <row r="1108" spans="1:4" x14ac:dyDescent="0.2">
      <c r="A1108" s="5">
        <v>1047</v>
      </c>
      <c r="B1108" s="1890">
        <f>'Expenditures 15-22'!K33</f>
        <v>16205532</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791525</v>
      </c>
      <c r="C1110" s="2" t="s">
        <v>569</v>
      </c>
      <c r="D1110" s="2" t="str">
        <f t="shared" si="16"/>
        <v>Error?</v>
      </c>
    </row>
    <row r="1111" spans="1:4" x14ac:dyDescent="0.2">
      <c r="A1111" s="5">
        <v>1050</v>
      </c>
      <c r="B1111" s="1890">
        <f>'Expenditures 15-22'!K38</f>
        <v>163438</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92818</v>
      </c>
      <c r="C1113" s="2" t="s">
        <v>569</v>
      </c>
      <c r="D1113" s="2" t="str">
        <f t="shared" si="16"/>
        <v>Error?</v>
      </c>
    </row>
    <row r="1114" spans="1:4" x14ac:dyDescent="0.2">
      <c r="A1114" s="5">
        <v>1053</v>
      </c>
      <c r="B1114" s="1890">
        <f>'Expenditures 15-22'!K41</f>
        <v>6956</v>
      </c>
      <c r="C1114" s="2" t="s">
        <v>569</v>
      </c>
      <c r="D1114" s="2" t="str">
        <f t="shared" si="16"/>
        <v>Error?</v>
      </c>
    </row>
    <row r="1115" spans="1:4" x14ac:dyDescent="0.2">
      <c r="A1115" s="5">
        <v>1054</v>
      </c>
      <c r="B1115" s="1890">
        <f>'Expenditures 15-22'!K42</f>
        <v>1054737</v>
      </c>
      <c r="C1115" s="2" t="s">
        <v>569</v>
      </c>
      <c r="D1115" s="2" t="str">
        <f t="shared" si="16"/>
        <v>Error?</v>
      </c>
    </row>
    <row r="1116" spans="1:4" x14ac:dyDescent="0.2">
      <c r="A1116" s="5">
        <v>1055</v>
      </c>
      <c r="B1116" s="1890">
        <f>'Expenditures 15-22'!K44</f>
        <v>585964</v>
      </c>
      <c r="C1116" s="2" t="s">
        <v>569</v>
      </c>
      <c r="D1116" s="2" t="str">
        <f t="shared" si="16"/>
        <v>Error?</v>
      </c>
    </row>
    <row r="1117" spans="1:4" x14ac:dyDescent="0.2">
      <c r="A1117" s="5">
        <v>1056</v>
      </c>
      <c r="B1117" s="1890">
        <f>'Expenditures 15-22'!K45</f>
        <v>64456</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650420</v>
      </c>
      <c r="C1119" s="2" t="s">
        <v>569</v>
      </c>
      <c r="D1119" s="2" t="str">
        <f t="shared" si="16"/>
        <v>Error?</v>
      </c>
    </row>
    <row r="1120" spans="1:4" x14ac:dyDescent="0.2">
      <c r="A1120" s="5">
        <v>1059</v>
      </c>
      <c r="B1120" s="1890">
        <f>'Expenditures 15-22'!K49</f>
        <v>276110</v>
      </c>
      <c r="C1120" s="2" t="s">
        <v>569</v>
      </c>
      <c r="D1120" s="2" t="str">
        <f t="shared" si="16"/>
        <v>Error?</v>
      </c>
    </row>
    <row r="1121" spans="1:4" x14ac:dyDescent="0.2">
      <c r="A1121" s="5">
        <v>1060</v>
      </c>
      <c r="B1121" s="1890">
        <f>'Expenditures 15-22'!K50</f>
        <v>268672</v>
      </c>
      <c r="C1121" s="2" t="s">
        <v>569</v>
      </c>
      <c r="D1121" s="2" t="str">
        <f t="shared" si="16"/>
        <v>Error?</v>
      </c>
    </row>
    <row r="1122" spans="1:4" x14ac:dyDescent="0.2">
      <c r="A1122" s="5">
        <v>1061</v>
      </c>
      <c r="B1122" s="1890">
        <f>'Expenditures 15-22'!K53</f>
        <v>544782</v>
      </c>
      <c r="C1122" s="2" t="s">
        <v>569</v>
      </c>
      <c r="D1122" s="2" t="str">
        <f t="shared" si="16"/>
        <v>Error?</v>
      </c>
    </row>
    <row r="1123" spans="1:4" x14ac:dyDescent="0.2">
      <c r="A1123" s="5">
        <v>1062</v>
      </c>
      <c r="B1123" s="1890">
        <f>'Expenditures 15-22'!K55</f>
        <v>1442507</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1442507</v>
      </c>
      <c r="C1125" s="2" t="s">
        <v>569</v>
      </c>
      <c r="D1125" s="2" t="str">
        <f t="shared" si="16"/>
        <v>Error?</v>
      </c>
    </row>
    <row r="1126" spans="1:4" x14ac:dyDescent="0.2">
      <c r="A1126" s="5">
        <v>1065</v>
      </c>
      <c r="B1126" s="1890">
        <f>'Expenditures 15-22'!K59</f>
        <v>166467</v>
      </c>
      <c r="C1126" s="2" t="s">
        <v>569</v>
      </c>
      <c r="D1126" s="2" t="str">
        <f t="shared" si="16"/>
        <v>Error?</v>
      </c>
    </row>
    <row r="1127" spans="1:4" x14ac:dyDescent="0.2">
      <c r="A1127" s="5">
        <v>1066</v>
      </c>
      <c r="B1127" s="1890">
        <f>'Expenditures 15-22'!K60</f>
        <v>37983</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581596</v>
      </c>
      <c r="C1130" s="2" t="s">
        <v>569</v>
      </c>
      <c r="D1130" s="2" t="str">
        <f t="shared" si="16"/>
        <v>Error?</v>
      </c>
    </row>
    <row r="1131" spans="1:4" x14ac:dyDescent="0.2">
      <c r="A1131" s="5">
        <v>1070</v>
      </c>
      <c r="B1131" s="1890">
        <f>'Expenditures 15-22'!K64</f>
        <v>36218</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822264</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25500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25500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4540210</v>
      </c>
      <c r="C1143" s="2" t="s">
        <v>569</v>
      </c>
      <c r="D1143" s="2" t="str">
        <f t="shared" si="16"/>
        <v>Error?</v>
      </c>
    </row>
    <row r="1144" spans="1:4" x14ac:dyDescent="0.2">
      <c r="A1144" s="5">
        <v>1083</v>
      </c>
      <c r="B1144" s="1890">
        <f>'Expenditures 15-22'!K75</f>
        <v>56875</v>
      </c>
      <c r="C1144" s="2" t="s">
        <v>569</v>
      </c>
      <c r="D1144" s="2" t="str">
        <f t="shared" si="16"/>
        <v>Error?</v>
      </c>
    </row>
    <row r="1145" spans="1:4" x14ac:dyDescent="0.2">
      <c r="A1145" s="5">
        <v>1084</v>
      </c>
      <c r="B1145" s="1890">
        <f>'Expenditures 15-22'!K102</f>
        <v>2476052</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23278669</v>
      </c>
      <c r="C1152" s="2" t="s">
        <v>569</v>
      </c>
      <c r="D1152" s="2" t="str">
        <f t="shared" si="17"/>
        <v>Error?</v>
      </c>
    </row>
    <row r="1153" spans="1:4" x14ac:dyDescent="0.2">
      <c r="A1153" s="5">
        <v>1092</v>
      </c>
      <c r="B1153" s="1890">
        <f>'Expenditures 15-22'!K115</f>
        <v>-1214059</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893305</v>
      </c>
      <c r="D1221" s="2" t="str">
        <f t="shared" si="18"/>
        <v>Error?</v>
      </c>
    </row>
    <row r="1222" spans="1:4" x14ac:dyDescent="0.2">
      <c r="A1222" s="10">
        <v>1161</v>
      </c>
      <c r="B1222" s="1890"/>
      <c r="D1222" s="2" t="str">
        <f t="shared" si="18"/>
        <v>OK</v>
      </c>
    </row>
    <row r="1223" spans="1:4" x14ac:dyDescent="0.2">
      <c r="A1223" s="5">
        <v>1162</v>
      </c>
      <c r="B1223" s="1890">
        <f>'Expenditures 15-22'!C127</f>
        <v>893305</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893305</v>
      </c>
      <c r="C1225" s="2" t="s">
        <v>569</v>
      </c>
      <c r="D1225" s="2" t="str">
        <f t="shared" si="18"/>
        <v>Error?</v>
      </c>
    </row>
    <row r="1226" spans="1:4" x14ac:dyDescent="0.2">
      <c r="A1226" s="5">
        <v>1165</v>
      </c>
      <c r="B1226" s="1890">
        <f>'Expenditures 15-22'!C151</f>
        <v>893305</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273986</v>
      </c>
      <c r="D1229" s="2" t="str">
        <f t="shared" si="18"/>
        <v>Error?</v>
      </c>
    </row>
    <row r="1230" spans="1:4" x14ac:dyDescent="0.2">
      <c r="A1230" s="10">
        <v>1169</v>
      </c>
      <c r="B1230" s="1890"/>
      <c r="D1230" s="2" t="str">
        <f t="shared" si="18"/>
        <v>OK</v>
      </c>
    </row>
    <row r="1231" spans="1:4" x14ac:dyDescent="0.2">
      <c r="A1231" s="5">
        <v>1170</v>
      </c>
      <c r="B1231" s="1890">
        <f>'Expenditures 15-22'!D127</f>
        <v>273986</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273986</v>
      </c>
      <c r="C1233" s="2" t="s">
        <v>569</v>
      </c>
      <c r="D1233" s="2" t="str">
        <f t="shared" si="18"/>
        <v>Error?</v>
      </c>
    </row>
    <row r="1234" spans="1:4" x14ac:dyDescent="0.2">
      <c r="A1234" s="5">
        <v>1173</v>
      </c>
      <c r="B1234" s="1890">
        <f>'Expenditures 15-22'!D151</f>
        <v>273986</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193657</v>
      </c>
      <c r="D1237" s="2" t="str">
        <f t="shared" si="18"/>
        <v>Error?</v>
      </c>
    </row>
    <row r="1238" spans="1:4" x14ac:dyDescent="0.2">
      <c r="A1238" s="10">
        <v>1177</v>
      </c>
      <c r="B1238" s="1890"/>
      <c r="D1238" s="2" t="str">
        <f t="shared" si="18"/>
        <v>OK</v>
      </c>
    </row>
    <row r="1239" spans="1:4" x14ac:dyDescent="0.2">
      <c r="A1239" s="5">
        <v>1178</v>
      </c>
      <c r="B1239" s="1890">
        <f>'Expenditures 15-22'!E127</f>
        <v>193657</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193657</v>
      </c>
      <c r="C1241" s="2" t="s">
        <v>569</v>
      </c>
      <c r="D1241" s="2" t="str">
        <f t="shared" si="18"/>
        <v>Error?</v>
      </c>
    </row>
    <row r="1242" spans="1:4" x14ac:dyDescent="0.2">
      <c r="A1242" s="5">
        <v>1181</v>
      </c>
      <c r="B1242" s="1890">
        <f>'Expenditures 15-22'!E151</f>
        <v>193657</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477905</v>
      </c>
      <c r="D1245" s="2" t="str">
        <f t="shared" si="18"/>
        <v>Error?</v>
      </c>
    </row>
    <row r="1246" spans="1:4" x14ac:dyDescent="0.2">
      <c r="A1246" s="10">
        <v>1185</v>
      </c>
      <c r="B1246" s="1890"/>
      <c r="D1246" s="2" t="str">
        <f t="shared" si="18"/>
        <v>OK</v>
      </c>
    </row>
    <row r="1247" spans="1:4" x14ac:dyDescent="0.2">
      <c r="A1247" s="5">
        <v>1186</v>
      </c>
      <c r="B1247" s="1890">
        <f>'Expenditures 15-22'!F127</f>
        <v>477905</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477905</v>
      </c>
      <c r="C1249" s="2" t="s">
        <v>569</v>
      </c>
      <c r="D1249" s="2" t="str">
        <f t="shared" si="18"/>
        <v>Error?</v>
      </c>
    </row>
    <row r="1250" spans="1:4" x14ac:dyDescent="0.2">
      <c r="A1250" s="5">
        <v>1189</v>
      </c>
      <c r="B1250" s="1890">
        <f>'Expenditures 15-22'!F151</f>
        <v>477905</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6419</v>
      </c>
      <c r="D1252" s="2" t="str">
        <f t="shared" si="18"/>
        <v>Error?</v>
      </c>
    </row>
    <row r="1253" spans="1:4" x14ac:dyDescent="0.2">
      <c r="A1253" s="5">
        <v>1192</v>
      </c>
      <c r="B1253" s="1890">
        <f>'Expenditures 15-22'!G124</f>
        <v>48135</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54554</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54554</v>
      </c>
      <c r="C1258" s="2" t="s">
        <v>569</v>
      </c>
      <c r="D1258" s="2" t="str">
        <f t="shared" si="18"/>
        <v>Error?</v>
      </c>
    </row>
    <row r="1259" spans="1:4" x14ac:dyDescent="0.2">
      <c r="A1259" s="5">
        <v>1198</v>
      </c>
      <c r="B1259" s="1890">
        <f>'Expenditures 15-22'!G151</f>
        <v>54554</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1140</v>
      </c>
      <c r="D1262" s="2" t="str">
        <f t="shared" si="18"/>
        <v>Error?</v>
      </c>
    </row>
    <row r="1263" spans="1:4" x14ac:dyDescent="0.2">
      <c r="A1263" s="10">
        <v>1202</v>
      </c>
      <c r="B1263" s="1890"/>
      <c r="D1263" s="2" t="str">
        <f t="shared" si="18"/>
        <v>OK</v>
      </c>
    </row>
    <row r="1264" spans="1:4" x14ac:dyDescent="0.2">
      <c r="A1264" s="5">
        <v>1203</v>
      </c>
      <c r="B1264" s="1890">
        <f>'Expenditures 15-22'!H127</f>
        <v>1140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1140</v>
      </c>
      <c r="C1266" s="2" t="s">
        <v>569</v>
      </c>
      <c r="D1266" s="2" t="str">
        <f t="shared" si="18"/>
        <v>Error?</v>
      </c>
    </row>
    <row r="1267" spans="1:4" x14ac:dyDescent="0.2">
      <c r="A1267" s="5">
        <v>1206</v>
      </c>
      <c r="B1267" s="1890">
        <f>'Expenditures 15-22'!H139</f>
        <v>23416</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24556</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6419</v>
      </c>
      <c r="C1275" s="2" t="s">
        <v>569</v>
      </c>
      <c r="D1275" s="2" t="str">
        <f t="shared" si="18"/>
        <v>Error?</v>
      </c>
    </row>
    <row r="1276" spans="1:4" x14ac:dyDescent="0.2">
      <c r="A1276" s="5">
        <v>1215</v>
      </c>
      <c r="B1276" s="1890">
        <f>'Expenditures 15-22'!K124</f>
        <v>1888128</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1894547</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1894547</v>
      </c>
      <c r="C1281" s="2" t="s">
        <v>569</v>
      </c>
      <c r="D1281" s="2" t="str">
        <f t="shared" si="19"/>
        <v>Error?</v>
      </c>
    </row>
    <row r="1282" spans="1:4" x14ac:dyDescent="0.2">
      <c r="A1282" s="5">
        <v>1221</v>
      </c>
      <c r="B1282" s="1890">
        <f>'Expenditures 15-22'!K139</f>
        <v>23416</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1917963</v>
      </c>
      <c r="C1288" s="2" t="s">
        <v>569</v>
      </c>
      <c r="D1288" s="2" t="str">
        <f t="shared" si="19"/>
        <v>Error?</v>
      </c>
    </row>
    <row r="1289" spans="1:4" x14ac:dyDescent="0.2">
      <c r="A1289" s="5">
        <v>1228</v>
      </c>
      <c r="B1289" s="1890">
        <f>'Expenditures 15-22'!K152</f>
        <v>222436</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1588140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1580000</v>
      </c>
      <c r="D1315" s="2" t="str">
        <f t="shared" si="19"/>
        <v>Error?</v>
      </c>
    </row>
    <row r="1316" spans="1:4" x14ac:dyDescent="0.2">
      <c r="A1316" s="5">
        <v>1255</v>
      </c>
      <c r="B1316" s="1890">
        <f>'Expenditures 15-22'!H171</f>
        <v>4895</v>
      </c>
      <c r="D1316" s="2" t="str">
        <f t="shared" si="19"/>
        <v>Error?</v>
      </c>
    </row>
    <row r="1317" spans="1:4" x14ac:dyDescent="0.2">
      <c r="A1317" s="5">
        <v>1256</v>
      </c>
      <c r="B1317" s="1890">
        <f>'Expenditures 15-22'!H172</f>
        <v>3173035</v>
      </c>
      <c r="C1317" s="2" t="s">
        <v>569</v>
      </c>
      <c r="D1317" s="2" t="str">
        <f t="shared" si="19"/>
        <v>Error?</v>
      </c>
    </row>
    <row r="1318" spans="1:4" x14ac:dyDescent="0.2">
      <c r="A1318" s="5">
        <v>1257</v>
      </c>
      <c r="B1318" s="1890">
        <f>'Expenditures 15-22'!H174</f>
        <v>3173035</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1588140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1580000</v>
      </c>
      <c r="C1329" s="2" t="s">
        <v>569</v>
      </c>
      <c r="D1329" s="2" t="str">
        <f t="shared" si="19"/>
        <v>Error?</v>
      </c>
    </row>
    <row r="1330" spans="1:4" x14ac:dyDescent="0.2">
      <c r="A1330" s="5">
        <v>1269</v>
      </c>
      <c r="B1330" s="1890">
        <f>'Expenditures 15-22'!K171</f>
        <v>4895</v>
      </c>
      <c r="C1330" s="2" t="s">
        <v>569</v>
      </c>
      <c r="D1330" s="2" t="str">
        <f t="shared" si="19"/>
        <v>Error?</v>
      </c>
    </row>
    <row r="1331" spans="1:4" x14ac:dyDescent="0.2">
      <c r="A1331" s="5">
        <v>1270</v>
      </c>
      <c r="B1331" s="1890">
        <f>'Expenditures 15-22'!K172</f>
        <v>3173035</v>
      </c>
      <c r="C1331" s="2" t="s">
        <v>569</v>
      </c>
      <c r="D1331" s="2" t="str">
        <f t="shared" si="19"/>
        <v>Error?</v>
      </c>
    </row>
    <row r="1332" spans="1:4" x14ac:dyDescent="0.2">
      <c r="A1332" s="5">
        <v>1271</v>
      </c>
      <c r="B1332" s="1890">
        <f>'Expenditures 15-22'!K174</f>
        <v>3173035</v>
      </c>
      <c r="C1332" s="2" t="s">
        <v>569</v>
      </c>
      <c r="D1332" s="2" t="str">
        <f t="shared" si="19"/>
        <v>Error?</v>
      </c>
    </row>
    <row r="1333" spans="1:4" x14ac:dyDescent="0.2">
      <c r="A1333" s="5">
        <v>1272</v>
      </c>
      <c r="B1333" s="1890">
        <f>'Expenditures 15-22'!K175</f>
        <v>-49223</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11123</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11123</v>
      </c>
      <c r="C1339" s="2" t="s">
        <v>569</v>
      </c>
      <c r="D1339" s="2" t="str">
        <f t="shared" si="19"/>
        <v>Error?</v>
      </c>
    </row>
    <row r="1340" spans="1:4" x14ac:dyDescent="0.2">
      <c r="A1340" s="5">
        <v>1279</v>
      </c>
      <c r="B1340" s="1890">
        <f>'Expenditures 15-22'!C210</f>
        <v>11123</v>
      </c>
      <c r="C1340" s="2" t="s">
        <v>569</v>
      </c>
      <c r="D1340" s="2" t="str">
        <f t="shared" si="19"/>
        <v>Error?</v>
      </c>
    </row>
    <row r="1341" spans="1:4" x14ac:dyDescent="0.2">
      <c r="A1341" s="5">
        <v>1280</v>
      </c>
      <c r="B1341" s="1890">
        <f>'Expenditures 15-22'!D182</f>
        <v>8</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8</v>
      </c>
      <c r="C1345" s="2" t="s">
        <v>569</v>
      </c>
      <c r="D1345" s="2" t="str">
        <f t="shared" si="20"/>
        <v>Error?</v>
      </c>
    </row>
    <row r="1346" spans="1:4" x14ac:dyDescent="0.2">
      <c r="A1346" s="5">
        <v>1285</v>
      </c>
      <c r="B1346" s="1890">
        <f>'Expenditures 15-22'!D210</f>
        <v>8</v>
      </c>
      <c r="C1346" s="2" t="s">
        <v>569</v>
      </c>
      <c r="D1346" s="2" t="str">
        <f t="shared" si="20"/>
        <v>Error?</v>
      </c>
    </row>
    <row r="1347" spans="1:4" x14ac:dyDescent="0.2">
      <c r="A1347" s="5">
        <v>1286</v>
      </c>
      <c r="B1347" s="1890">
        <f>'Expenditures 15-22'!E182</f>
        <v>2146750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2146750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2146750</v>
      </c>
      <c r="C1353" s="2" t="s">
        <v>569</v>
      </c>
      <c r="D1353" s="2" t="str">
        <f t="shared" si="20"/>
        <v>Error?</v>
      </c>
    </row>
    <row r="1354" spans="1:4" x14ac:dyDescent="0.2">
      <c r="A1354" s="5">
        <v>1293</v>
      </c>
      <c r="B1354" s="1890">
        <f>'Expenditures 15-22'!F182</f>
        <v>123538</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123538</v>
      </c>
      <c r="C1358" s="2" t="s">
        <v>569</v>
      </c>
      <c r="D1358" s="2" t="str">
        <f t="shared" si="20"/>
        <v>Error?</v>
      </c>
    </row>
    <row r="1359" spans="1:4" x14ac:dyDescent="0.2">
      <c r="A1359" s="5">
        <v>1298</v>
      </c>
      <c r="B1359" s="1890">
        <f>'Expenditures 15-22'!F210</f>
        <v>123538</v>
      </c>
      <c r="C1359" s="2" t="s">
        <v>569</v>
      </c>
      <c r="D1359" s="2" t="str">
        <f t="shared" si="20"/>
        <v>Error?</v>
      </c>
    </row>
    <row r="1360" spans="1:4" x14ac:dyDescent="0.2">
      <c r="A1360" s="5">
        <v>1299</v>
      </c>
      <c r="B1360" s="1890">
        <f>'Expenditures 15-22'!G182</f>
        <v>3283</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3283</v>
      </c>
      <c r="C1364" s="2" t="s">
        <v>569</v>
      </c>
      <c r="D1364" s="2" t="str">
        <f t="shared" si="20"/>
        <v>Error?</v>
      </c>
    </row>
    <row r="1365" spans="1:4" x14ac:dyDescent="0.2">
      <c r="A1365" s="5">
        <v>1304</v>
      </c>
      <c r="B1365" s="1890">
        <f>'Expenditures 15-22'!G210</f>
        <v>3283</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2284702</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2284702</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2284702</v>
      </c>
      <c r="C1388" s="2" t="s">
        <v>569</v>
      </c>
      <c r="D1388" s="2" t="str">
        <f t="shared" si="20"/>
        <v>Error?</v>
      </c>
    </row>
    <row r="1389" spans="1:4" x14ac:dyDescent="0.2">
      <c r="A1389" s="5">
        <v>1328</v>
      </c>
      <c r="B1389" s="1890">
        <f>'Expenditures 15-22'!K211</f>
        <v>214553</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1110</v>
      </c>
      <c r="D1407" s="2" t="str">
        <f t="shared" ref="D1407:D1470" si="21">IF(ISBLANK(B1407),"OK",IF(A1407-B1407=0,"OK","Error?"))</f>
        <v>Error?</v>
      </c>
    </row>
    <row r="1408" spans="1:4" x14ac:dyDescent="0.2">
      <c r="A1408" s="5">
        <v>1347</v>
      </c>
      <c r="B1408" s="1890">
        <f>'Expenditures 15-22'!D223</f>
        <v>22872</v>
      </c>
      <c r="D1408" s="2" t="str">
        <f t="shared" si="21"/>
        <v>Error?</v>
      </c>
    </row>
    <row r="1409" spans="1:4" x14ac:dyDescent="0.2">
      <c r="A1409" s="5">
        <v>1348</v>
      </c>
      <c r="B1409" s="1890">
        <f>'Expenditures 15-22'!D224</f>
        <v>222</v>
      </c>
      <c r="D1409" s="2" t="str">
        <f t="shared" si="21"/>
        <v>Error?</v>
      </c>
    </row>
    <row r="1410" spans="1:4" x14ac:dyDescent="0.2">
      <c r="A1410" s="5">
        <v>1349</v>
      </c>
      <c r="B1410" s="1890">
        <f>'Expenditures 15-22'!D229</f>
        <v>344068</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12865</v>
      </c>
      <c r="D1412" s="2" t="str">
        <f t="shared" si="21"/>
        <v>Error?</v>
      </c>
    </row>
    <row r="1413" spans="1:4" x14ac:dyDescent="0.2">
      <c r="A1413" s="5">
        <v>1352</v>
      </c>
      <c r="B1413" s="1890">
        <f>'Expenditures 15-22'!D234</f>
        <v>27574</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1191</v>
      </c>
      <c r="D1415" s="2" t="str">
        <f t="shared" si="21"/>
        <v>Error?</v>
      </c>
    </row>
    <row r="1416" spans="1:4" x14ac:dyDescent="0.2">
      <c r="A1416" s="5">
        <v>1355</v>
      </c>
      <c r="B1416" s="1890">
        <f>'Expenditures 15-22'!D237</f>
        <v>634</v>
      </c>
      <c r="D1416" s="2" t="str">
        <f t="shared" si="21"/>
        <v>Error?</v>
      </c>
    </row>
    <row r="1417" spans="1:4" x14ac:dyDescent="0.2">
      <c r="A1417" s="5">
        <v>1356</v>
      </c>
      <c r="B1417" s="1890">
        <f>'Expenditures 15-22'!D238</f>
        <v>42264</v>
      </c>
      <c r="C1417" s="2" t="s">
        <v>569</v>
      </c>
      <c r="D1417" s="2" t="str">
        <f t="shared" si="21"/>
        <v>Error?</v>
      </c>
    </row>
    <row r="1418" spans="1:4" x14ac:dyDescent="0.2">
      <c r="A1418" s="5">
        <v>1357</v>
      </c>
      <c r="B1418" s="1890">
        <f>'Expenditures 15-22'!D240</f>
        <v>7785</v>
      </c>
      <c r="D1418" s="2" t="str">
        <f t="shared" si="21"/>
        <v>Error?</v>
      </c>
    </row>
    <row r="1419" spans="1:4" x14ac:dyDescent="0.2">
      <c r="A1419" s="5">
        <v>1358</v>
      </c>
      <c r="B1419" s="1890">
        <f>'Expenditures 15-22'!D241</f>
        <v>8545</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16330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11748</v>
      </c>
      <c r="D1423" s="2" t="str">
        <f t="shared" si="21"/>
        <v>Error?</v>
      </c>
    </row>
    <row r="1424" spans="1:4" x14ac:dyDescent="0.2">
      <c r="A1424" s="5">
        <v>1363</v>
      </c>
      <c r="B1424" s="1890">
        <f>'Expenditures 15-22'!D257</f>
        <v>59317</v>
      </c>
      <c r="C1424" s="2" t="s">
        <v>569</v>
      </c>
      <c r="D1424" s="2" t="str">
        <f t="shared" si="21"/>
        <v>Error?</v>
      </c>
    </row>
    <row r="1425" spans="1:4" x14ac:dyDescent="0.2">
      <c r="A1425" s="5">
        <v>1364</v>
      </c>
      <c r="B1425" s="1890">
        <f>'Expenditures 15-22'!D259</f>
        <v>61502</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61502</v>
      </c>
      <c r="C1427" s="2" t="s">
        <v>569</v>
      </c>
      <c r="D1427" s="2" t="str">
        <f t="shared" si="21"/>
        <v>Error?</v>
      </c>
    </row>
    <row r="1428" spans="1:4" x14ac:dyDescent="0.2">
      <c r="A1428" s="5">
        <v>1367</v>
      </c>
      <c r="B1428" s="1890">
        <f>'Expenditures 15-22'!D263</f>
        <v>24700</v>
      </c>
      <c r="D1428" s="2" t="str">
        <f t="shared" si="21"/>
        <v>Error?</v>
      </c>
    </row>
    <row r="1429" spans="1:4" x14ac:dyDescent="0.2">
      <c r="A1429" s="5">
        <v>1368</v>
      </c>
      <c r="B1429" s="1890">
        <f>'Expenditures 15-22'!D264</f>
        <v>6454</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156788</v>
      </c>
      <c r="D1431" s="2" t="str">
        <f t="shared" si="21"/>
        <v>Error?</v>
      </c>
    </row>
    <row r="1432" spans="1:4" x14ac:dyDescent="0.2">
      <c r="A1432" s="5">
        <v>1371</v>
      </c>
      <c r="B1432" s="1890">
        <f>'Expenditures 15-22'!D267</f>
        <v>2415</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6283</v>
      </c>
      <c r="D1434" s="2" t="str">
        <f t="shared" si="21"/>
        <v>Error?</v>
      </c>
    </row>
    <row r="1435" spans="1:4" x14ac:dyDescent="0.2">
      <c r="A1435" s="10">
        <v>1374</v>
      </c>
      <c r="B1435" s="1890"/>
      <c r="D1435" s="2" t="str">
        <f t="shared" si="21"/>
        <v>OK</v>
      </c>
    </row>
    <row r="1436" spans="1:4" x14ac:dyDescent="0.2">
      <c r="A1436" s="5">
        <v>1375</v>
      </c>
      <c r="B1436" s="1890">
        <f>'Expenditures 15-22'!D270</f>
        <v>196640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376053</v>
      </c>
      <c r="C1446" s="2" t="s">
        <v>569</v>
      </c>
      <c r="D1446" s="2" t="str">
        <f t="shared" si="21"/>
        <v>Error?</v>
      </c>
    </row>
    <row r="1447" spans="1:4" x14ac:dyDescent="0.2">
      <c r="A1447" s="5">
        <v>1386</v>
      </c>
      <c r="B1447" s="1890">
        <f>'Expenditures 15-22'!D280</f>
        <v>4781</v>
      </c>
      <c r="D1447" s="2" t="str">
        <f t="shared" si="21"/>
        <v>Error?</v>
      </c>
    </row>
    <row r="1448" spans="1:4" x14ac:dyDescent="0.2">
      <c r="A1448" s="5">
        <v>1387</v>
      </c>
      <c r="B1448" s="1890">
        <f>'Expenditures 15-22'!D295</f>
        <v>724902</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1110</v>
      </c>
      <c r="C1471" s="2" t="s">
        <v>569</v>
      </c>
      <c r="D1471" s="2" t="str">
        <f t="shared" ref="D1471:D1534" si="22">IF(ISBLANK(B1471),"OK",IF(A1471-B1471=0,"OK","Error?"))</f>
        <v>Error?</v>
      </c>
    </row>
    <row r="1472" spans="1:4" x14ac:dyDescent="0.2">
      <c r="A1472" s="5">
        <v>1411</v>
      </c>
      <c r="B1472" s="1890">
        <f>'Expenditures 15-22'!K223</f>
        <v>22872</v>
      </c>
      <c r="C1472" s="2" t="s">
        <v>569</v>
      </c>
      <c r="D1472" s="2" t="str">
        <f t="shared" si="22"/>
        <v>Error?</v>
      </c>
    </row>
    <row r="1473" spans="1:4" x14ac:dyDescent="0.2">
      <c r="A1473" s="5">
        <v>1412</v>
      </c>
      <c r="B1473" s="1890">
        <f>'Expenditures 15-22'!K224</f>
        <v>222</v>
      </c>
      <c r="C1473" s="2" t="s">
        <v>569</v>
      </c>
      <c r="D1473" s="2" t="str">
        <f t="shared" si="22"/>
        <v>Error?</v>
      </c>
    </row>
    <row r="1474" spans="1:4" x14ac:dyDescent="0.2">
      <c r="A1474" s="5">
        <v>1413</v>
      </c>
      <c r="B1474" s="1890">
        <f>'Expenditures 15-22'!K229</f>
        <v>344068</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12865</v>
      </c>
      <c r="C1476" s="2" t="s">
        <v>569</v>
      </c>
      <c r="D1476" s="2" t="str">
        <f t="shared" si="22"/>
        <v>Error?</v>
      </c>
    </row>
    <row r="1477" spans="1:4" x14ac:dyDescent="0.2">
      <c r="A1477" s="5">
        <v>1416</v>
      </c>
      <c r="B1477" s="1890">
        <f>'Expenditures 15-22'!K234</f>
        <v>27574</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1191</v>
      </c>
      <c r="C1479" s="2" t="s">
        <v>569</v>
      </c>
      <c r="D1479" s="2" t="str">
        <f t="shared" si="22"/>
        <v>Error?</v>
      </c>
    </row>
    <row r="1480" spans="1:4" x14ac:dyDescent="0.2">
      <c r="A1480" s="5">
        <v>1419</v>
      </c>
      <c r="B1480" s="1890">
        <f>'Expenditures 15-22'!K237</f>
        <v>634</v>
      </c>
      <c r="C1480" s="2" t="s">
        <v>569</v>
      </c>
      <c r="D1480" s="2" t="str">
        <f t="shared" si="22"/>
        <v>Error?</v>
      </c>
    </row>
    <row r="1481" spans="1:4" x14ac:dyDescent="0.2">
      <c r="A1481" s="5">
        <v>1420</v>
      </c>
      <c r="B1481" s="1890">
        <f>'Expenditures 15-22'!K238</f>
        <v>42264</v>
      </c>
      <c r="C1481" s="2" t="s">
        <v>569</v>
      </c>
      <c r="D1481" s="2" t="str">
        <f t="shared" si="22"/>
        <v>Error?</v>
      </c>
    </row>
    <row r="1482" spans="1:4" x14ac:dyDescent="0.2">
      <c r="A1482" s="5">
        <v>1421</v>
      </c>
      <c r="B1482" s="1890">
        <f>'Expenditures 15-22'!K240</f>
        <v>7785</v>
      </c>
      <c r="C1482" s="2" t="s">
        <v>569</v>
      </c>
      <c r="D1482" s="2" t="str">
        <f t="shared" si="22"/>
        <v>Error?</v>
      </c>
    </row>
    <row r="1483" spans="1:4" x14ac:dyDescent="0.2">
      <c r="A1483" s="5">
        <v>1422</v>
      </c>
      <c r="B1483" s="1890">
        <f>'Expenditures 15-22'!K241</f>
        <v>8545</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16330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11748</v>
      </c>
      <c r="C1487" s="2" t="s">
        <v>569</v>
      </c>
      <c r="D1487" s="2" t="str">
        <f t="shared" si="22"/>
        <v>Error?</v>
      </c>
    </row>
    <row r="1488" spans="1:4" x14ac:dyDescent="0.2">
      <c r="A1488" s="5">
        <v>1427</v>
      </c>
      <c r="B1488" s="1890">
        <f>'Expenditures 15-22'!K257</f>
        <v>59317</v>
      </c>
      <c r="C1488" s="2" t="s">
        <v>569</v>
      </c>
      <c r="D1488" s="2" t="str">
        <f t="shared" si="22"/>
        <v>Error?</v>
      </c>
    </row>
    <row r="1489" spans="1:4" x14ac:dyDescent="0.2">
      <c r="A1489" s="5">
        <v>1428</v>
      </c>
      <c r="B1489" s="1890">
        <f>'Expenditures 15-22'!K259</f>
        <v>61502</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61502</v>
      </c>
      <c r="C1491" s="2" t="s">
        <v>569</v>
      </c>
      <c r="D1491" s="2" t="str">
        <f t="shared" si="22"/>
        <v>Error?</v>
      </c>
    </row>
    <row r="1492" spans="1:4" x14ac:dyDescent="0.2">
      <c r="A1492" s="5">
        <v>1431</v>
      </c>
      <c r="B1492" s="1890">
        <f>'Expenditures 15-22'!K263</f>
        <v>24700</v>
      </c>
      <c r="C1492" s="2" t="s">
        <v>569</v>
      </c>
      <c r="D1492" s="2" t="str">
        <f t="shared" si="22"/>
        <v>Error?</v>
      </c>
    </row>
    <row r="1493" spans="1:4" x14ac:dyDescent="0.2">
      <c r="A1493" s="5">
        <v>1432</v>
      </c>
      <c r="B1493" s="1890">
        <f>'Expenditures 15-22'!K264</f>
        <v>6454</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156788</v>
      </c>
      <c r="C1495" s="2" t="s">
        <v>569</v>
      </c>
      <c r="D1495" s="2" t="str">
        <f t="shared" si="22"/>
        <v>Error?</v>
      </c>
    </row>
    <row r="1496" spans="1:4" x14ac:dyDescent="0.2">
      <c r="A1496" s="5">
        <v>1435</v>
      </c>
      <c r="B1496" s="1890">
        <f>'Expenditures 15-22'!K267</f>
        <v>2415</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6283</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196640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376053</v>
      </c>
      <c r="C1510" s="2" t="s">
        <v>569</v>
      </c>
      <c r="D1510" s="2" t="str">
        <f t="shared" si="22"/>
        <v>Error?</v>
      </c>
    </row>
    <row r="1511" spans="1:4" x14ac:dyDescent="0.2">
      <c r="A1511" s="5">
        <v>1450</v>
      </c>
      <c r="B1511" s="1890">
        <f>'Expenditures 15-22'!K280</f>
        <v>4781</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724902</v>
      </c>
      <c r="C1517" s="2" t="s">
        <v>569</v>
      </c>
      <c r="D1517" s="2" t="str">
        <f t="shared" si="22"/>
        <v>Error?</v>
      </c>
    </row>
    <row r="1518" spans="1:4" x14ac:dyDescent="0.2">
      <c r="A1518" s="5">
        <v>1457</v>
      </c>
      <c r="B1518" s="1890">
        <f>'Expenditures 15-22'!K296</f>
        <v>7029</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5571265</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5571265</v>
      </c>
      <c r="C1547" s="2" t="s">
        <v>569</v>
      </c>
      <c r="D1547" s="2" t="str">
        <f t="shared" si="23"/>
        <v>Error?</v>
      </c>
    </row>
    <row r="1548" spans="1:4" x14ac:dyDescent="0.2">
      <c r="A1548" s="5">
        <v>1487</v>
      </c>
      <c r="B1548" s="1890">
        <f>'Expenditures 15-22'!G312</f>
        <v>5571265</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5571265</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5571265</v>
      </c>
      <c r="C1559" s="2" t="s">
        <v>569</v>
      </c>
      <c r="D1559" s="2" t="str">
        <f t="shared" si="23"/>
        <v>Error?</v>
      </c>
    </row>
    <row r="1560" spans="1:4" x14ac:dyDescent="0.2">
      <c r="A1560" s="5">
        <v>1499</v>
      </c>
      <c r="B1560" s="1890">
        <f>'Expenditures 15-22'!K312</f>
        <v>5571265</v>
      </c>
      <c r="C1560" s="2" t="s">
        <v>569</v>
      </c>
      <c r="D1560" s="2" t="str">
        <f t="shared" si="23"/>
        <v>Error?</v>
      </c>
    </row>
    <row r="1561" spans="1:4" x14ac:dyDescent="0.2">
      <c r="A1561" s="5">
        <v>1500</v>
      </c>
      <c r="B1561" s="1890">
        <f>'Expenditures 15-22'!K313</f>
        <v>-5319329</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571563</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-298891</v>
      </c>
      <c r="C1630" s="2" t="s">
        <v>569</v>
      </c>
      <c r="D1630" s="2" t="str">
        <f t="shared" si="24"/>
        <v>Error?</v>
      </c>
    </row>
    <row r="1631" spans="1:4" x14ac:dyDescent="0.2">
      <c r="A1631" s="5">
        <v>1570</v>
      </c>
      <c r="B1631" s="1890">
        <f>'Acct Summary 7-8'!D79</f>
        <v>-1551</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220885</v>
      </c>
      <c r="C1644" s="2" t="s">
        <v>569</v>
      </c>
      <c r="D1644" s="2" t="str">
        <f t="shared" si="24"/>
        <v>Error?</v>
      </c>
    </row>
    <row r="1645" spans="1:4" x14ac:dyDescent="0.2">
      <c r="A1645" s="5">
        <v>1584</v>
      </c>
      <c r="B1645" s="1890">
        <f>'Acct Summary 7-8'!E79</f>
        <v>1506372</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1457149</v>
      </c>
      <c r="C1658" s="2" t="s">
        <v>569</v>
      </c>
      <c r="D1658" s="2" t="str">
        <f t="shared" si="24"/>
        <v>Error?</v>
      </c>
    </row>
    <row r="1659" spans="1:4" x14ac:dyDescent="0.2">
      <c r="A1659" s="5">
        <v>1598</v>
      </c>
      <c r="B1659" s="1890">
        <f>'Acct Summary 7-8'!F79</f>
        <v>-179077</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35476</v>
      </c>
      <c r="C1672" s="2" t="s">
        <v>569</v>
      </c>
      <c r="D1672" s="2" t="str">
        <f t="shared" si="25"/>
        <v>Error?</v>
      </c>
    </row>
    <row r="1673" spans="1:4" x14ac:dyDescent="0.2">
      <c r="A1673" s="5">
        <v>1612</v>
      </c>
      <c r="B1673" s="1890">
        <f>'Acct Summary 7-8'!G79</f>
        <v>517331</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524360</v>
      </c>
      <c r="C1686" s="2" t="s">
        <v>569</v>
      </c>
      <c r="D1686" s="2" t="str">
        <f t="shared" si="25"/>
        <v>Error?</v>
      </c>
    </row>
    <row r="1687" spans="1:4" x14ac:dyDescent="0.2">
      <c r="A1687" s="5">
        <v>1626</v>
      </c>
      <c r="B1687" s="1890">
        <f>'Acct Summary 7-8'!H79</f>
        <v>5439716</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120387</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10874323</v>
      </c>
      <c r="C1744" s="2" t="s">
        <v>569</v>
      </c>
      <c r="D1744" s="2" t="str">
        <f t="shared" si="26"/>
        <v>Error?</v>
      </c>
    </row>
    <row r="1745" spans="1:5" x14ac:dyDescent="0.2">
      <c r="A1745" s="5">
        <v>1684</v>
      </c>
      <c r="B1745" s="1890">
        <f>'Tax Sched 23'!B5</f>
        <v>1844122</v>
      </c>
      <c r="C1745" s="2" t="s">
        <v>569</v>
      </c>
      <c r="D1745" s="2" t="str">
        <f t="shared" si="26"/>
        <v>Error?</v>
      </c>
    </row>
    <row r="1746" spans="1:5" x14ac:dyDescent="0.2">
      <c r="A1746" s="5">
        <v>1685</v>
      </c>
      <c r="B1746" s="1890">
        <f>'Tax Sched 23'!B6</f>
        <v>2010270</v>
      </c>
      <c r="C1746" s="2" t="s">
        <v>569</v>
      </c>
      <c r="D1746" s="2" t="str">
        <f t="shared" si="26"/>
        <v>Error?</v>
      </c>
    </row>
    <row r="1747" spans="1:5" x14ac:dyDescent="0.2">
      <c r="A1747" s="5">
        <v>1686</v>
      </c>
      <c r="B1747" s="1890">
        <f>'Tax Sched 23'!B7</f>
        <v>737659</v>
      </c>
      <c r="C1747" s="2" t="s">
        <v>569</v>
      </c>
      <c r="D1747" s="2" t="str">
        <f t="shared" si="26"/>
        <v>Error?</v>
      </c>
    </row>
    <row r="1748" spans="1:5" x14ac:dyDescent="0.2">
      <c r="A1748" s="5">
        <v>1687</v>
      </c>
      <c r="B1748" s="1890">
        <f>'Tax Sched 23'!B8</f>
        <v>284928</v>
      </c>
      <c r="C1748" s="2" t="s">
        <v>569</v>
      </c>
      <c r="D1748" s="2" t="str">
        <f t="shared" si="26"/>
        <v>Error?</v>
      </c>
    </row>
    <row r="1749" spans="1:5" x14ac:dyDescent="0.2">
      <c r="A1749" s="5">
        <v>1688</v>
      </c>
      <c r="B1749" s="1890">
        <f>'Tax Sched 23'!B10</f>
        <v>184417</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1238073</v>
      </c>
      <c r="C1752" s="2" t="s">
        <v>569</v>
      </c>
      <c r="D1752" s="2" t="str">
        <f t="shared" si="26"/>
        <v>Error?</v>
      </c>
    </row>
    <row r="1753" spans="1:5" x14ac:dyDescent="0.2">
      <c r="A1753" s="5">
        <v>1692</v>
      </c>
      <c r="B1753" s="1890">
        <f>'Tax Sched 23'!B12</f>
        <v>184417</v>
      </c>
      <c r="C1753" s="2" t="s">
        <v>569</v>
      </c>
      <c r="D1753" s="2" t="str">
        <f t="shared" si="26"/>
        <v>Error?</v>
      </c>
    </row>
    <row r="1754" spans="1:5" x14ac:dyDescent="0.2">
      <c r="A1754" s="5">
        <v>1693</v>
      </c>
      <c r="B1754" s="1890">
        <f>'Tax Sched 23'!B14</f>
        <v>147444</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18024448</v>
      </c>
      <c r="C1759" s="2" t="s">
        <v>569</v>
      </c>
      <c r="D1759" s="2" t="str">
        <f t="shared" si="26"/>
        <v>Error?</v>
      </c>
    </row>
    <row r="1760" spans="1:5" x14ac:dyDescent="0.2">
      <c r="A1760" s="5">
        <v>1699</v>
      </c>
      <c r="B1760" s="1890">
        <f>'Tax Sched 23'!D4</f>
        <v>10584788</v>
      </c>
      <c r="C1760" s="2" t="s">
        <v>569</v>
      </c>
      <c r="D1760" s="2" t="str">
        <f t="shared" si="26"/>
        <v>Error?</v>
      </c>
    </row>
    <row r="1761" spans="1:7" x14ac:dyDescent="0.2">
      <c r="A1761" s="5">
        <v>1700</v>
      </c>
      <c r="B1761" s="1890">
        <f>'Tax Sched 23'!D5</f>
        <v>1794670</v>
      </c>
      <c r="C1761" s="2" t="s">
        <v>569</v>
      </c>
      <c r="D1761" s="2" t="str">
        <f t="shared" si="26"/>
        <v>Error?</v>
      </c>
    </row>
    <row r="1762" spans="1:7" s="8" customFormat="1" x14ac:dyDescent="0.2">
      <c r="A1762" s="5">
        <v>1701</v>
      </c>
      <c r="B1762" s="1890">
        <f>'Tax Sched 23'!D6</f>
        <v>1948075</v>
      </c>
      <c r="C1762" s="2" t="s">
        <v>569</v>
      </c>
      <c r="D1762" s="2" t="str">
        <f t="shared" si="26"/>
        <v>Error?</v>
      </c>
      <c r="E1762" s="9"/>
      <c r="G1762"/>
    </row>
    <row r="1763" spans="1:7" x14ac:dyDescent="0.2">
      <c r="A1763" s="5">
        <v>1702</v>
      </c>
      <c r="B1763" s="1890">
        <f>'Tax Sched 23'!D7</f>
        <v>717878</v>
      </c>
      <c r="C1763" s="2" t="s">
        <v>569</v>
      </c>
      <c r="D1763" s="2" t="str">
        <f t="shared" si="26"/>
        <v>Error?</v>
      </c>
    </row>
    <row r="1764" spans="1:7" x14ac:dyDescent="0.2">
      <c r="A1764" s="5">
        <v>1703</v>
      </c>
      <c r="B1764" s="1890">
        <f>'Tax Sched 23'!D8</f>
        <v>278476</v>
      </c>
      <c r="C1764" s="2" t="s">
        <v>569</v>
      </c>
      <c r="D1764" s="2" t="str">
        <f t="shared" si="26"/>
        <v>Error?</v>
      </c>
    </row>
    <row r="1765" spans="1:7" x14ac:dyDescent="0.2">
      <c r="A1765" s="5">
        <v>1704</v>
      </c>
      <c r="B1765" s="1890">
        <f>'Tax Sched 23'!D10</f>
        <v>179472</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1204120</v>
      </c>
      <c r="C1768" s="2" t="s">
        <v>569</v>
      </c>
      <c r="D1768" s="2" t="str">
        <f t="shared" si="26"/>
        <v>Error?</v>
      </c>
    </row>
    <row r="1769" spans="1:7" x14ac:dyDescent="0.2">
      <c r="A1769" s="5">
        <v>1708</v>
      </c>
      <c r="B1769" s="1890">
        <f>'Tax Sched 23'!D12</f>
        <v>179472</v>
      </c>
      <c r="C1769" s="2" t="s">
        <v>569</v>
      </c>
      <c r="D1769" s="2" t="str">
        <f t="shared" si="26"/>
        <v>Error?</v>
      </c>
    </row>
    <row r="1770" spans="1:7" x14ac:dyDescent="0.2">
      <c r="A1770" s="5">
        <v>1709</v>
      </c>
      <c r="B1770" s="1890">
        <f>'Tax Sched 23'!D14</f>
        <v>143488</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17534250</v>
      </c>
      <c r="C1775" s="2" t="s">
        <v>569</v>
      </c>
      <c r="D1775" s="2" t="str">
        <f t="shared" si="26"/>
        <v>Error?</v>
      </c>
    </row>
    <row r="1776" spans="1:7" x14ac:dyDescent="0.2">
      <c r="A1776" s="5">
        <v>1715</v>
      </c>
      <c r="B1776" s="1890">
        <f>'Tax Sched 23'!C4</f>
        <v>289535</v>
      </c>
      <c r="D1776" s="2" t="str">
        <f t="shared" si="26"/>
        <v>Error?</v>
      </c>
    </row>
    <row r="1777" spans="1:4" x14ac:dyDescent="0.2">
      <c r="A1777" s="5">
        <v>1716</v>
      </c>
      <c r="B1777" s="1890">
        <f>'Tax Sched 23'!C5</f>
        <v>49452</v>
      </c>
      <c r="D1777" s="2" t="str">
        <f t="shared" si="26"/>
        <v>Error?</v>
      </c>
    </row>
    <row r="1778" spans="1:4" x14ac:dyDescent="0.2">
      <c r="A1778" s="5">
        <v>1717</v>
      </c>
      <c r="B1778" s="1890">
        <f>'Tax Sched 23'!C6</f>
        <v>62195</v>
      </c>
      <c r="D1778" s="2" t="str">
        <f t="shared" si="26"/>
        <v>Error?</v>
      </c>
    </row>
    <row r="1779" spans="1:4" x14ac:dyDescent="0.2">
      <c r="A1779" s="5">
        <v>1718</v>
      </c>
      <c r="B1779" s="1890">
        <f>'Tax Sched 23'!C7</f>
        <v>19781</v>
      </c>
      <c r="D1779" s="2" t="str">
        <f t="shared" si="26"/>
        <v>Error?</v>
      </c>
    </row>
    <row r="1780" spans="1:4" x14ac:dyDescent="0.2">
      <c r="A1780" s="5">
        <v>1719</v>
      </c>
      <c r="B1780" s="1890">
        <f>'Tax Sched 23'!C8</f>
        <v>6452</v>
      </c>
      <c r="D1780" s="2" t="str">
        <f t="shared" si="26"/>
        <v>Error?</v>
      </c>
    </row>
    <row r="1781" spans="1:4" x14ac:dyDescent="0.2">
      <c r="A1781" s="5">
        <v>1720</v>
      </c>
      <c r="B1781" s="1890">
        <f>'Tax Sched 23'!C10</f>
        <v>4945</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33953</v>
      </c>
      <c r="D1784" s="2" t="str">
        <f t="shared" si="26"/>
        <v>Error?</v>
      </c>
    </row>
    <row r="1785" spans="1:4" x14ac:dyDescent="0.2">
      <c r="A1785" s="5">
        <v>1724</v>
      </c>
      <c r="B1785" s="1890">
        <f>'Tax Sched 23'!C12</f>
        <v>4945</v>
      </c>
      <c r="D1785" s="2" t="str">
        <f t="shared" si="26"/>
        <v>Error?</v>
      </c>
    </row>
    <row r="1786" spans="1:4" x14ac:dyDescent="0.2">
      <c r="A1786" s="5">
        <v>1725</v>
      </c>
      <c r="B1786" s="1890">
        <f>'Tax Sched 23'!C14</f>
        <v>3956</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490198</v>
      </c>
      <c r="C1791" s="2" t="s">
        <v>569</v>
      </c>
      <c r="D1791" s="2" t="str">
        <f t="shared" ref="D1791:D1854" si="27">IF(ISBLANK(B1791),"OK",IF(A1791-B1791=0,"OK","Error?"))</f>
        <v>Error?</v>
      </c>
    </row>
    <row r="1792" spans="1:4" x14ac:dyDescent="0.2">
      <c r="A1792" s="5">
        <v>1731</v>
      </c>
      <c r="B1792" s="1890">
        <f>'Tax Sched 23'!F4</f>
        <v>10844807</v>
      </c>
      <c r="C1792" s="2" t="s">
        <v>569</v>
      </c>
      <c r="D1792" s="2" t="str">
        <f t="shared" si="27"/>
        <v>Error?</v>
      </c>
    </row>
    <row r="1793" spans="1:4" x14ac:dyDescent="0.2">
      <c r="A1793" s="5">
        <v>1732</v>
      </c>
      <c r="B1793" s="1890">
        <f>'Tax Sched 23'!F5</f>
        <v>1837725</v>
      </c>
      <c r="C1793" s="2" t="s">
        <v>569</v>
      </c>
      <c r="D1793" s="2" t="str">
        <f t="shared" si="27"/>
        <v>Error?</v>
      </c>
    </row>
    <row r="1794" spans="1:4" x14ac:dyDescent="0.2">
      <c r="A1794" s="5">
        <v>1733</v>
      </c>
      <c r="B1794" s="1890">
        <f>'Tax Sched 23'!F6</f>
        <v>2280546</v>
      </c>
      <c r="C1794" s="2" t="s">
        <v>569</v>
      </c>
      <c r="D1794" s="2" t="str">
        <f t="shared" si="27"/>
        <v>Error?</v>
      </c>
    </row>
    <row r="1795" spans="1:4" x14ac:dyDescent="0.2">
      <c r="A1795" s="5">
        <v>1734</v>
      </c>
      <c r="B1795" s="1890">
        <f>'Tax Sched 23'!F7</f>
        <v>735090</v>
      </c>
      <c r="C1795" s="2" t="s">
        <v>569</v>
      </c>
      <c r="D1795" s="2" t="str">
        <f t="shared" si="27"/>
        <v>Error?</v>
      </c>
    </row>
    <row r="1796" spans="1:4" x14ac:dyDescent="0.2">
      <c r="A1796" s="5">
        <v>1735</v>
      </c>
      <c r="B1796" s="1890">
        <f>'Tax Sched 23'!F8</f>
        <v>235484</v>
      </c>
      <c r="C1796" s="2" t="s">
        <v>569</v>
      </c>
      <c r="D1796" s="2" t="str">
        <f t="shared" si="27"/>
        <v>Error?</v>
      </c>
    </row>
    <row r="1797" spans="1:4" x14ac:dyDescent="0.2">
      <c r="A1797" s="5">
        <v>1736</v>
      </c>
      <c r="B1797" s="1890">
        <f>'Tax Sched 23'!F10</f>
        <v>183773</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1238381</v>
      </c>
      <c r="C1800" s="2" t="s">
        <v>569</v>
      </c>
      <c r="D1800" s="2" t="str">
        <f t="shared" si="27"/>
        <v>Error?</v>
      </c>
    </row>
    <row r="1801" spans="1:4" x14ac:dyDescent="0.2">
      <c r="A1801" s="5">
        <v>1740</v>
      </c>
      <c r="B1801" s="1890">
        <f>'Tax Sched 23'!F12</f>
        <v>183773</v>
      </c>
      <c r="C1801" s="2" t="s">
        <v>569</v>
      </c>
      <c r="D1801" s="2" t="str">
        <f t="shared" si="27"/>
        <v>Error?</v>
      </c>
    </row>
    <row r="1802" spans="1:4" x14ac:dyDescent="0.2">
      <c r="A1802" s="5">
        <v>1741</v>
      </c>
      <c r="B1802" s="1890">
        <f>'Tax Sched 23'!F14</f>
        <v>147018</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18236634</v>
      </c>
      <c r="C1807" s="2" t="s">
        <v>569</v>
      </c>
      <c r="D1807" s="2" t="str">
        <f t="shared" si="27"/>
        <v>Error?</v>
      </c>
    </row>
    <row r="1808" spans="1:4" x14ac:dyDescent="0.2">
      <c r="A1808" s="5">
        <v>1747</v>
      </c>
      <c r="B1808" s="1890">
        <f>'Tax Sched 23'!E4</f>
        <v>11134342</v>
      </c>
      <c r="D1808" s="2" t="str">
        <f t="shared" si="27"/>
        <v>Error?</v>
      </c>
    </row>
    <row r="1809" spans="1:4" x14ac:dyDescent="0.2">
      <c r="A1809" s="5">
        <v>1748</v>
      </c>
      <c r="B1809" s="1890">
        <f>'Tax Sched 23'!E5</f>
        <v>1887177</v>
      </c>
      <c r="D1809" s="2" t="str">
        <f t="shared" si="27"/>
        <v>Error?</v>
      </c>
    </row>
    <row r="1810" spans="1:4" x14ac:dyDescent="0.2">
      <c r="A1810" s="5">
        <v>1749</v>
      </c>
      <c r="B1810" s="1890">
        <f>'Tax Sched 23'!E6</f>
        <v>2342741</v>
      </c>
      <c r="D1810" s="2" t="str">
        <f t="shared" si="27"/>
        <v>Error?</v>
      </c>
    </row>
    <row r="1811" spans="1:4" x14ac:dyDescent="0.2">
      <c r="A1811" s="5">
        <v>1750</v>
      </c>
      <c r="B1811" s="1890">
        <f>'Tax Sched 23'!E7</f>
        <v>754871</v>
      </c>
      <c r="D1811" s="2" t="str">
        <f t="shared" si="27"/>
        <v>Error?</v>
      </c>
    </row>
    <row r="1812" spans="1:4" x14ac:dyDescent="0.2">
      <c r="A1812" s="5">
        <v>1751</v>
      </c>
      <c r="B1812" s="1890">
        <f>'Tax Sched 23'!E8</f>
        <v>241936</v>
      </c>
      <c r="D1812" s="2" t="str">
        <f t="shared" si="27"/>
        <v>Error?</v>
      </c>
    </row>
    <row r="1813" spans="1:4" x14ac:dyDescent="0.2">
      <c r="A1813" s="5">
        <v>1752</v>
      </c>
      <c r="B1813" s="1890">
        <f>'Tax Sched 23'!E10</f>
        <v>188718</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1272334</v>
      </c>
      <c r="D1816" s="2" t="str">
        <f t="shared" si="27"/>
        <v>Error?</v>
      </c>
    </row>
    <row r="1817" spans="1:4" x14ac:dyDescent="0.2">
      <c r="A1817" s="5">
        <v>1756</v>
      </c>
      <c r="B1817" s="1890">
        <f>'Tax Sched 23'!E12</f>
        <v>188718</v>
      </c>
      <c r="D1817" s="2" t="str">
        <f t="shared" si="27"/>
        <v>Error?</v>
      </c>
    </row>
    <row r="1818" spans="1:4" x14ac:dyDescent="0.2">
      <c r="A1818" s="5">
        <v>1757</v>
      </c>
      <c r="B1818" s="1890">
        <f>'Tax Sched 23'!E14</f>
        <v>150974</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18726832</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42810000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147444</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147444</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147444</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1191208</v>
      </c>
      <c r="D2008" s="2" t="str">
        <f t="shared" si="30"/>
        <v>Error?</v>
      </c>
    </row>
    <row r="2009" spans="1:4" x14ac:dyDescent="0.2">
      <c r="A2009" s="5">
        <v>1948</v>
      </c>
      <c r="B2009" s="1890">
        <f>'Cap Outlay Deprec 26'!C8</f>
        <v>24743169</v>
      </c>
      <c r="D2009" s="2" t="str">
        <f t="shared" si="30"/>
        <v>Error?</v>
      </c>
    </row>
    <row r="2010" spans="1:4" x14ac:dyDescent="0.2">
      <c r="A2010" s="5">
        <v>1949</v>
      </c>
      <c r="B2010" s="1890">
        <f>'Cap Outlay Deprec 26'!C10</f>
        <v>8756232</v>
      </c>
      <c r="D2010" s="2" t="str">
        <f t="shared" si="30"/>
        <v>Error?</v>
      </c>
    </row>
    <row r="2011" spans="1:4" x14ac:dyDescent="0.2">
      <c r="A2011" s="5">
        <v>1950</v>
      </c>
      <c r="B2011" s="1890">
        <f>'Cap Outlay Deprec 26'!C12</f>
        <v>2902950</v>
      </c>
      <c r="D2011" s="2" t="str">
        <f t="shared" si="30"/>
        <v>Error?</v>
      </c>
    </row>
    <row r="2012" spans="1:4" x14ac:dyDescent="0.2">
      <c r="A2012" s="5">
        <v>1951</v>
      </c>
      <c r="B2012" s="1890">
        <f>'Cap Outlay Deprec 26'!C13</f>
        <v>332178</v>
      </c>
      <c r="D2012" s="2" t="str">
        <f t="shared" si="30"/>
        <v>Error?</v>
      </c>
    </row>
    <row r="2013" spans="1:4" x14ac:dyDescent="0.2">
      <c r="A2013" s="5">
        <v>1952</v>
      </c>
      <c r="B2013" s="1890">
        <f>'Cap Outlay Deprec 26'!C16</f>
        <v>61096015</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22369804</v>
      </c>
      <c r="D2015" s="2" t="str">
        <f t="shared" si="30"/>
        <v>Error?</v>
      </c>
    </row>
    <row r="2016" spans="1:4" x14ac:dyDescent="0.2">
      <c r="A2016" s="5">
        <v>1955</v>
      </c>
      <c r="B2016" s="1890">
        <f>'Cap Outlay Deprec 26'!D10</f>
        <v>223079</v>
      </c>
      <c r="D2016" s="2" t="str">
        <f t="shared" si="30"/>
        <v>Error?</v>
      </c>
    </row>
    <row r="2017" spans="1:4" x14ac:dyDescent="0.2">
      <c r="A2017" s="5">
        <v>1956</v>
      </c>
      <c r="B2017" s="1890">
        <f>'Cap Outlay Deprec 26'!D12</f>
        <v>312084</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25748492</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15908391</v>
      </c>
      <c r="C2025" s="2" t="s">
        <v>569</v>
      </c>
      <c r="D2025" s="2" t="str">
        <f t="shared" si="30"/>
        <v>Error?</v>
      </c>
    </row>
    <row r="2026" spans="1:4" x14ac:dyDescent="0.2">
      <c r="A2026" s="5">
        <v>1965</v>
      </c>
      <c r="B2026" s="1890">
        <f>'Cap Outlay Deprec 26'!F5</f>
        <v>1191208</v>
      </c>
      <c r="C2026" s="2" t="s">
        <v>569</v>
      </c>
      <c r="D2026" s="2" t="str">
        <f t="shared" si="30"/>
        <v>Error?</v>
      </c>
    </row>
    <row r="2027" spans="1:4" x14ac:dyDescent="0.2">
      <c r="A2027" s="5">
        <v>1966</v>
      </c>
      <c r="B2027" s="1890">
        <f>'Cap Outlay Deprec 26'!F8</f>
        <v>47112973</v>
      </c>
      <c r="C2027" s="2" t="s">
        <v>569</v>
      </c>
      <c r="D2027" s="2" t="str">
        <f t="shared" si="30"/>
        <v>Error?</v>
      </c>
    </row>
    <row r="2028" spans="1:4" x14ac:dyDescent="0.2">
      <c r="A2028" s="5">
        <v>1967</v>
      </c>
      <c r="B2028" s="1890">
        <f>'Cap Outlay Deprec 26'!F10</f>
        <v>8979311</v>
      </c>
      <c r="C2028" s="2" t="s">
        <v>569</v>
      </c>
      <c r="D2028" s="2" t="str">
        <f t="shared" si="30"/>
        <v>Error?</v>
      </c>
    </row>
    <row r="2029" spans="1:4" x14ac:dyDescent="0.2">
      <c r="A2029" s="5">
        <v>1968</v>
      </c>
      <c r="B2029" s="1890">
        <f>'Cap Outlay Deprec 26'!F12</f>
        <v>3215034</v>
      </c>
      <c r="C2029" s="2" t="s">
        <v>569</v>
      </c>
      <c r="D2029" s="2" t="str">
        <f t="shared" si="30"/>
        <v>Error?</v>
      </c>
    </row>
    <row r="2030" spans="1:4" x14ac:dyDescent="0.2">
      <c r="A2030" s="5">
        <v>1969</v>
      </c>
      <c r="B2030" s="1890">
        <f>'Cap Outlay Deprec 26'!F13</f>
        <v>332178</v>
      </c>
      <c r="C2030" s="2" t="s">
        <v>569</v>
      </c>
      <c r="D2030" s="2" t="str">
        <f t="shared" si="30"/>
        <v>Error?</v>
      </c>
    </row>
    <row r="2031" spans="1:4" x14ac:dyDescent="0.2">
      <c r="A2031" s="5">
        <v>1970</v>
      </c>
      <c r="B2031" s="1890">
        <f>'Cap Outlay Deprec 26'!F16</f>
        <v>70936116</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10738184</v>
      </c>
      <c r="D2033" s="2" t="str">
        <f t="shared" si="30"/>
        <v>Error?</v>
      </c>
    </row>
    <row r="2034" spans="1:4" x14ac:dyDescent="0.2">
      <c r="A2034" s="5">
        <v>1973</v>
      </c>
      <c r="B2034" s="1890">
        <f>'Cap Outlay Deprec 26'!H10</f>
        <v>3685006</v>
      </c>
      <c r="D2034" s="2" t="str">
        <f t="shared" si="30"/>
        <v>Error?</v>
      </c>
    </row>
    <row r="2035" spans="1:4" x14ac:dyDescent="0.2">
      <c r="A2035" s="5">
        <v>1974</v>
      </c>
      <c r="B2035" s="1890">
        <f>'Cap Outlay Deprec 26'!H12</f>
        <v>2449930</v>
      </c>
      <c r="D2035" s="2" t="str">
        <f t="shared" si="30"/>
        <v>Error?</v>
      </c>
    </row>
    <row r="2036" spans="1:4" x14ac:dyDescent="0.2">
      <c r="A2036" s="5">
        <v>1975</v>
      </c>
      <c r="B2036" s="1890">
        <f>'Cap Outlay Deprec 26'!H13</f>
        <v>303672</v>
      </c>
      <c r="D2036" s="2" t="str">
        <f t="shared" si="30"/>
        <v>Error?</v>
      </c>
    </row>
    <row r="2037" spans="1:4" x14ac:dyDescent="0.2">
      <c r="A2037" s="5">
        <v>1976</v>
      </c>
      <c r="B2037" s="1890">
        <f>'Cap Outlay Deprec 26'!H16</f>
        <v>17176792</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811757</v>
      </c>
      <c r="D2039" s="2" t="str">
        <f t="shared" si="30"/>
        <v>Error?</v>
      </c>
    </row>
    <row r="2040" spans="1:4" x14ac:dyDescent="0.2">
      <c r="A2040" s="5">
        <v>1979</v>
      </c>
      <c r="B2040" s="1890">
        <f>'Cap Outlay Deprec 26'!I10</f>
        <v>367906</v>
      </c>
      <c r="D2040" s="2" t="str">
        <f t="shared" si="30"/>
        <v>Error?</v>
      </c>
    </row>
    <row r="2041" spans="1:4" x14ac:dyDescent="0.2">
      <c r="A2041" s="5">
        <v>1980</v>
      </c>
      <c r="B2041" s="1890">
        <f>'Cap Outlay Deprec 26'!I12</f>
        <v>107912</v>
      </c>
      <c r="D2041" s="2" t="str">
        <f t="shared" si="30"/>
        <v>Error?</v>
      </c>
    </row>
    <row r="2042" spans="1:4" x14ac:dyDescent="0.2">
      <c r="A2042" s="5">
        <v>1981</v>
      </c>
      <c r="B2042" s="1890">
        <f>'Cap Outlay Deprec 26'!I13</f>
        <v>7601</v>
      </c>
      <c r="D2042" s="2" t="str">
        <f t="shared" si="30"/>
        <v>Error?</v>
      </c>
    </row>
    <row r="2043" spans="1:4" x14ac:dyDescent="0.2">
      <c r="A2043" s="5">
        <v>1982</v>
      </c>
      <c r="B2043" s="1890">
        <f>'Cap Outlay Deprec 26'!I16</f>
        <v>1295176</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11549941</v>
      </c>
      <c r="C2051" s="2" t="s">
        <v>569</v>
      </c>
      <c r="D2051" s="2" t="str">
        <f t="shared" si="31"/>
        <v>Error?</v>
      </c>
    </row>
    <row r="2052" spans="1:4" x14ac:dyDescent="0.2">
      <c r="A2052" s="5">
        <v>1991</v>
      </c>
      <c r="B2052" s="1890">
        <f>'Cap Outlay Deprec 26'!K10</f>
        <v>4052912</v>
      </c>
      <c r="C2052" s="2" t="s">
        <v>569</v>
      </c>
      <c r="D2052" s="2" t="str">
        <f t="shared" si="31"/>
        <v>Error?</v>
      </c>
    </row>
    <row r="2053" spans="1:4" x14ac:dyDescent="0.2">
      <c r="A2053" s="5">
        <v>1992</v>
      </c>
      <c r="B2053" s="1890">
        <f>'Cap Outlay Deprec 26'!K12</f>
        <v>2557842</v>
      </c>
      <c r="C2053" s="2" t="s">
        <v>569</v>
      </c>
      <c r="D2053" s="2" t="str">
        <f t="shared" si="31"/>
        <v>Error?</v>
      </c>
    </row>
    <row r="2054" spans="1:4" x14ac:dyDescent="0.2">
      <c r="A2054" s="5">
        <v>1993</v>
      </c>
      <c r="B2054" s="1890">
        <f>'Cap Outlay Deprec 26'!K13</f>
        <v>311273</v>
      </c>
      <c r="C2054" s="2" t="s">
        <v>569</v>
      </c>
      <c r="D2054" s="2" t="str">
        <f t="shared" si="31"/>
        <v>Error?</v>
      </c>
    </row>
    <row r="2055" spans="1:4" x14ac:dyDescent="0.2">
      <c r="A2055" s="5">
        <v>1994</v>
      </c>
      <c r="B2055" s="1890">
        <f>'Cap Outlay Deprec 26'!K16</f>
        <v>18471968</v>
      </c>
      <c r="C2055" s="2" t="s">
        <v>569</v>
      </c>
      <c r="D2055" s="2" t="str">
        <f t="shared" si="31"/>
        <v>Error?</v>
      </c>
    </row>
    <row r="2056" spans="1:4" x14ac:dyDescent="0.2">
      <c r="A2056" s="5">
        <v>1995</v>
      </c>
      <c r="B2056" s="1890">
        <f>'Cap Outlay Deprec 26'!L5</f>
        <v>1191208</v>
      </c>
      <c r="C2056" s="2" t="s">
        <v>569</v>
      </c>
      <c r="D2056" s="2" t="str">
        <f t="shared" si="31"/>
        <v>Error?</v>
      </c>
    </row>
    <row r="2057" spans="1:4" x14ac:dyDescent="0.2">
      <c r="A2057" s="5">
        <v>1996</v>
      </c>
      <c r="B2057" s="1890">
        <f>'Cap Outlay Deprec 26'!L8</f>
        <v>35563032</v>
      </c>
      <c r="C2057" s="2" t="s">
        <v>569</v>
      </c>
      <c r="D2057" s="2" t="str">
        <f t="shared" si="31"/>
        <v>Error?</v>
      </c>
    </row>
    <row r="2058" spans="1:4" x14ac:dyDescent="0.2">
      <c r="A2058" s="5">
        <v>1997</v>
      </c>
      <c r="B2058" s="1890">
        <f>'Cap Outlay Deprec 26'!L10</f>
        <v>4926399</v>
      </c>
      <c r="C2058" s="2" t="s">
        <v>569</v>
      </c>
      <c r="D2058" s="2" t="str">
        <f t="shared" si="31"/>
        <v>Error?</v>
      </c>
    </row>
    <row r="2059" spans="1:4" x14ac:dyDescent="0.2">
      <c r="A2059" s="5">
        <v>1998</v>
      </c>
      <c r="B2059" s="1890">
        <f>'Cap Outlay Deprec 26'!L12</f>
        <v>657192</v>
      </c>
      <c r="C2059" s="2" t="s">
        <v>569</v>
      </c>
      <c r="D2059" s="2" t="str">
        <f t="shared" si="31"/>
        <v>Error?</v>
      </c>
    </row>
    <row r="2060" spans="1:4" x14ac:dyDescent="0.2">
      <c r="A2060" s="5">
        <v>1999</v>
      </c>
      <c r="B2060" s="1890">
        <f>'Cap Outlay Deprec 26'!L13</f>
        <v>20905</v>
      </c>
      <c r="C2060" s="2" t="s">
        <v>569</v>
      </c>
      <c r="D2060" s="2" t="str">
        <f t="shared" si="31"/>
        <v>Error?</v>
      </c>
    </row>
    <row r="2061" spans="1:4" x14ac:dyDescent="0.2">
      <c r="A2061" s="5">
        <v>2000</v>
      </c>
      <c r="B2061" s="1890">
        <f>'Cap Outlay Deprec 26'!L16</f>
        <v>52464148</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1050907</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1050907</v>
      </c>
      <c r="C2088" s="2" t="s">
        <v>569</v>
      </c>
      <c r="D2088" s="2" t="str">
        <f t="shared" si="31"/>
        <v>Error?</v>
      </c>
    </row>
    <row r="2089" spans="1:4" x14ac:dyDescent="0.2">
      <c r="A2089" s="5">
        <v>2028</v>
      </c>
      <c r="B2089" s="1890">
        <f>'Expenditures 15-22'!K92</f>
        <v>1425145</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23416</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23416</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311234</v>
      </c>
      <c r="C2105" s="2" t="s">
        <v>569</v>
      </c>
      <c r="D2105" s="2" t="str">
        <f t="shared" si="31"/>
        <v>Error?</v>
      </c>
    </row>
    <row r="2106" spans="1:4" x14ac:dyDescent="0.2">
      <c r="A2106" s="5">
        <v>2045</v>
      </c>
      <c r="B2106" s="1890">
        <f>'Acct Summary 7-8'!I48</f>
        <v>32371</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620499</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603328</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13550316</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6569642</v>
      </c>
      <c r="C2553" s="2" t="s">
        <v>569</v>
      </c>
      <c r="D2553" s="2" t="str">
        <f t="shared" si="38"/>
        <v>Error?</v>
      </c>
    </row>
    <row r="2554" spans="1:4" x14ac:dyDescent="0.2">
      <c r="A2554" s="5">
        <v>2493</v>
      </c>
      <c r="B2554" s="1890">
        <f>'Acct Summary 7-8'!C7</f>
        <v>1944652</v>
      </c>
      <c r="C2554" s="2" t="s">
        <v>569</v>
      </c>
      <c r="D2554" s="2" t="str">
        <f t="shared" si="38"/>
        <v>Error?</v>
      </c>
    </row>
    <row r="2555" spans="1:4" x14ac:dyDescent="0.2">
      <c r="A2555" s="5">
        <v>2494</v>
      </c>
      <c r="B2555" s="1890">
        <f>'Acct Summary 7-8'!C8</f>
        <v>22064610</v>
      </c>
      <c r="C2555" s="2" t="s">
        <v>569</v>
      </c>
      <c r="D2555" s="2" t="str">
        <f t="shared" si="38"/>
        <v>Error?</v>
      </c>
    </row>
    <row r="2556" spans="1:4" x14ac:dyDescent="0.2">
      <c r="A2556" s="5">
        <v>2495</v>
      </c>
      <c r="B2556" s="1890">
        <f>'Acct Summary 7-8'!C12</f>
        <v>16205532</v>
      </c>
      <c r="C2556" s="2" t="s">
        <v>569</v>
      </c>
      <c r="D2556" s="2" t="str">
        <f t="shared" si="38"/>
        <v>Error?</v>
      </c>
    </row>
    <row r="2557" spans="1:4" x14ac:dyDescent="0.2">
      <c r="A2557" s="5">
        <v>2496</v>
      </c>
      <c r="B2557" s="1890">
        <f>'Acct Summary 7-8'!C13</f>
        <v>4540210</v>
      </c>
      <c r="C2557" s="2" t="s">
        <v>569</v>
      </c>
      <c r="D2557" s="2" t="str">
        <f t="shared" si="38"/>
        <v>Error?</v>
      </c>
    </row>
    <row r="2558" spans="1:4" x14ac:dyDescent="0.2">
      <c r="A2558" s="5">
        <v>2497</v>
      </c>
      <c r="B2558" s="1890">
        <f>'Acct Summary 7-8'!C14</f>
        <v>56875</v>
      </c>
      <c r="C2558" s="2" t="s">
        <v>569</v>
      </c>
      <c r="D2558" s="2" t="str">
        <f t="shared" si="38"/>
        <v>Error?</v>
      </c>
    </row>
    <row r="2559" spans="1:4" x14ac:dyDescent="0.2">
      <c r="A2559" s="5">
        <v>2498</v>
      </c>
      <c r="B2559" s="1890">
        <f>'Acct Summary 7-8'!C15</f>
        <v>2476052</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23278669</v>
      </c>
      <c r="C2561" s="2" t="s">
        <v>569</v>
      </c>
      <c r="D2561" s="2" t="str">
        <f t="shared" si="39"/>
        <v>Error?</v>
      </c>
    </row>
    <row r="2562" spans="1:4" x14ac:dyDescent="0.2">
      <c r="A2562" s="5">
        <v>2501</v>
      </c>
      <c r="B2562" s="1890">
        <f>'Acct Summary 7-8'!C20</f>
        <v>-1214059</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2140399</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2140399</v>
      </c>
      <c r="C2568" s="2" t="s">
        <v>569</v>
      </c>
      <c r="D2568" s="2" t="str">
        <f t="shared" si="39"/>
        <v>Error?</v>
      </c>
    </row>
    <row r="2569" spans="1:4" x14ac:dyDescent="0.2">
      <c r="A2569" s="5">
        <v>2508</v>
      </c>
      <c r="B2569" s="1890">
        <f>'Acct Summary 7-8'!D13</f>
        <v>1894547</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23416</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1917963</v>
      </c>
      <c r="C2573" s="2" t="s">
        <v>569</v>
      </c>
      <c r="D2573" s="2" t="str">
        <f t="shared" si="39"/>
        <v>Error?</v>
      </c>
    </row>
    <row r="2574" spans="1:4" x14ac:dyDescent="0.2">
      <c r="A2574" s="5">
        <v>2513</v>
      </c>
      <c r="B2574" s="1890">
        <f>'Acct Summary 7-8'!D20</f>
        <v>222436</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1087442</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1411813</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2499255</v>
      </c>
      <c r="C2595" s="2" t="s">
        <v>569</v>
      </c>
      <c r="D2595" s="2" t="str">
        <f t="shared" si="39"/>
        <v>Error?</v>
      </c>
    </row>
    <row r="2596" spans="1:4" x14ac:dyDescent="0.2">
      <c r="A2596" s="5">
        <v>2535</v>
      </c>
      <c r="B2596" s="1890">
        <f>'Acct Summary 7-8'!F13</f>
        <v>2284702</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2284702</v>
      </c>
      <c r="C2600" s="2" t="s">
        <v>569</v>
      </c>
      <c r="D2600" s="2" t="str">
        <f t="shared" si="39"/>
        <v>Error?</v>
      </c>
    </row>
    <row r="2601" spans="1:4" x14ac:dyDescent="0.2">
      <c r="A2601" s="5">
        <v>2540</v>
      </c>
      <c r="B2601" s="1890">
        <f>'Acct Summary 7-8'!F20</f>
        <v>214553</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731931</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731931</v>
      </c>
      <c r="C2606" s="2" t="s">
        <v>569</v>
      </c>
      <c r="D2606" s="2" t="str">
        <f t="shared" si="39"/>
        <v>Error?</v>
      </c>
    </row>
    <row r="2607" spans="1:4" x14ac:dyDescent="0.2">
      <c r="A2607" s="5">
        <v>2546</v>
      </c>
      <c r="B2607" s="1890">
        <f>'Acct Summary 7-8'!G12</f>
        <v>344068</v>
      </c>
      <c r="C2607" s="2" t="s">
        <v>569</v>
      </c>
      <c r="D2607" s="2" t="str">
        <f t="shared" si="39"/>
        <v>Error?</v>
      </c>
    </row>
    <row r="2608" spans="1:4" x14ac:dyDescent="0.2">
      <c r="A2608" s="5">
        <v>2547</v>
      </c>
      <c r="B2608" s="1890">
        <f>'Acct Summary 7-8'!G13</f>
        <v>376053</v>
      </c>
      <c r="C2608" s="2" t="s">
        <v>569</v>
      </c>
      <c r="D2608" s="2" t="str">
        <f t="shared" si="39"/>
        <v>Error?</v>
      </c>
    </row>
    <row r="2609" spans="1:4" x14ac:dyDescent="0.2">
      <c r="A2609" s="5">
        <v>2548</v>
      </c>
      <c r="B2609" s="1890">
        <f>'Acct Summary 7-8'!G14</f>
        <v>4781</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724902</v>
      </c>
      <c r="C2612" s="2" t="s">
        <v>569</v>
      </c>
      <c r="D2612" s="2" t="str">
        <f t="shared" si="39"/>
        <v>Error?</v>
      </c>
    </row>
    <row r="2613" spans="1:4" x14ac:dyDescent="0.2">
      <c r="A2613" s="5">
        <v>2552</v>
      </c>
      <c r="B2613" s="1890">
        <f>'Acct Summary 7-8'!G20</f>
        <v>7029</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3123812</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3123812</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3173035</v>
      </c>
      <c r="C2634" s="2" t="s">
        <v>569</v>
      </c>
      <c r="D2634" s="2" t="str">
        <f t="shared" si="40"/>
        <v>Error?</v>
      </c>
    </row>
    <row r="2635" spans="1:4" x14ac:dyDescent="0.2">
      <c r="A2635" s="5">
        <v>2574</v>
      </c>
      <c r="B2635" s="1890">
        <f>'Acct Summary 7-8'!E17</f>
        <v>3173035</v>
      </c>
      <c r="C2635" s="2" t="s">
        <v>569</v>
      </c>
      <c r="D2635" s="2" t="str">
        <f t="shared" si="40"/>
        <v>Error?</v>
      </c>
    </row>
    <row r="2636" spans="1:4" x14ac:dyDescent="0.2">
      <c r="A2636" s="5">
        <v>2575</v>
      </c>
      <c r="B2636" s="1890">
        <f>'Acct Summary 7-8'!E20</f>
        <v>-49223</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251936</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251936</v>
      </c>
      <c r="C2658" s="2" t="s">
        <v>569</v>
      </c>
      <c r="D2658" s="2" t="str">
        <f t="shared" si="40"/>
        <v>Error?</v>
      </c>
    </row>
    <row r="2659" spans="1:4" x14ac:dyDescent="0.2">
      <c r="A2659" s="5">
        <v>2598</v>
      </c>
      <c r="B2659" s="1890">
        <f>'Acct Summary 7-8'!H13</f>
        <v>5571265</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5571265</v>
      </c>
      <c r="C2661" s="2" t="s">
        <v>569</v>
      </c>
      <c r="D2661" s="2" t="str">
        <f t="shared" si="40"/>
        <v>Error?</v>
      </c>
    </row>
    <row r="2662" spans="1:4" x14ac:dyDescent="0.2">
      <c r="A2662" s="5">
        <v>2601</v>
      </c>
      <c r="B2662" s="1890">
        <f>'Acct Summary 7-8'!H20</f>
        <v>-5319329</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1997</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10105412</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183773</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1246548</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3345640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435020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188718</v>
      </c>
      <c r="D2908" s="2" t="str">
        <f t="shared" si="44"/>
        <v>Error?</v>
      </c>
    </row>
    <row r="2909" spans="1:4" x14ac:dyDescent="0.2">
      <c r="A2909" s="10">
        <v>2848</v>
      </c>
      <c r="B2909" s="1890"/>
      <c r="D2909" s="2" t="str">
        <f t="shared" si="44"/>
        <v>OK</v>
      </c>
    </row>
    <row r="2910" spans="1:4" x14ac:dyDescent="0.2">
      <c r="A2910" s="5">
        <v>2849</v>
      </c>
      <c r="B2910" s="1890">
        <f>'Assets-Liab 5-6'!I34</f>
        <v>188718</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3156922</v>
      </c>
      <c r="D2912" s="2" t="str">
        <f t="shared" si="44"/>
        <v>Error?</v>
      </c>
    </row>
    <row r="2913" spans="1:4" x14ac:dyDescent="0.2">
      <c r="A2913" s="5">
        <v>2852</v>
      </c>
      <c r="B2913" s="1890">
        <f>'Assets-Liab 5-6'!I41</f>
        <v>3345640</v>
      </c>
      <c r="C2913" s="2" t="s">
        <v>569</v>
      </c>
      <c r="D2913" s="2" t="str">
        <f t="shared" si="44"/>
        <v>Error?</v>
      </c>
    </row>
    <row r="2914" spans="1:4" x14ac:dyDescent="0.2">
      <c r="A2914" s="5">
        <v>2853</v>
      </c>
      <c r="B2914" s="1890">
        <f>'Assets-Liab 5-6'!L33</f>
        <v>435020</v>
      </c>
      <c r="D2914" s="2" t="str">
        <f t="shared" si="44"/>
        <v>Error?</v>
      </c>
    </row>
    <row r="2915" spans="1:4" x14ac:dyDescent="0.2">
      <c r="A2915" s="10">
        <v>2854</v>
      </c>
      <c r="B2915" s="1890"/>
      <c r="D2915" s="2" t="str">
        <f t="shared" si="44"/>
        <v>OK</v>
      </c>
    </row>
    <row r="2916" spans="1:4" x14ac:dyDescent="0.2">
      <c r="A2916" s="5">
        <v>2855</v>
      </c>
      <c r="B2916" s="1890">
        <f>'Assets-Liab 5-6'!L34</f>
        <v>435020</v>
      </c>
      <c r="C2916" s="2" t="s">
        <v>569</v>
      </c>
      <c r="D2916" s="2" t="str">
        <f t="shared" si="44"/>
        <v>Error?</v>
      </c>
    </row>
    <row r="2917" spans="1:4" x14ac:dyDescent="0.2">
      <c r="A2917" s="5">
        <v>2856</v>
      </c>
      <c r="B2917" s="1890">
        <f>'Assets-Liab 5-6'!L41</f>
        <v>435020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1034170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16737</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1034170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16737</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23416</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23416</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1997</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428159</v>
      </c>
      <c r="D3055" s="2" t="str">
        <f t="shared" si="46"/>
        <v>Error?</v>
      </c>
    </row>
    <row r="3056" spans="1:4" x14ac:dyDescent="0.2">
      <c r="A3056" s="5">
        <v>2995</v>
      </c>
      <c r="B3056" s="1890">
        <f>'Expenditures 15-22'!D10</f>
        <v>74727</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87705</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590591</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22033</v>
      </c>
      <c r="D3064" s="2" t="str">
        <f t="shared" si="46"/>
        <v>Error?</v>
      </c>
    </row>
    <row r="3065" spans="1:4" x14ac:dyDescent="0.2">
      <c r="A3065" s="5">
        <v>3004</v>
      </c>
      <c r="B3065" s="1890">
        <f>'Expenditures 15-22'!K219</f>
        <v>22033</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216606</v>
      </c>
      <c r="C3225" s="2" t="s">
        <v>569</v>
      </c>
      <c r="D3225" s="2" t="str">
        <f t="shared" si="49"/>
        <v>Error?</v>
      </c>
    </row>
    <row r="3226" spans="1:4" x14ac:dyDescent="0.2">
      <c r="A3226" s="5">
        <v>3165</v>
      </c>
      <c r="B3226" s="1890">
        <f>'Acct Summary 7-8'!I8</f>
        <v>216606</v>
      </c>
      <c r="C3226" s="2" t="s">
        <v>569</v>
      </c>
      <c r="D3226" s="2" t="str">
        <f t="shared" si="49"/>
        <v>Error?</v>
      </c>
    </row>
    <row r="3227" spans="1:4" x14ac:dyDescent="0.2">
      <c r="A3227" s="5">
        <v>3166</v>
      </c>
      <c r="B3227" s="1890">
        <f>'Acct Summary 7-8'!I20</f>
        <v>216606</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343605</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343605</v>
      </c>
      <c r="C3232" s="2" t="s">
        <v>569</v>
      </c>
      <c r="D3232" s="2" t="str">
        <f t="shared" si="49"/>
        <v>Error?</v>
      </c>
    </row>
    <row r="3233" spans="1:4" x14ac:dyDescent="0.2">
      <c r="A3233" s="5">
        <v>3172</v>
      </c>
      <c r="B3233" s="1890">
        <f>'Acct Summary 7-8'!C78</f>
        <v>-870454</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222436</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214553</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7029</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-49223</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-5319329</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343605</v>
      </c>
      <c r="C3318" s="2" t="s">
        <v>569</v>
      </c>
      <c r="D3318" s="2" t="str">
        <f t="shared" si="50"/>
        <v>Error?</v>
      </c>
    </row>
    <row r="3319" spans="1:4" x14ac:dyDescent="0.2">
      <c r="A3319" s="5">
        <v>3258</v>
      </c>
      <c r="B3319" s="1890">
        <f>'Acct Summary 7-8'!I77</f>
        <v>-343605</v>
      </c>
      <c r="C3319" s="2" t="s">
        <v>569</v>
      </c>
      <c r="D3319" s="2" t="str">
        <f t="shared" si="50"/>
        <v>Error?</v>
      </c>
    </row>
    <row r="3320" spans="1:4" x14ac:dyDescent="0.2">
      <c r="A3320" s="5">
        <v>3259</v>
      </c>
      <c r="B3320" s="1890">
        <f>'Acct Summary 7-8'!I78</f>
        <v>-126999</v>
      </c>
      <c r="C3320" s="2" t="s">
        <v>569</v>
      </c>
      <c r="D3320" s="2" t="str">
        <f t="shared" si="50"/>
        <v>Error?</v>
      </c>
    </row>
    <row r="3321" spans="1:4" x14ac:dyDescent="0.2">
      <c r="A3321" s="5">
        <v>3260</v>
      </c>
      <c r="B3321" s="1890">
        <f>'Acct Summary 7-8'!I79</f>
        <v>3283921</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3156922</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1837184</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272148</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349</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2109681</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143087</v>
      </c>
      <c r="D3387" s="2" t="str">
        <f t="shared" si="51"/>
        <v>Error?</v>
      </c>
    </row>
    <row r="3388" spans="1:4" x14ac:dyDescent="0.2">
      <c r="A3388" s="5">
        <v>3327</v>
      </c>
      <c r="B3388" s="1890">
        <f>'Expenditures 15-22'!D217</f>
        <v>146644</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143087</v>
      </c>
      <c r="C3390" s="2" t="s">
        <v>569</v>
      </c>
      <c r="D3390" s="2" t="str">
        <f t="shared" si="51"/>
        <v>Error?</v>
      </c>
    </row>
    <row r="3391" spans="1:4" x14ac:dyDescent="0.2">
      <c r="A3391" s="5">
        <v>3330</v>
      </c>
      <c r="B3391" s="1890">
        <f>'Expenditures 15-22'!K217</f>
        <v>146644</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0</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286844</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811584</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489597</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839159</v>
      </c>
      <c r="D3425" s="2" t="str">
        <f t="shared" si="52"/>
        <v>Error?</v>
      </c>
    </row>
    <row r="3426" spans="1:4" x14ac:dyDescent="0.2">
      <c r="A3426" s="10">
        <v>3365</v>
      </c>
      <c r="B3426" s="1890"/>
      <c r="D3426" s="2" t="str">
        <f t="shared" si="52"/>
        <v>OK</v>
      </c>
    </row>
    <row r="3427" spans="1:4" x14ac:dyDescent="0.2">
      <c r="A3427" s="5">
        <v>3366</v>
      </c>
      <c r="B3427" s="1890">
        <f>'Assets-Liab 5-6'!I4</f>
        <v>1244084</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435020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334479</v>
      </c>
      <c r="C3446" s="2" t="s">
        <v>569</v>
      </c>
      <c r="D3446" s="2" t="str">
        <f t="shared" si="52"/>
        <v>Error?</v>
      </c>
    </row>
    <row r="3447" spans="1:4" x14ac:dyDescent="0.2">
      <c r="A3447" s="5">
        <v>3386</v>
      </c>
      <c r="B3447" s="1890">
        <f>'Tax Sched 23'!D16</f>
        <v>324440</v>
      </c>
      <c r="C3447" s="2" t="s">
        <v>569</v>
      </c>
      <c r="D3447" s="2" t="str">
        <f t="shared" si="52"/>
        <v>Error?</v>
      </c>
    </row>
    <row r="3448" spans="1:4" x14ac:dyDescent="0.2">
      <c r="A3448" s="5">
        <v>3387</v>
      </c>
      <c r="B3448" s="1890">
        <f>'Tax Sched 23'!C16</f>
        <v>10039</v>
      </c>
      <c r="D3448" s="2" t="str">
        <f t="shared" si="52"/>
        <v>Error?</v>
      </c>
    </row>
    <row r="3449" spans="1:4" x14ac:dyDescent="0.2">
      <c r="A3449" s="5">
        <v>3388</v>
      </c>
      <c r="B3449" s="1890">
        <f>'Tax Sched 23'!F16</f>
        <v>366264</v>
      </c>
      <c r="C3449" s="2" t="s">
        <v>569</v>
      </c>
      <c r="D3449" s="2" t="str">
        <f t="shared" si="52"/>
        <v>Error?</v>
      </c>
    </row>
    <row r="3450" spans="1:4" x14ac:dyDescent="0.2">
      <c r="A3450" s="5">
        <v>3389</v>
      </c>
      <c r="B3450" s="1890">
        <f>'Tax Sched 23'!E16</f>
        <v>376303</v>
      </c>
      <c r="D3450" s="2" t="str">
        <f t="shared" si="52"/>
        <v>Error?</v>
      </c>
    </row>
    <row r="3451" spans="1:4" x14ac:dyDescent="0.2">
      <c r="A3451" s="5">
        <v>3390</v>
      </c>
      <c r="B3451" s="1890">
        <f>'Cap Outlay Deprec 26'!C15</f>
        <v>23170278</v>
      </c>
      <c r="D3451" s="2" t="str">
        <f t="shared" si="52"/>
        <v>Error?</v>
      </c>
    </row>
    <row r="3452" spans="1:4" x14ac:dyDescent="0.2">
      <c r="A3452" s="5">
        <v>3391</v>
      </c>
      <c r="B3452" s="1890">
        <f>'Cap Outlay Deprec 26'!D15</f>
        <v>2843525</v>
      </c>
      <c r="D3452" s="2" t="str">
        <f t="shared" si="52"/>
        <v>Error?</v>
      </c>
    </row>
    <row r="3453" spans="1:4" x14ac:dyDescent="0.2">
      <c r="A3453" s="5">
        <v>3392</v>
      </c>
      <c r="B3453" s="1890">
        <f>'Cap Outlay Deprec 26'!E15</f>
        <v>15908391</v>
      </c>
      <c r="D3453" s="2" t="str">
        <f t="shared" si="52"/>
        <v>Error?</v>
      </c>
    </row>
    <row r="3454" spans="1:4" x14ac:dyDescent="0.2">
      <c r="A3454" s="5">
        <v>3393</v>
      </c>
      <c r="B3454" s="1890">
        <f>'Cap Outlay Deprec 26'!F15</f>
        <v>10105412</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10105412</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1997</v>
      </c>
      <c r="E3521" s="4" t="s">
        <v>134</v>
      </c>
    </row>
    <row r="3522" spans="1:5" x14ac:dyDescent="0.2">
      <c r="A3522" s="10">
        <v>3461</v>
      </c>
      <c r="B3522" s="1890"/>
      <c r="D3522" s="4" t="s">
        <v>1997</v>
      </c>
      <c r="E3522" s="4" t="s">
        <v>134</v>
      </c>
    </row>
    <row r="3523" spans="1:5" x14ac:dyDescent="0.2">
      <c r="A3523" s="10">
        <v>3462</v>
      </c>
      <c r="B3523" s="1890"/>
      <c r="D3523" s="4" t="s">
        <v>1997</v>
      </c>
      <c r="E3523" s="4" t="s">
        <v>134</v>
      </c>
    </row>
    <row r="3524" spans="1:5" x14ac:dyDescent="0.2">
      <c r="A3524" s="10">
        <v>3463</v>
      </c>
      <c r="B3524" s="1890"/>
      <c r="D3524" s="4" t="s">
        <v>1997</v>
      </c>
      <c r="E3524" s="4" t="s">
        <v>134</v>
      </c>
    </row>
    <row r="3525" spans="1:5" x14ac:dyDescent="0.2">
      <c r="A3525" s="10">
        <v>3464</v>
      </c>
      <c r="B3525" s="1890"/>
      <c r="D3525" s="4" t="s">
        <v>1997</v>
      </c>
      <c r="E3525" s="4" t="s">
        <v>134</v>
      </c>
    </row>
    <row r="3526" spans="1:5" x14ac:dyDescent="0.2">
      <c r="A3526" s="10">
        <v>3465</v>
      </c>
      <c r="B3526" s="1890"/>
      <c r="D3526" s="4" t="s">
        <v>1997</v>
      </c>
      <c r="E3526" s="4" t="s">
        <v>134</v>
      </c>
    </row>
    <row r="3527" spans="1:5" x14ac:dyDescent="0.2">
      <c r="A3527" s="10">
        <v>3466</v>
      </c>
      <c r="B3527" s="1890"/>
      <c r="D3527" s="4" t="s">
        <v>1997</v>
      </c>
      <c r="E3527" s="4" t="s">
        <v>134</v>
      </c>
    </row>
    <row r="3528" spans="1:5" x14ac:dyDescent="0.2">
      <c r="A3528" s="10">
        <v>3467</v>
      </c>
      <c r="B3528" s="1890"/>
      <c r="D3528" s="4" t="s">
        <v>1997</v>
      </c>
      <c r="E3528" s="4" t="s">
        <v>134</v>
      </c>
    </row>
    <row r="3529" spans="1:5" x14ac:dyDescent="0.2">
      <c r="A3529" s="10">
        <v>3468</v>
      </c>
      <c r="B3529" s="1890"/>
      <c r="D3529" s="4" t="s">
        <v>1997</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162218</v>
      </c>
      <c r="D3546" s="2" t="str">
        <f t="shared" si="54"/>
        <v>Error?</v>
      </c>
    </row>
    <row r="3547" spans="1:4" x14ac:dyDescent="0.2">
      <c r="A3547" s="10">
        <v>3486</v>
      </c>
      <c r="B3547" s="1890"/>
      <c r="D3547" s="2" t="str">
        <f t="shared" si="54"/>
        <v>OK</v>
      </c>
    </row>
    <row r="3548" spans="1:4" x14ac:dyDescent="0.2">
      <c r="A3548" s="5">
        <v>3487</v>
      </c>
      <c r="B3548" s="1890">
        <f>'Assets-Liab 5-6'!K6</f>
        <v>183773</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345991</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188718</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1509733</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-1163742</v>
      </c>
      <c r="D3567" s="2" t="str">
        <f t="shared" si="54"/>
        <v>Error?</v>
      </c>
    </row>
    <row r="3568" spans="1:4" x14ac:dyDescent="0.2">
      <c r="A3568" s="5">
        <v>3507</v>
      </c>
      <c r="B3568" s="1890">
        <f>'Assets-Liab 5-6'!K41</f>
        <v>345991</v>
      </c>
      <c r="C3568" s="2" t="s">
        <v>569</v>
      </c>
      <c r="D3568" s="2" t="str">
        <f t="shared" si="54"/>
        <v>Error?</v>
      </c>
    </row>
    <row r="3569" spans="1:4" x14ac:dyDescent="0.2">
      <c r="A3569" s="5">
        <v>3508</v>
      </c>
      <c r="B3569" s="1890">
        <f>'Acct Summary 7-8'!K4</f>
        <v>196352</v>
      </c>
      <c r="C3569" s="2" t="s">
        <v>569</v>
      </c>
      <c r="D3569" s="2" t="str">
        <f t="shared" si="54"/>
        <v>Error?</v>
      </c>
    </row>
    <row r="3570" spans="1:4" x14ac:dyDescent="0.2">
      <c r="A3570" s="5">
        <v>3509</v>
      </c>
      <c r="B3570" s="1890">
        <f>'Acct Summary 7-8'!K6</f>
        <v>50000</v>
      </c>
      <c r="C3570" s="2" t="s">
        <v>569</v>
      </c>
      <c r="D3570" s="2" t="str">
        <f t="shared" si="54"/>
        <v>Error?</v>
      </c>
    </row>
    <row r="3571" spans="1:4" x14ac:dyDescent="0.2">
      <c r="A3571" s="5">
        <v>3510</v>
      </c>
      <c r="B3571" s="1890">
        <f>'Acct Summary 7-8'!K8</f>
        <v>246352</v>
      </c>
      <c r="C3571" s="2" t="s">
        <v>569</v>
      </c>
      <c r="D3571" s="2" t="str">
        <f t="shared" si="54"/>
        <v>Error?</v>
      </c>
    </row>
    <row r="3572" spans="1:4" x14ac:dyDescent="0.2">
      <c r="A3572" s="5">
        <v>3511</v>
      </c>
      <c r="B3572" s="1890">
        <f>'Acct Summary 7-8'!K13</f>
        <v>3737970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3737970</v>
      </c>
      <c r="C3575" s="2" t="s">
        <v>569</v>
      </c>
      <c r="D3575" s="2" t="str">
        <f t="shared" si="54"/>
        <v>Error?</v>
      </c>
    </row>
    <row r="3576" spans="1:4" x14ac:dyDescent="0.2">
      <c r="A3576" s="5">
        <v>3515</v>
      </c>
      <c r="B3576" s="1890">
        <f>'Acct Summary 7-8'!K20</f>
        <v>-3491618</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-3491618</v>
      </c>
      <c r="C3588" s="2" t="s">
        <v>569</v>
      </c>
      <c r="D3588" s="2" t="str">
        <f t="shared" si="55"/>
        <v>Error?</v>
      </c>
    </row>
    <row r="3589" spans="1:4" x14ac:dyDescent="0.2">
      <c r="A3589" s="5">
        <v>3528</v>
      </c>
      <c r="B3589" s="1890">
        <f>'Acct Summary 7-8'!K79</f>
        <v>2327876</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-1163742</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3737970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3737970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3737970</v>
      </c>
      <c r="C3649" s="2" t="s">
        <v>569</v>
      </c>
      <c r="D3649" s="2" t="str">
        <f t="shared" si="56"/>
        <v>Error?</v>
      </c>
    </row>
    <row r="3650" spans="1:4" x14ac:dyDescent="0.2">
      <c r="A3650" s="5">
        <v>3589</v>
      </c>
      <c r="B3650" s="1890">
        <f>'Expenditures 15-22'!G367</f>
        <v>3737970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3737970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3737970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3737970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3737970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-3491618</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184316</v>
      </c>
      <c r="C3725" s="2" t="s">
        <v>569</v>
      </c>
      <c r="D3725" s="2" t="str">
        <f t="shared" si="57"/>
        <v>Error?</v>
      </c>
    </row>
    <row r="3726" spans="1:4" x14ac:dyDescent="0.2">
      <c r="A3726" s="5">
        <v>3665</v>
      </c>
      <c r="B3726" s="1890">
        <f>'Tax Sched 23'!D13</f>
        <v>179371</v>
      </c>
      <c r="C3726" s="2" t="s">
        <v>569</v>
      </c>
      <c r="D3726" s="2" t="str">
        <f t="shared" si="57"/>
        <v>Error?</v>
      </c>
    </row>
    <row r="3727" spans="1:4" x14ac:dyDescent="0.2">
      <c r="A3727" s="5">
        <v>3666</v>
      </c>
      <c r="B3727" s="1890">
        <f>'Tax Sched 23'!C13</f>
        <v>4945</v>
      </c>
      <c r="D3727" s="2" t="str">
        <f t="shared" si="57"/>
        <v>Error?</v>
      </c>
    </row>
    <row r="3728" spans="1:4" x14ac:dyDescent="0.2">
      <c r="A3728" s="5">
        <v>3667</v>
      </c>
      <c r="B3728" s="1890">
        <f>'Tax Sched 23'!F13</f>
        <v>183773</v>
      </c>
      <c r="C3728" s="2" t="s">
        <v>569</v>
      </c>
      <c r="D3728" s="2" t="str">
        <f t="shared" si="57"/>
        <v>Error?</v>
      </c>
    </row>
    <row r="3729" spans="1:4" x14ac:dyDescent="0.2">
      <c r="A3729" s="5">
        <v>3668</v>
      </c>
      <c r="B3729" s="1890">
        <f>'Tax Sched 23'!E13</f>
        <v>188718</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10415028</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32479638</v>
      </c>
      <c r="C4122" s="2" t="s">
        <v>569</v>
      </c>
      <c r="D4122" s="2" t="str">
        <f t="shared" si="63"/>
        <v>Error?</v>
      </c>
    </row>
    <row r="4123" spans="1:4" x14ac:dyDescent="0.2">
      <c r="A4123" s="5">
        <v>4062</v>
      </c>
      <c r="B4123" s="1890">
        <f>'Acct Summary 7-8'!D10</f>
        <v>2140399</v>
      </c>
      <c r="C4123" s="2" t="s">
        <v>569</v>
      </c>
      <c r="D4123" s="2" t="str">
        <f t="shared" si="63"/>
        <v>Error?</v>
      </c>
    </row>
    <row r="4124" spans="1:4" x14ac:dyDescent="0.2">
      <c r="A4124" s="5">
        <v>4063</v>
      </c>
      <c r="B4124" s="1890">
        <f>'Acct Summary 7-8'!E10</f>
        <v>3123812</v>
      </c>
      <c r="C4124" s="2" t="s">
        <v>569</v>
      </c>
      <c r="D4124" s="2" t="str">
        <f t="shared" si="63"/>
        <v>Error?</v>
      </c>
    </row>
    <row r="4125" spans="1:4" x14ac:dyDescent="0.2">
      <c r="A4125" s="5">
        <v>4064</v>
      </c>
      <c r="B4125" s="1890">
        <f>'Acct Summary 7-8'!F10</f>
        <v>2499255</v>
      </c>
      <c r="C4125" s="2" t="s">
        <v>569</v>
      </c>
      <c r="D4125" s="2" t="str">
        <f t="shared" si="63"/>
        <v>Error?</v>
      </c>
    </row>
    <row r="4126" spans="1:4" x14ac:dyDescent="0.2">
      <c r="A4126" s="5">
        <v>4065</v>
      </c>
      <c r="B4126" s="1890">
        <f>'Acct Summary 7-8'!G10</f>
        <v>731931</v>
      </c>
      <c r="C4126" s="2" t="s">
        <v>569</v>
      </c>
      <c r="D4126" s="2" t="str">
        <f t="shared" si="63"/>
        <v>Error?</v>
      </c>
    </row>
    <row r="4127" spans="1:4" x14ac:dyDescent="0.2">
      <c r="A4127" s="5">
        <v>4066</v>
      </c>
      <c r="B4127" s="1890">
        <f>'Acct Summary 7-8'!H10</f>
        <v>251936</v>
      </c>
      <c r="C4127" s="2" t="s">
        <v>569</v>
      </c>
      <c r="D4127" s="2" t="str">
        <f t="shared" si="63"/>
        <v>Error?</v>
      </c>
    </row>
    <row r="4128" spans="1:4" x14ac:dyDescent="0.2">
      <c r="A4128" s="5">
        <v>4067</v>
      </c>
      <c r="B4128" s="1890">
        <f>'Acct Summary 7-8'!I10</f>
        <v>216606</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246352</v>
      </c>
      <c r="C4130" s="2" t="s">
        <v>569</v>
      </c>
      <c r="D4130" s="2" t="str">
        <f t="shared" si="63"/>
        <v>Error?</v>
      </c>
    </row>
    <row r="4131" spans="1:4" x14ac:dyDescent="0.2">
      <c r="A4131" s="5">
        <v>4070</v>
      </c>
      <c r="B4131" s="1890">
        <f>'Acct Summary 7-8'!C18</f>
        <v>10415028</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33693697</v>
      </c>
      <c r="C4136" s="2" t="s">
        <v>569</v>
      </c>
      <c r="D4136" s="2" t="str">
        <f t="shared" si="63"/>
        <v>Error?</v>
      </c>
    </row>
    <row r="4137" spans="1:4" x14ac:dyDescent="0.2">
      <c r="A4137" s="5">
        <v>4076</v>
      </c>
      <c r="B4137" s="1890">
        <f>'Acct Summary 7-8'!D19</f>
        <v>1917963</v>
      </c>
      <c r="C4137" s="2" t="s">
        <v>569</v>
      </c>
      <c r="D4137" s="2" t="str">
        <f t="shared" si="63"/>
        <v>Error?</v>
      </c>
    </row>
    <row r="4138" spans="1:4" x14ac:dyDescent="0.2">
      <c r="A4138" s="5">
        <v>4077</v>
      </c>
      <c r="B4138" s="1890">
        <f>'Acct Summary 7-8'!E19</f>
        <v>3173035</v>
      </c>
      <c r="C4138" s="2" t="s">
        <v>569</v>
      </c>
      <c r="D4138" s="2" t="str">
        <f t="shared" si="63"/>
        <v>Error?</v>
      </c>
    </row>
    <row r="4139" spans="1:4" x14ac:dyDescent="0.2">
      <c r="A4139" s="5">
        <v>4078</v>
      </c>
      <c r="B4139" s="1890">
        <f>'Acct Summary 7-8'!F19</f>
        <v>2284702</v>
      </c>
      <c r="C4139" s="2" t="s">
        <v>569</v>
      </c>
      <c r="D4139" s="2" t="str">
        <f t="shared" si="63"/>
        <v>Error?</v>
      </c>
    </row>
    <row r="4140" spans="1:4" x14ac:dyDescent="0.2">
      <c r="A4140" s="5">
        <v>4079</v>
      </c>
      <c r="B4140" s="1890">
        <f>'Acct Summary 7-8'!G19</f>
        <v>724902</v>
      </c>
      <c r="C4140" s="2" t="s">
        <v>569</v>
      </c>
      <c r="D4140" s="2" t="str">
        <f t="shared" si="63"/>
        <v>Error?</v>
      </c>
    </row>
    <row r="4141" spans="1:4" x14ac:dyDescent="0.2">
      <c r="A4141" s="5">
        <v>4080</v>
      </c>
      <c r="B4141" s="1890">
        <f>'Acct Summary 7-8'!H19</f>
        <v>5571265</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3737970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41230000</v>
      </c>
      <c r="C4171" s="2" t="s">
        <v>569</v>
      </c>
      <c r="D4171" s="2" t="str">
        <f t="shared" si="64"/>
        <v>Error?</v>
      </c>
    </row>
    <row r="4172" spans="1:4" x14ac:dyDescent="0.2">
      <c r="A4172" s="5">
        <v>4111</v>
      </c>
      <c r="B4172" s="1890">
        <f>'Short-Term Long-Term Debt 24'!J49</f>
        <v>40393350</v>
      </c>
      <c r="C4172" s="2" t="s">
        <v>569</v>
      </c>
      <c r="D4172" s="2" t="str">
        <f t="shared" si="64"/>
        <v>Error?</v>
      </c>
    </row>
    <row r="4173" spans="1:4" x14ac:dyDescent="0.2">
      <c r="A4173" s="5">
        <v>4112</v>
      </c>
      <c r="B4173" s="1890">
        <f>'Short-Term Long-Term Debt 24'!H49</f>
        <v>1580000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1899</v>
      </c>
    </row>
    <row r="4236" spans="1:5" x14ac:dyDescent="0.2">
      <c r="A4236" s="10">
        <v>4175</v>
      </c>
      <c r="B4236" s="1890"/>
      <c r="D4236" s="2" t="str">
        <f t="shared" si="65"/>
        <v>OK</v>
      </c>
      <c r="E4236" s="4" t="s">
        <v>1899</v>
      </c>
    </row>
    <row r="4237" spans="1:5" x14ac:dyDescent="0.2">
      <c r="A4237" s="10">
        <v>4176</v>
      </c>
      <c r="B4237" s="1890"/>
      <c r="D4237" s="2" t="str">
        <f t="shared" si="65"/>
        <v>OK</v>
      </c>
      <c r="E4237" s="4" t="s">
        <v>1899</v>
      </c>
    </row>
    <row r="4238" spans="1:5" x14ac:dyDescent="0.2">
      <c r="A4238" s="10">
        <v>4177</v>
      </c>
      <c r="B4238" s="1890"/>
      <c r="D4238" s="2" t="str">
        <f t="shared" si="65"/>
        <v>OK</v>
      </c>
      <c r="E4238" s="4" t="s">
        <v>1899</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2950</v>
      </c>
      <c r="C4265" s="2" t="s">
        <v>569</v>
      </c>
      <c r="D4265" s="2" t="str">
        <f t="shared" si="65"/>
        <v>Error?</v>
      </c>
      <c r="E4265" s="125"/>
    </row>
    <row r="4266" spans="1:5" x14ac:dyDescent="0.2">
      <c r="A4266" s="12">
        <v>4205</v>
      </c>
      <c r="B4266" s="1890">
        <f>('FP Info 3'!F10)*100000</f>
        <v>500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3649.9999999999995</v>
      </c>
      <c r="C4268" s="2" t="s">
        <v>569</v>
      </c>
      <c r="D4268" s="2" t="str">
        <f t="shared" si="65"/>
        <v>Error?</v>
      </c>
    </row>
    <row r="4269" spans="1:5" x14ac:dyDescent="0.2">
      <c r="A4269" s="12">
        <v>4208</v>
      </c>
      <c r="B4269" s="1890">
        <f>'FP Info 3'!J16</f>
        <v>3114392</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111295</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60651</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232976</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1899</v>
      </c>
    </row>
    <row r="4400" spans="1:5" x14ac:dyDescent="0.2">
      <c r="A4400" s="10">
        <v>4339</v>
      </c>
      <c r="B4400" s="1890"/>
      <c r="D4400" s="2" t="str">
        <f t="shared" si="67"/>
        <v>OK</v>
      </c>
      <c r="E4400" s="4" t="s">
        <v>1899</v>
      </c>
    </row>
    <row r="4401" spans="1:5" x14ac:dyDescent="0.2">
      <c r="A4401" s="10">
        <v>4340</v>
      </c>
      <c r="B4401" s="1890"/>
      <c r="D4401" s="2" t="str">
        <f t="shared" si="67"/>
        <v>OK</v>
      </c>
      <c r="E4401" s="4" t="s">
        <v>1899</v>
      </c>
    </row>
    <row r="4402" spans="1:5" x14ac:dyDescent="0.2">
      <c r="A4402" s="10">
        <v>4341</v>
      </c>
      <c r="B4402" s="1890"/>
      <c r="D4402" s="2" t="str">
        <f t="shared" si="67"/>
        <v>OK</v>
      </c>
      <c r="E4402" s="4" t="s">
        <v>1899</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35774</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134649</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50000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377435327</v>
      </c>
      <c r="D4995" s="2" t="str">
        <f t="shared" si="77"/>
        <v>Error?</v>
      </c>
    </row>
    <row r="4996" spans="1:4" x14ac:dyDescent="0.2">
      <c r="A4996" s="12">
        <v>4935</v>
      </c>
      <c r="B4996" s="1890">
        <f>'FP Info 3'!H31</f>
        <v>52086075.126000002</v>
      </c>
      <c r="D4996" s="2" t="str">
        <f t="shared" si="77"/>
        <v>Error?</v>
      </c>
    </row>
    <row r="4997" spans="1:4" x14ac:dyDescent="0.2">
      <c r="A4997" s="12">
        <v>4936</v>
      </c>
      <c r="B4997" s="1890">
        <f>'FP Info 3'!H37</f>
        <v>41230000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50000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184316</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10874323</v>
      </c>
      <c r="D5061" s="2" t="str">
        <f t="shared" si="78"/>
        <v>Error?</v>
      </c>
    </row>
    <row r="5062" spans="1:4" x14ac:dyDescent="0.2">
      <c r="A5062" s="10">
        <v>5001</v>
      </c>
      <c r="B5062" s="1890"/>
      <c r="D5062" s="2" t="str">
        <f t="shared" si="78"/>
        <v>OK</v>
      </c>
    </row>
    <row r="5063" spans="1:4" x14ac:dyDescent="0.2">
      <c r="A5063" s="5">
        <v>5002</v>
      </c>
      <c r="B5063" s="1890">
        <f>'Revenues 9-14'!C7</f>
        <v>147444</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11206083</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1657304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1657304</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83448</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83448</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8158</v>
      </c>
      <c r="D5095" s="2" t="str">
        <f t="shared" si="78"/>
        <v>Error?</v>
      </c>
    </row>
    <row r="5096" spans="1:4" x14ac:dyDescent="0.2">
      <c r="A5096" s="5">
        <v>5035</v>
      </c>
      <c r="B5096" s="1890">
        <f>'Revenues 9-14'!C75</f>
        <v>174671</v>
      </c>
      <c r="C5096" s="2" t="s">
        <v>569</v>
      </c>
      <c r="D5096" s="2" t="str">
        <f t="shared" si="78"/>
        <v>Error?</v>
      </c>
    </row>
    <row r="5097" spans="1:4" x14ac:dyDescent="0.2">
      <c r="A5097" s="5">
        <v>5036</v>
      </c>
      <c r="B5097" s="1890">
        <f>'Revenues 9-14'!C77</f>
        <v>54700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69771</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124471</v>
      </c>
      <c r="C5102" s="2" t="s">
        <v>569</v>
      </c>
      <c r="D5102" s="2" t="str">
        <f t="shared" si="78"/>
        <v>Error?</v>
      </c>
    </row>
    <row r="5103" spans="1:4" x14ac:dyDescent="0.2">
      <c r="A5103" s="5">
        <v>5042</v>
      </c>
      <c r="B5103" s="1890">
        <f>'Revenues 9-14'!C84</f>
        <v>133209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133209</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9306</v>
      </c>
      <c r="D5114" s="2" t="str">
        <f t="shared" si="78"/>
        <v>Error?</v>
      </c>
    </row>
    <row r="5115" spans="1:4" x14ac:dyDescent="0.2">
      <c r="A5115" s="5">
        <v>5054</v>
      </c>
      <c r="B5115" s="1890">
        <f>'Revenues 9-14'!C98</f>
        <v>29071</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116628</v>
      </c>
      <c r="D5119" s="2" t="str">
        <f t="shared" ref="D5119:D5182" si="79">IF(ISBLANK(B5119),"OK",IF(A5119-B5119=0,"OK","Error?"))</f>
        <v>Error?</v>
      </c>
    </row>
    <row r="5120" spans="1:4" x14ac:dyDescent="0.2">
      <c r="A5120" s="5">
        <v>5059</v>
      </c>
      <c r="B5120" s="1890">
        <f>'Revenues 9-14'!C108</f>
        <v>171130</v>
      </c>
      <c r="C5120" s="2" t="s">
        <v>569</v>
      </c>
      <c r="D5120" s="2" t="str">
        <f t="shared" si="79"/>
        <v>Error?</v>
      </c>
    </row>
    <row r="5121" spans="1:4" x14ac:dyDescent="0.2">
      <c r="A5121" s="5">
        <v>5060</v>
      </c>
      <c r="B5121" s="1890">
        <f>'Revenues 9-14'!C109</f>
        <v>13550316</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6059550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6059550</v>
      </c>
      <c r="C5132" s="2" t="s">
        <v>569</v>
      </c>
      <c r="D5132" s="2" t="str">
        <f t="shared" si="79"/>
        <v>Error?</v>
      </c>
    </row>
    <row r="5133" spans="1:4" x14ac:dyDescent="0.2">
      <c r="A5133" s="5">
        <v>5072</v>
      </c>
      <c r="B5133" s="1890">
        <f>'Revenues 9-14'!C125</f>
        <v>198615</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198615</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9961</v>
      </c>
      <c r="D5167" s="2" t="str">
        <f t="shared" si="79"/>
        <v>Error?</v>
      </c>
    </row>
    <row r="5168" spans="1:4" x14ac:dyDescent="0.2">
      <c r="A5168" s="5">
        <v>5107</v>
      </c>
      <c r="B5168" s="1890">
        <f>'Revenues 9-14'!C148</f>
        <v>26199</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275317</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1899</v>
      </c>
    </row>
    <row r="5200" spans="1:5" x14ac:dyDescent="0.2">
      <c r="A5200" s="10">
        <v>5139</v>
      </c>
      <c r="B5200" s="1890"/>
      <c r="D5200" s="2" t="str">
        <f t="shared" si="80"/>
        <v>OK</v>
      </c>
      <c r="E5200" s="4" t="s">
        <v>1899</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510092</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6569642</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373840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112947</v>
      </c>
      <c r="D5241" s="2" t="str">
        <f t="shared" si="80"/>
        <v>Error?</v>
      </c>
    </row>
    <row r="5242" spans="1:4" x14ac:dyDescent="0.2">
      <c r="A5242" s="5">
        <v>5181</v>
      </c>
      <c r="B5242" s="1890">
        <f>'Revenues 9-14'!C194</f>
        <v>108311</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595098</v>
      </c>
      <c r="C5246" s="2" t="s">
        <v>569</v>
      </c>
      <c r="D5246" s="2" t="str">
        <f t="shared" si="80"/>
        <v>Error?</v>
      </c>
    </row>
    <row r="5247" spans="1:4" x14ac:dyDescent="0.2">
      <c r="A5247" s="5">
        <v>5186</v>
      </c>
      <c r="B5247" s="1890">
        <f>'Revenues 9-14'!C200</f>
        <v>773408</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1899</v>
      </c>
    </row>
    <row r="5255" spans="1:5" x14ac:dyDescent="0.2">
      <c r="A5255" s="5">
        <v>5194</v>
      </c>
      <c r="B5255" s="1890">
        <f>'Revenues 9-14'!C202</f>
        <v>0</v>
      </c>
      <c r="D5255" s="2" t="str">
        <f t="shared" si="81"/>
        <v>Error?</v>
      </c>
    </row>
    <row r="5256" spans="1:5" x14ac:dyDescent="0.2">
      <c r="A5256" s="5">
        <v>5195</v>
      </c>
      <c r="B5256" s="1890">
        <f>'Revenues 9-14'!C206</f>
        <v>35774</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884703</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801</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801</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1899</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1944652</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1944652</v>
      </c>
      <c r="C5326" s="2" t="s">
        <v>569</v>
      </c>
      <c r="D5326" s="2" t="str">
        <f t="shared" si="82"/>
        <v>Error?</v>
      </c>
    </row>
    <row r="5327" spans="1:5" x14ac:dyDescent="0.2">
      <c r="A5327" s="5">
        <v>5266</v>
      </c>
      <c r="B5327" s="1890">
        <f>'Revenues 9-14'!C268</f>
        <v>22064610</v>
      </c>
      <c r="C5327" s="2" t="s">
        <v>569</v>
      </c>
      <c r="D5327" s="2" t="str">
        <f t="shared" si="82"/>
        <v>Error?</v>
      </c>
    </row>
    <row r="5328" spans="1:5" x14ac:dyDescent="0.2">
      <c r="A5328" s="5">
        <v>5267</v>
      </c>
      <c r="B5328" s="1890">
        <f>'Revenues 9-14'!D5</f>
        <v>1844122</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1844122</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10698</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10698</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103064</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182515</v>
      </c>
      <c r="D5354" s="2" t="str">
        <f t="shared" si="82"/>
        <v>Error?</v>
      </c>
    </row>
    <row r="5355" spans="1:4" x14ac:dyDescent="0.2">
      <c r="A5355" s="5">
        <v>5294</v>
      </c>
      <c r="B5355" s="1890">
        <f>'Revenues 9-14'!D108</f>
        <v>285579</v>
      </c>
      <c r="C5355" s="2" t="s">
        <v>569</v>
      </c>
      <c r="D5355" s="2" t="str">
        <f t="shared" si="82"/>
        <v>Error?</v>
      </c>
    </row>
    <row r="5356" spans="1:4" x14ac:dyDescent="0.2">
      <c r="A5356" s="5">
        <v>5295</v>
      </c>
      <c r="B5356" s="1890">
        <f>'Revenues 9-14'!D109</f>
        <v>2140399</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1899</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2140399</v>
      </c>
      <c r="C5508" s="2" t="s">
        <v>569</v>
      </c>
      <c r="D5508" s="2" t="str">
        <f t="shared" si="85"/>
        <v>Error?</v>
      </c>
    </row>
    <row r="5509" spans="1:4" x14ac:dyDescent="0.2">
      <c r="A5509" s="5">
        <v>5448</v>
      </c>
      <c r="B5509" s="1890">
        <f>'Revenues 9-14'!E5</f>
        <v>2010270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2010270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24955</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24955</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1088587</v>
      </c>
      <c r="C5526" s="2" t="s">
        <v>569</v>
      </c>
      <c r="D5526" s="2" t="str">
        <f t="shared" si="85"/>
        <v>Error?</v>
      </c>
    </row>
    <row r="5527" spans="1:4" x14ac:dyDescent="0.2">
      <c r="A5527" s="5">
        <v>5466</v>
      </c>
      <c r="B5527" s="1890">
        <f>'Revenues 9-14'!E109</f>
        <v>3123812</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3123812</v>
      </c>
      <c r="C5552" s="2" t="s">
        <v>569</v>
      </c>
      <c r="D5552" s="2" t="str">
        <f t="shared" si="85"/>
        <v>Error?</v>
      </c>
    </row>
    <row r="5553" spans="1:4" x14ac:dyDescent="0.2">
      <c r="A5553" s="5">
        <v>5492</v>
      </c>
      <c r="B5553" s="1890">
        <f>'Revenues 9-14'!F5</f>
        <v>737659</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737659</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340000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340000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5309</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5309</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4474</v>
      </c>
      <c r="D5586" s="2" t="str">
        <f t="shared" si="86"/>
        <v>Error?</v>
      </c>
    </row>
    <row r="5587" spans="1:4" x14ac:dyDescent="0.2">
      <c r="A5587" s="5">
        <v>5526</v>
      </c>
      <c r="B5587" s="1890">
        <f>'Revenues 9-14'!F108</f>
        <v>4474</v>
      </c>
      <c r="C5587" s="2" t="s">
        <v>569</v>
      </c>
      <c r="D5587" s="2" t="str">
        <f t="shared" si="86"/>
        <v>Error?</v>
      </c>
    </row>
    <row r="5588" spans="1:4" x14ac:dyDescent="0.2">
      <c r="A5588" s="5">
        <v>5527</v>
      </c>
      <c r="B5588" s="1890">
        <f>'Revenues 9-14'!F109</f>
        <v>1087442</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500689</v>
      </c>
      <c r="D5615" s="2" t="str">
        <f t="shared" si="86"/>
        <v>Error?</v>
      </c>
    </row>
    <row r="5616" spans="1:4" x14ac:dyDescent="0.2">
      <c r="A5616" s="10">
        <v>5555</v>
      </c>
      <c r="B5616" s="1890"/>
      <c r="D5616" s="2" t="str">
        <f t="shared" si="86"/>
        <v>OK</v>
      </c>
    </row>
    <row r="5617" spans="1:5" x14ac:dyDescent="0.2">
      <c r="A5617" s="5">
        <v>5556</v>
      </c>
      <c r="B5617" s="1890">
        <f>'Revenues 9-14'!F153</f>
        <v>911124</v>
      </c>
      <c r="D5617" s="2" t="str">
        <f t="shared" si="86"/>
        <v>Error?</v>
      </c>
    </row>
    <row r="5618" spans="1:5" x14ac:dyDescent="0.2">
      <c r="A5618" s="5">
        <v>5557</v>
      </c>
      <c r="B5618" s="1890">
        <f>'Revenues 9-14'!F155</f>
        <v>1411813</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1899</v>
      </c>
    </row>
    <row r="5631" spans="1:5" x14ac:dyDescent="0.2">
      <c r="A5631" s="10">
        <v>5570</v>
      </c>
      <c r="B5631" s="1890"/>
      <c r="D5631" s="2" t="str">
        <f t="shared" ref="D5631:D5694" si="87">IF(ISBLANK(B5631),"OK",IF(A5631-B5631=0,"OK","Error?"))</f>
        <v>OK</v>
      </c>
      <c r="E5631" s="4" t="s">
        <v>1899</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1411813</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1411813</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1899</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1899</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2499255</v>
      </c>
      <c r="C5720" s="2" t="s">
        <v>569</v>
      </c>
      <c r="D5720" s="2" t="str">
        <f t="shared" si="88"/>
        <v>Error?</v>
      </c>
    </row>
    <row r="5721" spans="1:4" x14ac:dyDescent="0.2">
      <c r="A5721" s="5">
        <v>5660</v>
      </c>
      <c r="B5721" s="1890">
        <f>'Revenues 9-14'!G5</f>
        <v>284928</v>
      </c>
      <c r="D5721" s="2" t="str">
        <f t="shared" si="88"/>
        <v>Error?</v>
      </c>
    </row>
    <row r="5722" spans="1:4" x14ac:dyDescent="0.2">
      <c r="A5722" s="5">
        <v>5661</v>
      </c>
      <c r="B5722" s="1890">
        <f>'Revenues 9-14'!G7</f>
        <v>0</v>
      </c>
      <c r="D5722" s="2" t="str">
        <f t="shared" si="88"/>
        <v>Error?</v>
      </c>
    </row>
    <row r="5723" spans="1:4" x14ac:dyDescent="0.2">
      <c r="A5723" s="5">
        <v>5662</v>
      </c>
      <c r="B5723" s="1890">
        <f>'Revenues 9-14'!G8</f>
        <v>334479</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619407</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101500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101500</v>
      </c>
      <c r="C5730" s="2" t="s">
        <v>569</v>
      </c>
      <c r="D5730" s="2" t="str">
        <f t="shared" si="88"/>
        <v>Error?</v>
      </c>
    </row>
    <row r="5731" spans="1:4" x14ac:dyDescent="0.2">
      <c r="A5731" s="5">
        <v>5670</v>
      </c>
      <c r="B5731" s="1890">
        <f>'Revenues 9-14'!G65</f>
        <v>11024</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11024</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1899</v>
      </c>
    </row>
    <row r="5768" spans="1:5" x14ac:dyDescent="0.2">
      <c r="A5768" s="10">
        <v>5707</v>
      </c>
      <c r="B5768" s="1890"/>
      <c r="D5768" s="2" t="str">
        <f t="shared" si="89"/>
        <v>OK</v>
      </c>
      <c r="E5768" s="4" t="s">
        <v>1899</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1899</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1899</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731931</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26303</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26303</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225633</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251936</v>
      </c>
      <c r="C5915" s="2" t="s">
        <v>569</v>
      </c>
      <c r="D5915" s="2" t="str">
        <f t="shared" si="91"/>
        <v>Error?</v>
      </c>
    </row>
    <row r="5916" spans="1:4" x14ac:dyDescent="0.2">
      <c r="A5916" s="5">
        <v>5855</v>
      </c>
      <c r="B5916" s="1890">
        <f>'Revenues 9-14'!I5</f>
        <v>184417</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184417</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32189</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32189</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216606</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184417</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184417</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11935</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11935</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50000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246352</v>
      </c>
      <c r="C6023" s="2" t="s">
        <v>569</v>
      </c>
      <c r="D6023" s="2" t="str">
        <f t="shared" si="93"/>
        <v>Error?</v>
      </c>
    </row>
    <row r="6024" spans="1:5" x14ac:dyDescent="0.2">
      <c r="A6024" s="5">
        <v>5963</v>
      </c>
      <c r="B6024" s="1890">
        <f>'Revenues 9-14'!G109</f>
        <v>731931</v>
      </c>
      <c r="C6024" s="2" t="s">
        <v>569</v>
      </c>
      <c r="D6024" s="2" t="str">
        <f t="shared" si="93"/>
        <v>Error?</v>
      </c>
    </row>
    <row r="6025" spans="1:5" x14ac:dyDescent="0.2">
      <c r="A6025" s="5">
        <v>5964</v>
      </c>
      <c r="B6025" s="1890">
        <f>'Revenues 9-14'!H109</f>
        <v>251936</v>
      </c>
      <c r="C6025" s="2" t="s">
        <v>569</v>
      </c>
      <c r="D6025" s="2" t="str">
        <f t="shared" si="93"/>
        <v>Error?</v>
      </c>
    </row>
    <row r="6026" spans="1:5" x14ac:dyDescent="0.2">
      <c r="A6026" s="5">
        <v>5965</v>
      </c>
      <c r="B6026" s="1890">
        <f>'Revenues 9-14'!I109</f>
        <v>216606</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196352</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166513</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63897</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2521.9899999999998</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669614</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351329</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351146</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428397</v>
      </c>
      <c r="D6099" s="2" t="str">
        <f t="shared" si="94"/>
        <v>Error?</v>
      </c>
      <c r="E6099" s="2" t="s">
        <v>189</v>
      </c>
    </row>
    <row r="6100" spans="1:5" x14ac:dyDescent="0.2">
      <c r="A6100">
        <v>6039</v>
      </c>
      <c r="B6100" s="1890">
        <f>'Assets-Liab 5-6'!D9</f>
        <v>667</v>
      </c>
      <c r="D6100" s="2" t="str">
        <f t="shared" si="94"/>
        <v>Error?</v>
      </c>
      <c r="E6100" s="2" t="s">
        <v>189</v>
      </c>
    </row>
    <row r="6101" spans="1:5" x14ac:dyDescent="0.2">
      <c r="A6101">
        <v>6040</v>
      </c>
      <c r="B6101" s="1890">
        <f>'Assets-Liab 5-6'!E9</f>
        <v>181393</v>
      </c>
      <c r="D6101" s="2" t="str">
        <f t="shared" si="94"/>
        <v>Error?</v>
      </c>
      <c r="E6101" s="2" t="s">
        <v>189</v>
      </c>
    </row>
    <row r="6102" spans="1:5" x14ac:dyDescent="0.2">
      <c r="A6102">
        <v>6041</v>
      </c>
      <c r="B6102" s="1890">
        <f>'Assets-Liab 5-6'!F9</f>
        <v>51962</v>
      </c>
      <c r="D6102" s="2" t="str">
        <f t="shared" si="94"/>
        <v>Error?</v>
      </c>
      <c r="E6102" s="2" t="s">
        <v>189</v>
      </c>
    </row>
    <row r="6103" spans="1:5" x14ac:dyDescent="0.2">
      <c r="A6103">
        <f>A6102+1</f>
        <v>6042</v>
      </c>
      <c r="B6103" s="1890">
        <f>'Assets-Liab 5-6'!G9</f>
        <v>1297</v>
      </c>
      <c r="D6103" s="2" t="str">
        <f t="shared" si="94"/>
        <v>Error?</v>
      </c>
      <c r="E6103" s="2" t="s">
        <v>189</v>
      </c>
    </row>
    <row r="6104" spans="1:5" x14ac:dyDescent="0.2">
      <c r="A6104">
        <v>6043</v>
      </c>
      <c r="B6104" s="1890">
        <f>'Assets-Liab 5-6'!H9</f>
        <v>229963</v>
      </c>
      <c r="D6104" s="2" t="str">
        <f t="shared" si="94"/>
        <v>Error?</v>
      </c>
      <c r="E6104" s="2" t="s">
        <v>189</v>
      </c>
    </row>
    <row r="6105" spans="1:5" x14ac:dyDescent="0.2">
      <c r="A6105">
        <v>6044</v>
      </c>
      <c r="B6105" s="1890">
        <f>'Assets-Liab 5-6'!I9</f>
        <v>1621</v>
      </c>
      <c r="D6105" s="2" t="str">
        <f t="shared" si="94"/>
        <v>Error?</v>
      </c>
      <c r="E6105" s="2" t="s">
        <v>189</v>
      </c>
    </row>
    <row r="6106" spans="1:5" x14ac:dyDescent="0.2">
      <c r="A6106">
        <v>6045</v>
      </c>
      <c r="B6106" s="1890">
        <f>'Assets-Liab 5-6'!J9</f>
        <v>359</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1800688</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669614</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150620</v>
      </c>
      <c r="D6133" s="2" t="str">
        <f t="shared" si="94"/>
        <v>Error?</v>
      </c>
      <c r="E6133" s="2" t="s">
        <v>189</v>
      </c>
    </row>
    <row r="6134" spans="1:5" x14ac:dyDescent="0.2">
      <c r="A6134">
        <v>6073</v>
      </c>
      <c r="B6134" s="1890">
        <f>'Assets-Liab 5-6'!D26</f>
        <v>17174</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949480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1321015</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2481762</v>
      </c>
      <c r="D6169" s="2" t="str">
        <f t="shared" si="95"/>
        <v>Error?</v>
      </c>
      <c r="E6169" s="2" t="s">
        <v>189</v>
      </c>
    </row>
    <row r="6170" spans="1:5" x14ac:dyDescent="0.2">
      <c r="A6170">
        <v>6109</v>
      </c>
      <c r="B6170" s="1890">
        <f>'Assets-Liab 5-6'!D30</f>
        <v>1887177</v>
      </c>
      <c r="D6170" s="2" t="str">
        <f t="shared" si="95"/>
        <v>Error?</v>
      </c>
      <c r="E6170" s="2" t="s">
        <v>189</v>
      </c>
    </row>
    <row r="6171" spans="1:5" x14ac:dyDescent="0.2">
      <c r="A6171">
        <v>6110</v>
      </c>
      <c r="B6171" s="1890">
        <f>'Assets-Liab 5-6'!E30</f>
        <v>2342741</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71901</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45989</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1272334</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1318323</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482365</v>
      </c>
      <c r="D6215" s="2" t="str">
        <f t="shared" si="96"/>
        <v>Error?</v>
      </c>
      <c r="E6215" s="2" t="s">
        <v>189</v>
      </c>
    </row>
    <row r="6216" spans="1:5" x14ac:dyDescent="0.2">
      <c r="A6216">
        <v>6155</v>
      </c>
      <c r="B6216" s="1890">
        <f>'Assets-Liab 5-6'!J41</f>
        <v>1800688</v>
      </c>
      <c r="D6216" s="2" t="str">
        <f t="shared" si="96"/>
        <v>Error?</v>
      </c>
      <c r="E6216" s="2" t="s">
        <v>189</v>
      </c>
    </row>
    <row r="6217" spans="1:5" x14ac:dyDescent="0.2">
      <c r="A6217">
        <v>6156</v>
      </c>
      <c r="B6217" s="1890">
        <f>'Assets-Liab 5-6'!J4</f>
        <v>561948</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1238381</v>
      </c>
      <c r="D6219" s="2" t="str">
        <f t="shared" si="96"/>
        <v>Error?</v>
      </c>
      <c r="E6219" s="2" t="s">
        <v>189</v>
      </c>
    </row>
    <row r="6220" spans="1:5" x14ac:dyDescent="0.2">
      <c r="A6220">
        <v>6159</v>
      </c>
      <c r="B6220" s="1890">
        <f>'Acct Summary 7-8'!J4</f>
        <v>1247060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1247060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1247060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987837</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987837</v>
      </c>
      <c r="D6229" s="2" t="str">
        <f t="shared" si="96"/>
        <v>Error?</v>
      </c>
      <c r="E6229" s="2" t="s">
        <v>189</v>
      </c>
    </row>
    <row r="6230" spans="1:5" x14ac:dyDescent="0.2">
      <c r="A6230">
        <v>6169</v>
      </c>
      <c r="B6230" s="1890">
        <f>'Acct Summary 7-8'!J20</f>
        <v>259223</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259223</v>
      </c>
      <c r="D6263" s="2" t="str">
        <f t="shared" si="96"/>
        <v>Error?</v>
      </c>
      <c r="E6263" s="2" t="s">
        <v>189</v>
      </c>
    </row>
    <row r="6264" spans="1:5" x14ac:dyDescent="0.2">
      <c r="A6264">
        <v>6203</v>
      </c>
      <c r="B6264" s="1890">
        <f>'Acct Summary 7-8'!J79</f>
        <v>223142</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482365</v>
      </c>
      <c r="D6266" s="2" t="str">
        <f t="shared" si="96"/>
        <v>Error?</v>
      </c>
      <c r="E6266" s="2" t="s">
        <v>189</v>
      </c>
    </row>
    <row r="6267" spans="1:5" x14ac:dyDescent="0.2">
      <c r="A6267">
        <v>6206</v>
      </c>
      <c r="B6267" s="1890">
        <f>'Acct Summary 7-8'!C82</f>
        <v>-870454</v>
      </c>
      <c r="D6267" s="2" t="str">
        <f t="shared" si="96"/>
        <v>Error?</v>
      </c>
      <c r="E6267" s="2" t="s">
        <v>189</v>
      </c>
    </row>
    <row r="6268" spans="1:5" x14ac:dyDescent="0.2">
      <c r="A6268">
        <v>6207</v>
      </c>
      <c r="B6268" s="1890">
        <f>'Acct Summary 7-8'!D82</f>
        <v>222436</v>
      </c>
      <c r="D6268" s="2" t="str">
        <f t="shared" si="96"/>
        <v>Error?</v>
      </c>
      <c r="E6268" s="2" t="s">
        <v>189</v>
      </c>
    </row>
    <row r="6269" spans="1:5" x14ac:dyDescent="0.2">
      <c r="A6269">
        <v>6208</v>
      </c>
      <c r="B6269" s="1890">
        <f>'Acct Summary 7-8'!E82</f>
        <v>-49223</v>
      </c>
      <c r="D6269" s="2" t="str">
        <f t="shared" si="96"/>
        <v>Error?</v>
      </c>
      <c r="E6269" s="2" t="s">
        <v>189</v>
      </c>
    </row>
    <row r="6270" spans="1:5" x14ac:dyDescent="0.2">
      <c r="A6270">
        <v>6209</v>
      </c>
      <c r="B6270" s="1890">
        <f>'Acct Summary 7-8'!F82</f>
        <v>214553</v>
      </c>
      <c r="D6270" s="2" t="str">
        <f t="shared" si="96"/>
        <v>Error?</v>
      </c>
      <c r="E6270" s="2" t="s">
        <v>189</v>
      </c>
    </row>
    <row r="6271" spans="1:5" x14ac:dyDescent="0.2">
      <c r="A6271">
        <v>6210</v>
      </c>
      <c r="B6271" s="1890">
        <f>'Acct Summary 7-8'!G82</f>
        <v>7029</v>
      </c>
      <c r="D6271" s="2" t="str">
        <f t="shared" ref="D6271:D6334" si="97">IF(ISBLANK(B6271),"OK",IF(A6271-B6271=0,"OK","Error?"))</f>
        <v>Error?</v>
      </c>
      <c r="E6271" s="2" t="s">
        <v>189</v>
      </c>
    </row>
    <row r="6272" spans="1:5" x14ac:dyDescent="0.2">
      <c r="A6272">
        <v>6211</v>
      </c>
      <c r="B6272" s="1890">
        <f>'Acct Summary 7-8'!H82</f>
        <v>-5319329</v>
      </c>
      <c r="D6272" s="2" t="str">
        <f t="shared" si="97"/>
        <v>Error?</v>
      </c>
      <c r="E6272" s="2" t="s">
        <v>189</v>
      </c>
    </row>
    <row r="6273" spans="1:5" x14ac:dyDescent="0.2">
      <c r="A6273">
        <v>6212</v>
      </c>
      <c r="B6273" s="1890">
        <f>'Acct Summary 7-8'!I82</f>
        <v>-126999</v>
      </c>
      <c r="D6273" s="2" t="str">
        <f t="shared" si="97"/>
        <v>Error?</v>
      </c>
      <c r="E6273" s="2" t="s">
        <v>189</v>
      </c>
    </row>
    <row r="6274" spans="1:5" x14ac:dyDescent="0.2">
      <c r="A6274">
        <v>6213</v>
      </c>
      <c r="B6274" s="1890">
        <f>'Acct Summary 7-8'!J82</f>
        <v>259223</v>
      </c>
      <c r="D6274" s="2" t="str">
        <f t="shared" si="97"/>
        <v>Error?</v>
      </c>
      <c r="E6274" s="2" t="s">
        <v>189</v>
      </c>
    </row>
    <row r="6275" spans="1:5" x14ac:dyDescent="0.2">
      <c r="A6275">
        <v>6214</v>
      </c>
      <c r="B6275" s="1890">
        <f>'Acct Summary 7-8'!K82</f>
        <v>-3491618</v>
      </c>
      <c r="D6275" s="2" t="str">
        <f t="shared" si="97"/>
        <v>Error?</v>
      </c>
      <c r="E6275" s="2" t="s">
        <v>189</v>
      </c>
    </row>
    <row r="6276" spans="1:5" x14ac:dyDescent="0.2">
      <c r="A6276">
        <v>6215</v>
      </c>
      <c r="B6276" s="1890">
        <f>'Acct Summary 7-8'!C83</f>
        <v>2.9122790582520048</v>
      </c>
      <c r="D6276" s="2" t="str">
        <f t="shared" si="97"/>
        <v>Error?</v>
      </c>
      <c r="E6276" s="2" t="s">
        <v>189</v>
      </c>
    </row>
    <row r="6277" spans="1:5" x14ac:dyDescent="0.2">
      <c r="A6277">
        <v>6216</v>
      </c>
      <c r="B6277" s="1890">
        <f>'Acct Summary 7-8'!D83</f>
        <v>1.007021753401091</v>
      </c>
      <c r="D6277" s="2" t="str">
        <f t="shared" si="97"/>
        <v>Error?</v>
      </c>
      <c r="E6277" s="2" t="s">
        <v>189</v>
      </c>
    </row>
    <row r="6278" spans="1:5" x14ac:dyDescent="0.2">
      <c r="A6278">
        <v>6217</v>
      </c>
      <c r="B6278" s="1890">
        <f>'Acct Summary 7-8'!E83</f>
        <v>-3.378034778872991E-2</v>
      </c>
      <c r="D6278" s="2" t="str">
        <f t="shared" si="97"/>
        <v>Error?</v>
      </c>
      <c r="E6278" s="2" t="s">
        <v>189</v>
      </c>
    </row>
    <row r="6279" spans="1:5" x14ac:dyDescent="0.2">
      <c r="A6279">
        <v>6218</v>
      </c>
      <c r="B6279" s="1890">
        <f>'Acct Summary 7-8'!F83</f>
        <v>6.0478351561619119</v>
      </c>
      <c r="D6279" s="2" t="str">
        <f t="shared" si="97"/>
        <v>Error?</v>
      </c>
      <c r="E6279" s="2" t="s">
        <v>189</v>
      </c>
    </row>
    <row r="6280" spans="1:5" x14ac:dyDescent="0.2">
      <c r="A6280">
        <v>6219</v>
      </c>
      <c r="B6280" s="1890">
        <f>'Acct Summary 7-8'!G83</f>
        <v>1.340491265542757E-2</v>
      </c>
      <c r="D6280" s="2" t="str">
        <f t="shared" si="97"/>
        <v>Error?</v>
      </c>
      <c r="E6280" s="2" t="s">
        <v>189</v>
      </c>
    </row>
    <row r="6281" spans="1:5" x14ac:dyDescent="0.2">
      <c r="A6281">
        <v>6220</v>
      </c>
      <c r="B6281" s="1890">
        <f>'Acct Summary 7-8'!H83</f>
        <v>-44.185244253947687</v>
      </c>
      <c r="D6281" s="2" t="str">
        <f t="shared" si="97"/>
        <v>Error?</v>
      </c>
      <c r="E6281" s="2" t="s">
        <v>189</v>
      </c>
    </row>
    <row r="6282" spans="1:5" x14ac:dyDescent="0.2">
      <c r="A6282">
        <v>6221</v>
      </c>
      <c r="B6282" s="1890">
        <f>'Acct Summary 7-8'!I83</f>
        <v>-4.0228741793430438E-2</v>
      </c>
      <c r="D6282" s="2" t="str">
        <f t="shared" si="97"/>
        <v>Error?</v>
      </c>
      <c r="E6282" s="2" t="s">
        <v>189</v>
      </c>
    </row>
    <row r="6283" spans="1:5" x14ac:dyDescent="0.2">
      <c r="A6283">
        <v>6222</v>
      </c>
      <c r="B6283" s="1890">
        <f>'Acct Summary 7-8'!J83</f>
        <v>0.53740010158282625</v>
      </c>
      <c r="D6283" s="2" t="str">
        <f t="shared" si="97"/>
        <v>Error?</v>
      </c>
      <c r="E6283" s="2" t="s">
        <v>189</v>
      </c>
    </row>
    <row r="6284" spans="1:5" x14ac:dyDescent="0.2">
      <c r="A6284">
        <v>6223</v>
      </c>
      <c r="B6284" s="1890">
        <f>'Acct Summary 7-8'!K83</f>
        <v>3.0003368444208425</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1238073</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1238073</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8987</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8987</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16125</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1247060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1898</v>
      </c>
    </row>
    <row r="6383" spans="1:6" x14ac:dyDescent="0.2">
      <c r="A6383" s="126">
        <v>6322</v>
      </c>
      <c r="B6383" s="1890"/>
      <c r="D6383" s="2" t="str">
        <f t="shared" si="98"/>
        <v>OK</v>
      </c>
      <c r="E6383" s="2" t="s">
        <v>189</v>
      </c>
      <c r="F6383" s="1" t="s">
        <v>1898</v>
      </c>
    </row>
    <row r="6384" spans="1:6" x14ac:dyDescent="0.2">
      <c r="A6384" s="126">
        <v>6323</v>
      </c>
      <c r="B6384" s="1890"/>
      <c r="D6384" s="2" t="str">
        <f t="shared" si="98"/>
        <v>OK</v>
      </c>
      <c r="E6384" s="2" t="s">
        <v>189</v>
      </c>
      <c r="F6384" s="1" t="s">
        <v>1898</v>
      </c>
    </row>
    <row r="6385" spans="1:6" x14ac:dyDescent="0.2">
      <c r="A6385" s="126">
        <v>6324</v>
      </c>
      <c r="B6385" s="1890"/>
      <c r="D6385" s="2" t="str">
        <f t="shared" si="98"/>
        <v>OK</v>
      </c>
      <c r="E6385" s="2" t="s">
        <v>189</v>
      </c>
      <c r="F6385" s="1" t="s">
        <v>1898</v>
      </c>
    </row>
    <row r="6386" spans="1:6" x14ac:dyDescent="0.2">
      <c r="A6386" s="126">
        <v>6325</v>
      </c>
      <c r="B6386" s="1890"/>
      <c r="D6386" s="2" t="str">
        <f t="shared" si="98"/>
        <v>OK</v>
      </c>
      <c r="E6386" s="2" t="s">
        <v>189</v>
      </c>
      <c r="F6386" s="1" t="s">
        <v>1898</v>
      </c>
    </row>
    <row r="6387" spans="1:6" x14ac:dyDescent="0.2">
      <c r="A6387" s="126">
        <v>6326</v>
      </c>
      <c r="B6387" s="1890"/>
      <c r="D6387" s="2" t="str">
        <f t="shared" si="98"/>
        <v>OK</v>
      </c>
      <c r="E6387" s="2" t="s">
        <v>189</v>
      </c>
      <c r="F6387" s="1" t="s">
        <v>1898</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1898</v>
      </c>
    </row>
    <row r="6411" spans="1:6" x14ac:dyDescent="0.2">
      <c r="A6411" s="126">
        <v>6350</v>
      </c>
      <c r="B6411" s="1890"/>
      <c r="D6411" s="2" t="str">
        <f t="shared" si="99"/>
        <v>OK</v>
      </c>
      <c r="E6411" s="2" t="s">
        <v>189</v>
      </c>
      <c r="F6411" s="1" t="s">
        <v>1898</v>
      </c>
    </row>
    <row r="6412" spans="1:6" x14ac:dyDescent="0.2">
      <c r="A6412" s="126">
        <v>6351</v>
      </c>
      <c r="B6412" s="1890"/>
      <c r="D6412" s="2" t="str">
        <f t="shared" si="99"/>
        <v>OK</v>
      </c>
      <c r="E6412" s="2" t="s">
        <v>189</v>
      </c>
      <c r="F6412" s="1" t="s">
        <v>1898</v>
      </c>
    </row>
    <row r="6413" spans="1:6" x14ac:dyDescent="0.2">
      <c r="A6413" s="126">
        <v>6352</v>
      </c>
      <c r="B6413" s="1890"/>
      <c r="D6413" s="2" t="str">
        <f t="shared" si="99"/>
        <v>OK</v>
      </c>
      <c r="E6413" s="2" t="s">
        <v>189</v>
      </c>
      <c r="F6413" s="1" t="s">
        <v>1898</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1994</v>
      </c>
    </row>
    <row r="6417" spans="1:5" x14ac:dyDescent="0.2">
      <c r="A6417" s="126">
        <v>6356</v>
      </c>
      <c r="B6417" s="1890"/>
      <c r="D6417" s="2" t="str">
        <f t="shared" si="99"/>
        <v>OK</v>
      </c>
      <c r="E6417" s="4" t="s">
        <v>1994</v>
      </c>
    </row>
    <row r="6418" spans="1:5" x14ac:dyDescent="0.2">
      <c r="A6418" s="126">
        <v>6357</v>
      </c>
      <c r="B6418" s="1890"/>
      <c r="D6418" s="2" t="str">
        <f t="shared" si="99"/>
        <v>OK</v>
      </c>
      <c r="E6418" s="4" t="s">
        <v>1994</v>
      </c>
    </row>
    <row r="6419" spans="1:5" x14ac:dyDescent="0.2">
      <c r="A6419" s="126">
        <v>6358</v>
      </c>
      <c r="B6419" s="1890"/>
      <c r="D6419" s="2" t="str">
        <f t="shared" si="99"/>
        <v>OK</v>
      </c>
      <c r="E6419" s="4" t="s">
        <v>1994</v>
      </c>
    </row>
    <row r="6420" spans="1:5" x14ac:dyDescent="0.2">
      <c r="A6420" s="126">
        <v>6359</v>
      </c>
      <c r="B6420" s="1890"/>
      <c r="D6420" s="2" t="str">
        <f t="shared" si="99"/>
        <v>OK</v>
      </c>
      <c r="E6420" s="4" t="s">
        <v>1994</v>
      </c>
    </row>
    <row r="6421" spans="1:5" x14ac:dyDescent="0.2">
      <c r="A6421" s="126">
        <v>6360</v>
      </c>
      <c r="B6421" s="1890"/>
      <c r="D6421" s="2" t="str">
        <f t="shared" si="99"/>
        <v>OK</v>
      </c>
      <c r="E6421" s="4" t="s">
        <v>1994</v>
      </c>
    </row>
    <row r="6422" spans="1:5" x14ac:dyDescent="0.2">
      <c r="A6422" s="126">
        <v>6361</v>
      </c>
      <c r="B6422" s="1890"/>
      <c r="D6422" s="2" t="str">
        <f t="shared" si="99"/>
        <v>OK</v>
      </c>
      <c r="E6422" s="4" t="s">
        <v>1994</v>
      </c>
    </row>
    <row r="6423" spans="1:5" x14ac:dyDescent="0.2">
      <c r="A6423" s="126">
        <v>6362</v>
      </c>
      <c r="B6423" s="1890"/>
      <c r="D6423" s="2" t="str">
        <f t="shared" si="99"/>
        <v>OK</v>
      </c>
      <c r="E6423" s="4" t="s">
        <v>1994</v>
      </c>
    </row>
    <row r="6424" spans="1:5" x14ac:dyDescent="0.2">
      <c r="A6424" s="126">
        <v>6363</v>
      </c>
      <c r="B6424" s="1890"/>
      <c r="D6424" s="2" t="str">
        <f t="shared" si="99"/>
        <v>OK</v>
      </c>
      <c r="E6424" s="4" t="s">
        <v>1994</v>
      </c>
    </row>
    <row r="6425" spans="1:5" x14ac:dyDescent="0.2">
      <c r="A6425" s="126">
        <v>6364</v>
      </c>
      <c r="B6425" s="1890"/>
      <c r="D6425" s="2" t="str">
        <f t="shared" si="99"/>
        <v>OK</v>
      </c>
      <c r="E6425" s="4" t="s">
        <v>1994</v>
      </c>
    </row>
    <row r="6426" spans="1:5" x14ac:dyDescent="0.2">
      <c r="A6426" s="126">
        <v>6365</v>
      </c>
      <c r="B6426" s="1890"/>
      <c r="D6426" s="2" t="str">
        <f t="shared" si="99"/>
        <v>OK</v>
      </c>
      <c r="E6426" s="4" t="s">
        <v>1994</v>
      </c>
    </row>
    <row r="6427" spans="1:5" x14ac:dyDescent="0.2">
      <c r="A6427" s="126">
        <v>6366</v>
      </c>
      <c r="B6427" s="1890"/>
      <c r="D6427" s="2" t="str">
        <f t="shared" si="99"/>
        <v>OK</v>
      </c>
      <c r="E6427" s="4" t="s">
        <v>1994</v>
      </c>
    </row>
    <row r="6428" spans="1:5" x14ac:dyDescent="0.2">
      <c r="A6428" s="126">
        <v>6367</v>
      </c>
      <c r="B6428" s="1890"/>
      <c r="D6428" s="2" t="str">
        <f t="shared" si="99"/>
        <v>OK</v>
      </c>
      <c r="E6428" s="4" t="s">
        <v>1994</v>
      </c>
    </row>
    <row r="6429" spans="1:5" x14ac:dyDescent="0.2">
      <c r="A6429" s="126">
        <v>6368</v>
      </c>
      <c r="B6429" s="1890"/>
      <c r="D6429" s="2" t="str">
        <f t="shared" si="99"/>
        <v>OK</v>
      </c>
      <c r="E6429" s="4" t="s">
        <v>1994</v>
      </c>
    </row>
    <row r="6430" spans="1:5" x14ac:dyDescent="0.2">
      <c r="A6430" s="126">
        <v>6369</v>
      </c>
      <c r="B6430" s="1890"/>
      <c r="D6430" s="2" t="str">
        <f t="shared" si="99"/>
        <v>OK</v>
      </c>
      <c r="E6430" s="4" t="s">
        <v>1994</v>
      </c>
    </row>
    <row r="6431" spans="1:5" x14ac:dyDescent="0.2">
      <c r="A6431" s="126">
        <v>6370</v>
      </c>
      <c r="B6431" s="1890"/>
      <c r="D6431" s="2" t="str">
        <f t="shared" si="99"/>
        <v>OK</v>
      </c>
      <c r="E6431" s="4" t="s">
        <v>1994</v>
      </c>
    </row>
    <row r="6432" spans="1:5" x14ac:dyDescent="0.2">
      <c r="A6432" s="126">
        <v>6371</v>
      </c>
      <c r="B6432" s="1890"/>
      <c r="D6432" s="2" t="str">
        <f t="shared" si="99"/>
        <v>OK</v>
      </c>
      <c r="E6432" s="4" t="s">
        <v>1994</v>
      </c>
    </row>
    <row r="6433" spans="1:5" x14ac:dyDescent="0.2">
      <c r="A6433" s="126">
        <v>6372</v>
      </c>
      <c r="B6433" s="1890"/>
      <c r="D6433" s="2" t="str">
        <f t="shared" si="99"/>
        <v>OK</v>
      </c>
      <c r="E6433" s="4" t="s">
        <v>1994</v>
      </c>
    </row>
    <row r="6434" spans="1:5" x14ac:dyDescent="0.2">
      <c r="A6434" s="126">
        <v>6373</v>
      </c>
      <c r="B6434" s="1890"/>
      <c r="D6434" s="2" t="str">
        <f t="shared" si="99"/>
        <v>OK</v>
      </c>
      <c r="E6434" s="4" t="s">
        <v>1994</v>
      </c>
    </row>
    <row r="6435" spans="1:5" x14ac:dyDescent="0.2">
      <c r="A6435" s="126">
        <v>6374</v>
      </c>
      <c r="B6435" s="1890"/>
      <c r="D6435" s="2" t="str">
        <f t="shared" si="99"/>
        <v>OK</v>
      </c>
      <c r="E6435" s="4" t="s">
        <v>1994</v>
      </c>
    </row>
    <row r="6436" spans="1:5" x14ac:dyDescent="0.2">
      <c r="A6436" s="126">
        <v>6375</v>
      </c>
      <c r="B6436" s="1890"/>
      <c r="D6436" s="2" t="str">
        <f t="shared" si="99"/>
        <v>OK</v>
      </c>
      <c r="E6436" s="4" t="s">
        <v>1994</v>
      </c>
    </row>
    <row r="6437" spans="1:5" x14ac:dyDescent="0.2">
      <c r="A6437" s="126">
        <v>6376</v>
      </c>
      <c r="B6437" s="1890"/>
      <c r="D6437" s="2" t="str">
        <f t="shared" si="99"/>
        <v>OK</v>
      </c>
      <c r="E6437" s="4" t="s">
        <v>1994</v>
      </c>
    </row>
    <row r="6438" spans="1:5" x14ac:dyDescent="0.2">
      <c r="A6438" s="126">
        <v>6377</v>
      </c>
      <c r="B6438" s="1890"/>
      <c r="D6438" s="2" t="str">
        <f t="shared" si="99"/>
        <v>OK</v>
      </c>
      <c r="E6438" s="4" t="s">
        <v>1994</v>
      </c>
    </row>
    <row r="6439" spans="1:5" x14ac:dyDescent="0.2">
      <c r="A6439" s="126">
        <v>6378</v>
      </c>
      <c r="B6439" s="1890"/>
      <c r="D6439" s="2" t="str">
        <f t="shared" si="99"/>
        <v>OK</v>
      </c>
      <c r="E6439" s="4" t="s">
        <v>1994</v>
      </c>
    </row>
    <row r="6440" spans="1:5" x14ac:dyDescent="0.2">
      <c r="A6440" s="126">
        <v>6379</v>
      </c>
      <c r="B6440" s="1890"/>
      <c r="D6440" s="2" t="str">
        <f t="shared" si="99"/>
        <v>OK</v>
      </c>
      <c r="E6440" s="4" t="s">
        <v>1994</v>
      </c>
    </row>
    <row r="6441" spans="1:5" x14ac:dyDescent="0.2">
      <c r="A6441" s="126">
        <v>6380</v>
      </c>
      <c r="B6441" s="1890"/>
      <c r="D6441" s="2" t="str">
        <f t="shared" si="99"/>
        <v>OK</v>
      </c>
      <c r="E6441" s="4" t="s">
        <v>1994</v>
      </c>
    </row>
    <row r="6442" spans="1:5" x14ac:dyDescent="0.2">
      <c r="A6442" s="126">
        <v>6381</v>
      </c>
      <c r="B6442" s="1890"/>
      <c r="D6442" s="2" t="str">
        <f t="shared" si="99"/>
        <v>OK</v>
      </c>
      <c r="E6442" s="4" t="s">
        <v>1994</v>
      </c>
    </row>
    <row r="6443" spans="1:5" x14ac:dyDescent="0.2">
      <c r="A6443" s="126">
        <v>6382</v>
      </c>
      <c r="B6443" s="1890"/>
      <c r="D6443" s="2" t="str">
        <f t="shared" si="99"/>
        <v>OK</v>
      </c>
      <c r="E6443" s="4" t="s">
        <v>1994</v>
      </c>
    </row>
    <row r="6444" spans="1:5" x14ac:dyDescent="0.2">
      <c r="A6444" s="126">
        <v>6383</v>
      </c>
      <c r="B6444" s="1890"/>
      <c r="D6444" s="2" t="str">
        <f t="shared" si="99"/>
        <v>OK</v>
      </c>
      <c r="E6444" s="4" t="s">
        <v>1994</v>
      </c>
    </row>
    <row r="6445" spans="1:5" x14ac:dyDescent="0.2">
      <c r="A6445" s="126">
        <v>6384</v>
      </c>
      <c r="B6445" s="1890"/>
      <c r="D6445" s="2" t="str">
        <f t="shared" si="99"/>
        <v>OK</v>
      </c>
      <c r="E6445" s="4" t="s">
        <v>1994</v>
      </c>
    </row>
    <row r="6446" spans="1:5" x14ac:dyDescent="0.2">
      <c r="A6446" s="126">
        <v>6385</v>
      </c>
      <c r="B6446" s="1890"/>
      <c r="D6446" s="2" t="str">
        <f t="shared" si="99"/>
        <v>OK</v>
      </c>
      <c r="E6446" s="4" t="s">
        <v>1994</v>
      </c>
    </row>
    <row r="6447" spans="1:5" x14ac:dyDescent="0.2">
      <c r="A6447" s="126">
        <v>6386</v>
      </c>
      <c r="B6447" s="1890"/>
      <c r="D6447" s="2" t="str">
        <f t="shared" si="99"/>
        <v>OK</v>
      </c>
      <c r="E6447" s="4" t="s">
        <v>1994</v>
      </c>
    </row>
    <row r="6448" spans="1:5" x14ac:dyDescent="0.2">
      <c r="A6448" s="126">
        <v>6387</v>
      </c>
      <c r="B6448" s="1890"/>
      <c r="D6448" s="2" t="str">
        <f t="shared" si="99"/>
        <v>OK</v>
      </c>
      <c r="E6448" s="4" t="s">
        <v>1994</v>
      </c>
    </row>
    <row r="6449" spans="1:5" x14ac:dyDescent="0.2">
      <c r="A6449" s="126">
        <v>6388</v>
      </c>
      <c r="B6449" s="1890"/>
      <c r="D6449" s="2" t="str">
        <f t="shared" si="99"/>
        <v>OK</v>
      </c>
      <c r="E6449" s="4" t="s">
        <v>1994</v>
      </c>
    </row>
    <row r="6450" spans="1:5" x14ac:dyDescent="0.2">
      <c r="A6450" s="126">
        <v>6389</v>
      </c>
      <c r="B6450" s="1890"/>
      <c r="D6450" s="2" t="str">
        <f t="shared" si="99"/>
        <v>OK</v>
      </c>
      <c r="E6450" s="4" t="s">
        <v>1994</v>
      </c>
    </row>
    <row r="6451" spans="1:5" x14ac:dyDescent="0.2">
      <c r="A6451" s="126">
        <v>6390</v>
      </c>
      <c r="B6451" s="1890"/>
      <c r="D6451" s="2" t="str">
        <f t="shared" si="99"/>
        <v>OK</v>
      </c>
      <c r="E6451" s="4" t="s">
        <v>1994</v>
      </c>
    </row>
    <row r="6452" spans="1:5" x14ac:dyDescent="0.2">
      <c r="A6452" s="126">
        <v>6391</v>
      </c>
      <c r="B6452" s="1890"/>
      <c r="D6452" s="2" t="str">
        <f t="shared" si="99"/>
        <v>OK</v>
      </c>
      <c r="E6452" s="4" t="s">
        <v>1994</v>
      </c>
    </row>
    <row r="6453" spans="1:5" x14ac:dyDescent="0.2">
      <c r="A6453" s="126">
        <v>6392</v>
      </c>
      <c r="B6453" s="1890"/>
      <c r="D6453" s="2" t="str">
        <f t="shared" si="99"/>
        <v>OK</v>
      </c>
      <c r="E6453" s="4" t="s">
        <v>1994</v>
      </c>
    </row>
    <row r="6454" spans="1:5" x14ac:dyDescent="0.2">
      <c r="A6454" s="126">
        <v>6393</v>
      </c>
      <c r="B6454" s="1890"/>
      <c r="D6454" s="2" t="str">
        <f t="shared" si="99"/>
        <v>OK</v>
      </c>
      <c r="E6454" s="4" t="s">
        <v>1994</v>
      </c>
    </row>
    <row r="6455" spans="1:5" x14ac:dyDescent="0.2">
      <c r="A6455" s="126">
        <v>6394</v>
      </c>
      <c r="B6455" s="1890"/>
      <c r="D6455" s="2" t="str">
        <f t="shared" si="99"/>
        <v>OK</v>
      </c>
      <c r="E6455" s="4" t="s">
        <v>1994</v>
      </c>
    </row>
    <row r="6456" spans="1:5" x14ac:dyDescent="0.2">
      <c r="A6456" s="126">
        <v>6395</v>
      </c>
      <c r="B6456" s="1890"/>
      <c r="D6456" s="2" t="str">
        <f t="shared" si="99"/>
        <v>OK</v>
      </c>
      <c r="E6456" s="4" t="s">
        <v>1994</v>
      </c>
    </row>
    <row r="6457" spans="1:5" x14ac:dyDescent="0.2">
      <c r="A6457" s="126">
        <v>6396</v>
      </c>
      <c r="B6457" s="1890"/>
      <c r="D6457" s="2" t="str">
        <f t="shared" si="99"/>
        <v>OK</v>
      </c>
      <c r="E6457" s="4" t="s">
        <v>1994</v>
      </c>
    </row>
    <row r="6458" spans="1:5" x14ac:dyDescent="0.2">
      <c r="A6458" s="126">
        <v>6397</v>
      </c>
      <c r="B6458" s="1890"/>
      <c r="D6458" s="2" t="str">
        <f t="shared" si="99"/>
        <v>OK</v>
      </c>
      <c r="E6458" s="4" t="s">
        <v>1994</v>
      </c>
    </row>
    <row r="6459" spans="1:5" x14ac:dyDescent="0.2">
      <c r="A6459" s="126">
        <v>6398</v>
      </c>
      <c r="B6459" s="1890"/>
      <c r="D6459" s="2" t="str">
        <f t="shared" si="99"/>
        <v>OK</v>
      </c>
      <c r="E6459" s="4" t="s">
        <v>1994</v>
      </c>
    </row>
    <row r="6460" spans="1:5" x14ac:dyDescent="0.2">
      <c r="A6460" s="126">
        <v>6399</v>
      </c>
      <c r="B6460" s="1890"/>
      <c r="D6460" s="2" t="str">
        <f t="shared" si="99"/>
        <v>OK</v>
      </c>
      <c r="E6460" s="4" t="s">
        <v>1994</v>
      </c>
    </row>
    <row r="6461" spans="1:5" x14ac:dyDescent="0.2">
      <c r="A6461" s="126">
        <v>6400</v>
      </c>
      <c r="B6461" s="1890"/>
      <c r="D6461" s="2" t="str">
        <f t="shared" si="99"/>
        <v>OK</v>
      </c>
      <c r="E6461" s="4" t="s">
        <v>1994</v>
      </c>
    </row>
    <row r="6462" spans="1:5" x14ac:dyDescent="0.2">
      <c r="A6462" s="126">
        <v>6401</v>
      </c>
      <c r="B6462" s="1890"/>
      <c r="D6462" s="2" t="str">
        <f t="shared" si="99"/>
        <v>OK</v>
      </c>
      <c r="E6462" s="4" t="s">
        <v>1994</v>
      </c>
    </row>
    <row r="6463" spans="1:5" x14ac:dyDescent="0.2">
      <c r="A6463" s="126">
        <v>6402</v>
      </c>
      <c r="B6463" s="1890"/>
      <c r="D6463" s="2" t="str">
        <f t="shared" ref="D6463:D6526" si="100">IF(ISBLANK(B6463),"OK",IF(A6463-B6463=0,"OK","Error?"))</f>
        <v>OK</v>
      </c>
      <c r="E6463" s="4" t="s">
        <v>1994</v>
      </c>
    </row>
    <row r="6464" spans="1:5" x14ac:dyDescent="0.2">
      <c r="A6464" s="126">
        <v>6403</v>
      </c>
      <c r="B6464" s="1890"/>
      <c r="D6464" s="2" t="str">
        <f t="shared" si="100"/>
        <v>OK</v>
      </c>
      <c r="E6464" s="4" t="s">
        <v>1994</v>
      </c>
    </row>
    <row r="6465" spans="1:5" x14ac:dyDescent="0.2">
      <c r="A6465" s="126">
        <v>6404</v>
      </c>
      <c r="B6465" s="1890"/>
      <c r="D6465" s="2" t="str">
        <f t="shared" si="100"/>
        <v>OK</v>
      </c>
      <c r="E6465" s="4" t="s">
        <v>1994</v>
      </c>
    </row>
    <row r="6466" spans="1:5" x14ac:dyDescent="0.2">
      <c r="A6466" s="126">
        <v>6405</v>
      </c>
      <c r="B6466" s="1890"/>
      <c r="D6466" s="2" t="str">
        <f t="shared" si="100"/>
        <v>OK</v>
      </c>
      <c r="E6466" s="4" t="s">
        <v>1994</v>
      </c>
    </row>
    <row r="6467" spans="1:5" x14ac:dyDescent="0.2">
      <c r="A6467" s="126">
        <v>6406</v>
      </c>
      <c r="B6467" s="1890"/>
      <c r="D6467" s="2" t="str">
        <f t="shared" si="100"/>
        <v>OK</v>
      </c>
      <c r="E6467" s="4" t="s">
        <v>1994</v>
      </c>
    </row>
    <row r="6468" spans="1:5" x14ac:dyDescent="0.2">
      <c r="A6468" s="126">
        <v>6407</v>
      </c>
      <c r="B6468" s="1890"/>
      <c r="D6468" s="2" t="str">
        <f t="shared" si="100"/>
        <v>OK</v>
      </c>
      <c r="E6468" s="4" t="s">
        <v>1994</v>
      </c>
    </row>
    <row r="6469" spans="1:5" x14ac:dyDescent="0.2">
      <c r="A6469" s="126">
        <v>6408</v>
      </c>
      <c r="B6469" s="1890"/>
      <c r="D6469" s="2" t="str">
        <f t="shared" si="100"/>
        <v>OK</v>
      </c>
      <c r="E6469" s="4" t="s">
        <v>1994</v>
      </c>
    </row>
    <row r="6470" spans="1:5" x14ac:dyDescent="0.2">
      <c r="A6470" s="126">
        <v>6409</v>
      </c>
      <c r="B6470" s="1890"/>
      <c r="D6470" s="2" t="str">
        <f t="shared" si="100"/>
        <v>OK</v>
      </c>
      <c r="E6470" s="4" t="s">
        <v>1994</v>
      </c>
    </row>
    <row r="6471" spans="1:5" x14ac:dyDescent="0.2">
      <c r="A6471" s="126">
        <v>6410</v>
      </c>
      <c r="B6471" s="1890"/>
      <c r="D6471" s="2" t="str">
        <f t="shared" si="100"/>
        <v>OK</v>
      </c>
      <c r="E6471" s="4" t="s">
        <v>1994</v>
      </c>
    </row>
    <row r="6472" spans="1:5" x14ac:dyDescent="0.2">
      <c r="A6472" s="126">
        <v>6411</v>
      </c>
      <c r="B6472" s="1890"/>
      <c r="D6472" s="2" t="str">
        <f t="shared" si="100"/>
        <v>OK</v>
      </c>
      <c r="E6472" s="4" t="s">
        <v>1994</v>
      </c>
    </row>
    <row r="6473" spans="1:5" x14ac:dyDescent="0.2">
      <c r="A6473" s="126">
        <v>6412</v>
      </c>
      <c r="B6473" s="1890"/>
      <c r="D6473" s="2" t="str">
        <f t="shared" si="100"/>
        <v>OK</v>
      </c>
      <c r="E6473" s="4" t="s">
        <v>1994</v>
      </c>
    </row>
    <row r="6474" spans="1:5" x14ac:dyDescent="0.2">
      <c r="A6474" s="126">
        <v>6413</v>
      </c>
      <c r="B6474" s="1890"/>
      <c r="D6474" s="2" t="str">
        <f t="shared" si="100"/>
        <v>OK</v>
      </c>
      <c r="E6474" s="4" t="s">
        <v>1994</v>
      </c>
    </row>
    <row r="6475" spans="1:5" x14ac:dyDescent="0.2">
      <c r="A6475" s="126">
        <v>6414</v>
      </c>
      <c r="B6475" s="1890"/>
      <c r="D6475" s="2" t="str">
        <f t="shared" si="100"/>
        <v>OK</v>
      </c>
      <c r="E6475" s="4" t="s">
        <v>1994</v>
      </c>
    </row>
    <row r="6476" spans="1:5" x14ac:dyDescent="0.2">
      <c r="A6476" s="126">
        <v>6415</v>
      </c>
      <c r="B6476" s="1890"/>
      <c r="D6476" s="2" t="str">
        <f t="shared" si="100"/>
        <v>OK</v>
      </c>
      <c r="E6476" s="4" t="s">
        <v>1994</v>
      </c>
    </row>
    <row r="6477" spans="1:5" x14ac:dyDescent="0.2">
      <c r="A6477" s="126">
        <v>6416</v>
      </c>
      <c r="B6477" s="1890"/>
      <c r="D6477" s="2" t="str">
        <f t="shared" si="100"/>
        <v>OK</v>
      </c>
      <c r="E6477" s="4" t="s">
        <v>1994</v>
      </c>
    </row>
    <row r="6478" spans="1:5" x14ac:dyDescent="0.2">
      <c r="A6478" s="126">
        <v>6417</v>
      </c>
      <c r="B6478" s="1890"/>
      <c r="D6478" s="2" t="str">
        <f t="shared" si="100"/>
        <v>OK</v>
      </c>
      <c r="E6478" s="4" t="s">
        <v>1994</v>
      </c>
    </row>
    <row r="6479" spans="1:5" x14ac:dyDescent="0.2">
      <c r="A6479" s="126">
        <v>6418</v>
      </c>
      <c r="B6479" s="1890"/>
      <c r="D6479" s="2" t="str">
        <f t="shared" si="100"/>
        <v>OK</v>
      </c>
      <c r="E6479" s="4" t="s">
        <v>1994</v>
      </c>
    </row>
    <row r="6480" spans="1:5" x14ac:dyDescent="0.2">
      <c r="A6480" s="126">
        <v>6419</v>
      </c>
      <c r="B6480" s="1890"/>
      <c r="D6480" s="2" t="str">
        <f t="shared" si="100"/>
        <v>OK</v>
      </c>
      <c r="E6480" s="4" t="s">
        <v>1994</v>
      </c>
    </row>
    <row r="6481" spans="1:5" x14ac:dyDescent="0.2">
      <c r="A6481" s="126">
        <v>6420</v>
      </c>
      <c r="B6481" s="1890"/>
      <c r="D6481" s="2" t="str">
        <f t="shared" si="100"/>
        <v>OK</v>
      </c>
      <c r="E6481" s="4" t="s">
        <v>1994</v>
      </c>
    </row>
    <row r="6482" spans="1:5" x14ac:dyDescent="0.2">
      <c r="A6482" s="126">
        <v>6421</v>
      </c>
      <c r="B6482" s="1890"/>
      <c r="D6482" s="2" t="str">
        <f t="shared" si="100"/>
        <v>OK</v>
      </c>
      <c r="E6482" s="4" t="s">
        <v>1994</v>
      </c>
    </row>
    <row r="6483" spans="1:5" x14ac:dyDescent="0.2">
      <c r="A6483" s="126">
        <v>6422</v>
      </c>
      <c r="B6483" s="1890"/>
      <c r="D6483" s="2" t="str">
        <f t="shared" si="100"/>
        <v>OK</v>
      </c>
      <c r="E6483" s="4" t="s">
        <v>1994</v>
      </c>
    </row>
    <row r="6484" spans="1:5" x14ac:dyDescent="0.2">
      <c r="A6484" s="126">
        <v>6423</v>
      </c>
      <c r="B6484" s="1890"/>
      <c r="D6484" s="2" t="str">
        <f t="shared" si="100"/>
        <v>OK</v>
      </c>
      <c r="E6484" s="4" t="s">
        <v>1994</v>
      </c>
    </row>
    <row r="6485" spans="1:5" x14ac:dyDescent="0.2">
      <c r="A6485" s="126">
        <v>6424</v>
      </c>
      <c r="B6485" s="1890"/>
      <c r="D6485" s="2" t="str">
        <f t="shared" si="100"/>
        <v>OK</v>
      </c>
      <c r="E6485" s="4" t="s">
        <v>1994</v>
      </c>
    </row>
    <row r="6486" spans="1:5" x14ac:dyDescent="0.2">
      <c r="A6486" s="126">
        <v>6425</v>
      </c>
      <c r="B6486" s="1890"/>
      <c r="D6486" s="2" t="str">
        <f t="shared" si="100"/>
        <v>OK</v>
      </c>
      <c r="E6486" s="4" t="s">
        <v>1994</v>
      </c>
    </row>
    <row r="6487" spans="1:5" x14ac:dyDescent="0.2">
      <c r="A6487" s="126">
        <v>6426</v>
      </c>
      <c r="B6487" s="1890"/>
      <c r="D6487" s="2" t="str">
        <f t="shared" si="100"/>
        <v>OK</v>
      </c>
      <c r="E6487" s="4" t="s">
        <v>1994</v>
      </c>
    </row>
    <row r="6488" spans="1:5" x14ac:dyDescent="0.2">
      <c r="A6488" s="126">
        <v>6427</v>
      </c>
      <c r="B6488" s="1890"/>
      <c r="D6488" s="2" t="str">
        <f t="shared" si="100"/>
        <v>OK</v>
      </c>
      <c r="E6488" s="4" t="s">
        <v>1994</v>
      </c>
    </row>
    <row r="6489" spans="1:5" x14ac:dyDescent="0.2">
      <c r="A6489" s="126">
        <v>6428</v>
      </c>
      <c r="B6489" s="1890"/>
      <c r="D6489" s="2" t="str">
        <f t="shared" si="100"/>
        <v>OK</v>
      </c>
      <c r="E6489" s="4" t="s">
        <v>1994</v>
      </c>
    </row>
    <row r="6490" spans="1:5" x14ac:dyDescent="0.2">
      <c r="A6490" s="126">
        <v>6429</v>
      </c>
      <c r="B6490" s="1890"/>
      <c r="D6490" s="2" t="str">
        <f t="shared" si="100"/>
        <v>OK</v>
      </c>
      <c r="E6490" s="4" t="s">
        <v>1994</v>
      </c>
    </row>
    <row r="6491" spans="1:5" x14ac:dyDescent="0.2">
      <c r="A6491" s="126">
        <v>6430</v>
      </c>
      <c r="B6491" s="1890"/>
      <c r="D6491" s="2" t="str">
        <f t="shared" si="100"/>
        <v>OK</v>
      </c>
      <c r="E6491" s="4" t="s">
        <v>1994</v>
      </c>
    </row>
    <row r="6492" spans="1:5" x14ac:dyDescent="0.2">
      <c r="A6492" s="126">
        <v>6431</v>
      </c>
      <c r="B6492" s="1890"/>
      <c r="D6492" s="2" t="str">
        <f t="shared" si="100"/>
        <v>OK</v>
      </c>
      <c r="E6492" s="4" t="s">
        <v>1994</v>
      </c>
    </row>
    <row r="6493" spans="1:5" x14ac:dyDescent="0.2">
      <c r="A6493" s="126">
        <v>6432</v>
      </c>
      <c r="B6493" s="1890"/>
      <c r="D6493" s="2" t="str">
        <f t="shared" si="100"/>
        <v>OK</v>
      </c>
      <c r="E6493" s="4" t="s">
        <v>1994</v>
      </c>
    </row>
    <row r="6494" spans="1:5" x14ac:dyDescent="0.2">
      <c r="A6494" s="126">
        <v>6433</v>
      </c>
      <c r="B6494" s="1890"/>
      <c r="D6494" s="2" t="str">
        <f t="shared" si="100"/>
        <v>OK</v>
      </c>
      <c r="E6494" s="4" t="s">
        <v>1994</v>
      </c>
    </row>
    <row r="6495" spans="1:5" x14ac:dyDescent="0.2">
      <c r="A6495" s="126">
        <v>6434</v>
      </c>
      <c r="B6495" s="1890"/>
      <c r="D6495" s="2" t="str">
        <f t="shared" si="100"/>
        <v>OK</v>
      </c>
      <c r="E6495" s="4" t="s">
        <v>1994</v>
      </c>
    </row>
    <row r="6496" spans="1:5" x14ac:dyDescent="0.2">
      <c r="A6496" s="126">
        <v>6435</v>
      </c>
      <c r="B6496" s="1890"/>
      <c r="D6496" s="2" t="str">
        <f t="shared" si="100"/>
        <v>OK</v>
      </c>
      <c r="E6496" s="4" t="s">
        <v>1994</v>
      </c>
    </row>
    <row r="6497" spans="1:5" x14ac:dyDescent="0.2">
      <c r="A6497" s="126">
        <v>6436</v>
      </c>
      <c r="B6497" s="1890"/>
      <c r="D6497" s="2" t="str">
        <f t="shared" si="100"/>
        <v>OK</v>
      </c>
      <c r="E6497" s="4" t="s">
        <v>1994</v>
      </c>
    </row>
    <row r="6498" spans="1:5" x14ac:dyDescent="0.2">
      <c r="A6498" s="126">
        <v>6437</v>
      </c>
      <c r="B6498" s="1890"/>
      <c r="D6498" s="2" t="str">
        <f t="shared" si="100"/>
        <v>OK</v>
      </c>
      <c r="E6498" s="4" t="s">
        <v>1994</v>
      </c>
    </row>
    <row r="6499" spans="1:5" x14ac:dyDescent="0.2">
      <c r="A6499" s="126">
        <v>6438</v>
      </c>
      <c r="B6499" s="1890"/>
      <c r="D6499" s="2" t="str">
        <f t="shared" si="100"/>
        <v>OK</v>
      </c>
      <c r="E6499" s="4" t="s">
        <v>1994</v>
      </c>
    </row>
    <row r="6500" spans="1:5" x14ac:dyDescent="0.2">
      <c r="A6500" s="126">
        <v>6439</v>
      </c>
      <c r="B6500" s="1890"/>
      <c r="D6500" s="2" t="str">
        <f t="shared" si="100"/>
        <v>OK</v>
      </c>
      <c r="E6500" s="4" t="s">
        <v>1994</v>
      </c>
    </row>
    <row r="6501" spans="1:5" x14ac:dyDescent="0.2">
      <c r="A6501" s="126">
        <v>6440</v>
      </c>
      <c r="B6501" s="1890"/>
      <c r="D6501" s="2" t="str">
        <f t="shared" si="100"/>
        <v>OK</v>
      </c>
      <c r="E6501" s="4" t="s">
        <v>1994</v>
      </c>
    </row>
    <row r="6502" spans="1:5" x14ac:dyDescent="0.2">
      <c r="A6502" s="126">
        <v>6441</v>
      </c>
      <c r="B6502" s="1890"/>
      <c r="D6502" s="2" t="str">
        <f t="shared" si="100"/>
        <v>OK</v>
      </c>
      <c r="E6502" s="4" t="s">
        <v>1994</v>
      </c>
    </row>
    <row r="6503" spans="1:5" x14ac:dyDescent="0.2">
      <c r="A6503" s="126">
        <v>6442</v>
      </c>
      <c r="B6503" s="1890"/>
      <c r="D6503" s="2" t="str">
        <f t="shared" si="100"/>
        <v>OK</v>
      </c>
      <c r="E6503" s="4" t="s">
        <v>1994</v>
      </c>
    </row>
    <row r="6504" spans="1:5" x14ac:dyDescent="0.2">
      <c r="A6504" s="126">
        <v>6443</v>
      </c>
      <c r="B6504" s="1890"/>
      <c r="D6504" s="2" t="str">
        <f t="shared" si="100"/>
        <v>OK</v>
      </c>
      <c r="E6504" s="4" t="s">
        <v>1994</v>
      </c>
    </row>
    <row r="6505" spans="1:5" x14ac:dyDescent="0.2">
      <c r="A6505" s="126">
        <v>6444</v>
      </c>
      <c r="B6505" s="1890"/>
      <c r="D6505" s="2" t="str">
        <f t="shared" si="100"/>
        <v>OK</v>
      </c>
      <c r="E6505" s="4" t="s">
        <v>1994</v>
      </c>
    </row>
    <row r="6506" spans="1:5" x14ac:dyDescent="0.2">
      <c r="A6506" s="126">
        <v>6445</v>
      </c>
      <c r="B6506" s="1890"/>
      <c r="D6506" s="2" t="str">
        <f t="shared" si="100"/>
        <v>OK</v>
      </c>
      <c r="E6506" s="4" t="s">
        <v>1994</v>
      </c>
    </row>
    <row r="6507" spans="1:5" x14ac:dyDescent="0.2">
      <c r="A6507" s="126">
        <v>6446</v>
      </c>
      <c r="B6507" s="1890"/>
      <c r="D6507" s="2" t="str">
        <f t="shared" si="100"/>
        <v>OK</v>
      </c>
      <c r="E6507" s="4" t="s">
        <v>1994</v>
      </c>
    </row>
    <row r="6508" spans="1:5" x14ac:dyDescent="0.2">
      <c r="A6508" s="126">
        <v>6447</v>
      </c>
      <c r="B6508" s="1890"/>
      <c r="D6508" s="2" t="str">
        <f t="shared" si="100"/>
        <v>OK</v>
      </c>
      <c r="E6508" s="4" t="s">
        <v>1994</v>
      </c>
    </row>
    <row r="6509" spans="1:5" x14ac:dyDescent="0.2">
      <c r="A6509" s="126">
        <v>6448</v>
      </c>
      <c r="B6509" s="1890"/>
      <c r="D6509" s="2" t="str">
        <f t="shared" si="100"/>
        <v>OK</v>
      </c>
      <c r="E6509" s="4" t="s">
        <v>1994</v>
      </c>
    </row>
    <row r="6510" spans="1:5" x14ac:dyDescent="0.2">
      <c r="A6510" s="126">
        <v>6449</v>
      </c>
      <c r="B6510" s="1890"/>
      <c r="D6510" s="2" t="str">
        <f t="shared" si="100"/>
        <v>OK</v>
      </c>
      <c r="E6510" s="4" t="s">
        <v>1994</v>
      </c>
    </row>
    <row r="6511" spans="1:5" x14ac:dyDescent="0.2">
      <c r="A6511" s="126">
        <v>6450</v>
      </c>
      <c r="B6511" s="1890"/>
      <c r="D6511" s="2" t="str">
        <f t="shared" si="100"/>
        <v>OK</v>
      </c>
      <c r="E6511" s="4" t="s">
        <v>1994</v>
      </c>
    </row>
    <row r="6512" spans="1:5" x14ac:dyDescent="0.2">
      <c r="A6512" s="126">
        <v>6451</v>
      </c>
      <c r="B6512" s="1890"/>
      <c r="D6512" s="2" t="str">
        <f t="shared" si="100"/>
        <v>OK</v>
      </c>
      <c r="E6512" s="4" t="s">
        <v>1994</v>
      </c>
    </row>
    <row r="6513" spans="1:5" x14ac:dyDescent="0.2">
      <c r="A6513" s="126">
        <v>6452</v>
      </c>
      <c r="B6513" s="1890"/>
      <c r="D6513" s="2" t="str">
        <f t="shared" si="100"/>
        <v>OK</v>
      </c>
      <c r="E6513" s="4" t="s">
        <v>1994</v>
      </c>
    </row>
    <row r="6514" spans="1:5" x14ac:dyDescent="0.2">
      <c r="A6514" s="126">
        <v>6453</v>
      </c>
      <c r="B6514" s="1890"/>
      <c r="D6514" s="2" t="str">
        <f t="shared" si="100"/>
        <v>OK</v>
      </c>
      <c r="E6514" s="4" t="s">
        <v>1994</v>
      </c>
    </row>
    <row r="6515" spans="1:5" x14ac:dyDescent="0.2">
      <c r="A6515" s="126">
        <v>6454</v>
      </c>
      <c r="B6515" s="1890"/>
      <c r="D6515" s="2" t="str">
        <f t="shared" si="100"/>
        <v>OK</v>
      </c>
      <c r="E6515" s="4" t="s">
        <v>1994</v>
      </c>
    </row>
    <row r="6516" spans="1:5" x14ac:dyDescent="0.2">
      <c r="A6516" s="126">
        <v>6455</v>
      </c>
      <c r="B6516" s="1890"/>
      <c r="D6516" s="2" t="str">
        <f t="shared" si="100"/>
        <v>OK</v>
      </c>
      <c r="E6516" s="4" t="s">
        <v>1994</v>
      </c>
    </row>
    <row r="6517" spans="1:5" x14ac:dyDescent="0.2">
      <c r="A6517" s="126">
        <v>6456</v>
      </c>
      <c r="B6517" s="1890"/>
      <c r="D6517" s="2" t="str">
        <f t="shared" si="100"/>
        <v>OK</v>
      </c>
      <c r="E6517" s="4" t="s">
        <v>1994</v>
      </c>
    </row>
    <row r="6518" spans="1:5" x14ac:dyDescent="0.2">
      <c r="A6518" s="126">
        <v>6457</v>
      </c>
      <c r="B6518" s="1890"/>
      <c r="D6518" s="2" t="str">
        <f t="shared" si="100"/>
        <v>OK</v>
      </c>
      <c r="E6518" s="4" t="s">
        <v>1994</v>
      </c>
    </row>
    <row r="6519" spans="1:5" x14ac:dyDescent="0.2">
      <c r="A6519" s="126">
        <v>6458</v>
      </c>
      <c r="B6519" s="1890"/>
      <c r="D6519" s="2" t="str">
        <f t="shared" si="100"/>
        <v>OK</v>
      </c>
      <c r="E6519" s="4" t="s">
        <v>1994</v>
      </c>
    </row>
    <row r="6520" spans="1:5" x14ac:dyDescent="0.2">
      <c r="A6520" s="126">
        <v>6459</v>
      </c>
      <c r="B6520" s="1890"/>
      <c r="D6520" s="2" t="str">
        <f t="shared" si="100"/>
        <v>OK</v>
      </c>
      <c r="E6520" s="4" t="s">
        <v>1994</v>
      </c>
    </row>
    <row r="6521" spans="1:5" x14ac:dyDescent="0.2">
      <c r="A6521" s="126">
        <v>6460</v>
      </c>
      <c r="B6521" s="1890"/>
      <c r="D6521" s="2" t="str">
        <f t="shared" si="100"/>
        <v>OK</v>
      </c>
      <c r="E6521" s="4" t="s">
        <v>1994</v>
      </c>
    </row>
    <row r="6522" spans="1:5" x14ac:dyDescent="0.2">
      <c r="A6522" s="126">
        <v>6461</v>
      </c>
      <c r="B6522" s="1890"/>
      <c r="D6522" s="2" t="str">
        <f t="shared" si="100"/>
        <v>OK</v>
      </c>
      <c r="E6522" s="4" t="s">
        <v>1994</v>
      </c>
    </row>
    <row r="6523" spans="1:5" x14ac:dyDescent="0.2">
      <c r="A6523" s="126">
        <v>6462</v>
      </c>
      <c r="B6523" s="1890"/>
      <c r="D6523" s="2" t="str">
        <f t="shared" si="100"/>
        <v>OK</v>
      </c>
      <c r="E6523" s="4" t="s">
        <v>1994</v>
      </c>
    </row>
    <row r="6524" spans="1:5" x14ac:dyDescent="0.2">
      <c r="A6524" s="126">
        <v>6463</v>
      </c>
      <c r="B6524" s="1890"/>
      <c r="D6524" s="2" t="str">
        <f t="shared" si="100"/>
        <v>OK</v>
      </c>
      <c r="E6524" s="4" t="s">
        <v>1994</v>
      </c>
    </row>
    <row r="6525" spans="1:5" x14ac:dyDescent="0.2">
      <c r="A6525" s="126">
        <v>6464</v>
      </c>
      <c r="B6525" s="1890"/>
      <c r="D6525" s="2" t="str">
        <f t="shared" si="100"/>
        <v>OK</v>
      </c>
      <c r="E6525" s="4" t="s">
        <v>1994</v>
      </c>
    </row>
    <row r="6526" spans="1:5" x14ac:dyDescent="0.2">
      <c r="A6526" s="126">
        <v>6465</v>
      </c>
      <c r="B6526" s="1890"/>
      <c r="D6526" s="2" t="str">
        <f t="shared" si="100"/>
        <v>OK</v>
      </c>
      <c r="E6526" s="4" t="s">
        <v>1994</v>
      </c>
    </row>
    <row r="6527" spans="1:5" x14ac:dyDescent="0.2">
      <c r="A6527" s="126">
        <v>6466</v>
      </c>
      <c r="B6527" s="1890"/>
      <c r="D6527" s="2" t="str">
        <f t="shared" ref="D6527:D6590" si="101">IF(ISBLANK(B6527),"OK",IF(A6527-B6527=0,"OK","Error?"))</f>
        <v>OK</v>
      </c>
      <c r="E6527" s="4" t="s">
        <v>1994</v>
      </c>
    </row>
    <row r="6528" spans="1:5" x14ac:dyDescent="0.2">
      <c r="A6528" s="126">
        <v>6467</v>
      </c>
      <c r="B6528" s="1890"/>
      <c r="D6528" s="2" t="str">
        <f t="shared" si="101"/>
        <v>OK</v>
      </c>
      <c r="E6528" s="4" t="s">
        <v>1994</v>
      </c>
    </row>
    <row r="6529" spans="1:5" x14ac:dyDescent="0.2">
      <c r="A6529" s="126">
        <v>6468</v>
      </c>
      <c r="B6529" s="1890"/>
      <c r="D6529" s="2" t="str">
        <f t="shared" si="101"/>
        <v>OK</v>
      </c>
      <c r="E6529" s="4" t="s">
        <v>1994</v>
      </c>
    </row>
    <row r="6530" spans="1:5" x14ac:dyDescent="0.2">
      <c r="A6530" s="126">
        <v>6469</v>
      </c>
      <c r="B6530" s="1890"/>
      <c r="D6530" s="2" t="str">
        <f t="shared" si="101"/>
        <v>OK</v>
      </c>
      <c r="E6530" s="4" t="s">
        <v>1994</v>
      </c>
    </row>
    <row r="6531" spans="1:5" x14ac:dyDescent="0.2">
      <c r="A6531" s="126">
        <v>6470</v>
      </c>
      <c r="B6531" s="1890"/>
      <c r="D6531" s="2" t="str">
        <f t="shared" si="101"/>
        <v>OK</v>
      </c>
      <c r="E6531" s="4" t="s">
        <v>1994</v>
      </c>
    </row>
    <row r="6532" spans="1:5" x14ac:dyDescent="0.2">
      <c r="A6532" s="126">
        <v>6471</v>
      </c>
      <c r="B6532" s="1890"/>
      <c r="D6532" s="2" t="str">
        <f t="shared" si="101"/>
        <v>OK</v>
      </c>
      <c r="E6532" s="4" t="s">
        <v>1994</v>
      </c>
    </row>
    <row r="6533" spans="1:5" x14ac:dyDescent="0.2">
      <c r="A6533" s="126">
        <v>6472</v>
      </c>
      <c r="B6533" s="1890"/>
      <c r="D6533" s="2" t="str">
        <f t="shared" si="101"/>
        <v>OK</v>
      </c>
      <c r="E6533" s="4" t="s">
        <v>1994</v>
      </c>
    </row>
    <row r="6534" spans="1:5" x14ac:dyDescent="0.2">
      <c r="A6534" s="126">
        <v>6473</v>
      </c>
      <c r="B6534" s="1890"/>
      <c r="D6534" s="2" t="str">
        <f t="shared" si="101"/>
        <v>OK</v>
      </c>
      <c r="E6534" s="4" t="s">
        <v>1994</v>
      </c>
    </row>
    <row r="6535" spans="1:5" x14ac:dyDescent="0.2">
      <c r="A6535" s="126">
        <v>6474</v>
      </c>
      <c r="B6535" s="1890"/>
      <c r="D6535" s="2" t="str">
        <f t="shared" si="101"/>
        <v>OK</v>
      </c>
      <c r="E6535" s="4" t="s">
        <v>1994</v>
      </c>
    </row>
    <row r="6536" spans="1:5" x14ac:dyDescent="0.2">
      <c r="A6536" s="126">
        <v>6475</v>
      </c>
      <c r="B6536" s="1890"/>
      <c r="D6536" s="2" t="str">
        <f t="shared" si="101"/>
        <v>OK</v>
      </c>
      <c r="E6536" s="4" t="s">
        <v>1994</v>
      </c>
    </row>
    <row r="6537" spans="1:5" x14ac:dyDescent="0.2">
      <c r="A6537" s="126">
        <v>6476</v>
      </c>
      <c r="B6537" s="1890"/>
      <c r="D6537" s="2" t="str">
        <f t="shared" si="101"/>
        <v>OK</v>
      </c>
      <c r="E6537" s="4" t="s">
        <v>1994</v>
      </c>
    </row>
    <row r="6538" spans="1:5" x14ac:dyDescent="0.2">
      <c r="A6538" s="126">
        <v>6477</v>
      </c>
      <c r="B6538" s="1890"/>
      <c r="D6538" s="2" t="str">
        <f t="shared" si="101"/>
        <v>OK</v>
      </c>
      <c r="E6538" s="4" t="s">
        <v>1994</v>
      </c>
    </row>
    <row r="6539" spans="1:5" x14ac:dyDescent="0.2">
      <c r="A6539" s="126">
        <v>6478</v>
      </c>
      <c r="B6539" s="1890"/>
      <c r="D6539" s="2" t="str">
        <f t="shared" si="101"/>
        <v>OK</v>
      </c>
      <c r="E6539" s="4" t="s">
        <v>1994</v>
      </c>
    </row>
    <row r="6540" spans="1:5" x14ac:dyDescent="0.2">
      <c r="A6540" s="126">
        <v>6479</v>
      </c>
      <c r="B6540" s="1890"/>
      <c r="D6540" s="2" t="str">
        <f t="shared" si="101"/>
        <v>OK</v>
      </c>
      <c r="E6540" s="4" t="s">
        <v>1994</v>
      </c>
    </row>
    <row r="6541" spans="1:5" x14ac:dyDescent="0.2">
      <c r="A6541" s="126">
        <v>6480</v>
      </c>
      <c r="B6541" s="1890"/>
      <c r="D6541" s="2" t="str">
        <f t="shared" si="101"/>
        <v>OK</v>
      </c>
      <c r="E6541" s="4" t="s">
        <v>1994</v>
      </c>
    </row>
    <row r="6542" spans="1:5" x14ac:dyDescent="0.2">
      <c r="A6542" s="126">
        <v>6481</v>
      </c>
      <c r="B6542" s="1890"/>
      <c r="D6542" s="2" t="str">
        <f t="shared" si="101"/>
        <v>OK</v>
      </c>
      <c r="E6542" s="4" t="s">
        <v>1994</v>
      </c>
    </row>
    <row r="6543" spans="1:5" x14ac:dyDescent="0.2">
      <c r="A6543" s="126">
        <v>6482</v>
      </c>
      <c r="B6543" s="1890"/>
      <c r="D6543" s="2" t="str">
        <f t="shared" si="101"/>
        <v>OK</v>
      </c>
      <c r="E6543" s="4" t="s">
        <v>1994</v>
      </c>
    </row>
    <row r="6544" spans="1:5" x14ac:dyDescent="0.2">
      <c r="A6544" s="126">
        <v>6483</v>
      </c>
      <c r="B6544" s="1890"/>
      <c r="D6544" s="2" t="str">
        <f t="shared" si="101"/>
        <v>OK</v>
      </c>
      <c r="E6544" s="4" t="s">
        <v>1994</v>
      </c>
    </row>
    <row r="6545" spans="1:5" x14ac:dyDescent="0.2">
      <c r="A6545" s="126">
        <v>6484</v>
      </c>
      <c r="B6545" s="1890"/>
      <c r="D6545" s="2" t="str">
        <f t="shared" si="101"/>
        <v>OK</v>
      </c>
      <c r="E6545" s="4" t="s">
        <v>1994</v>
      </c>
    </row>
    <row r="6546" spans="1:5" x14ac:dyDescent="0.2">
      <c r="A6546" s="126">
        <v>6485</v>
      </c>
      <c r="B6546" s="1890"/>
      <c r="D6546" s="2" t="str">
        <f t="shared" si="101"/>
        <v>OK</v>
      </c>
      <c r="E6546" s="4" t="s">
        <v>1994</v>
      </c>
    </row>
    <row r="6547" spans="1:5" x14ac:dyDescent="0.2">
      <c r="A6547" s="126">
        <v>6486</v>
      </c>
      <c r="B6547" s="1890"/>
      <c r="D6547" s="2" t="str">
        <f t="shared" si="101"/>
        <v>OK</v>
      </c>
      <c r="E6547" s="4" t="s">
        <v>1994</v>
      </c>
    </row>
    <row r="6548" spans="1:5" x14ac:dyDescent="0.2">
      <c r="A6548" s="126">
        <v>6487</v>
      </c>
      <c r="B6548" s="1890"/>
      <c r="D6548" s="2" t="str">
        <f t="shared" si="101"/>
        <v>OK</v>
      </c>
      <c r="E6548" s="4" t="s">
        <v>1994</v>
      </c>
    </row>
    <row r="6549" spans="1:5" x14ac:dyDescent="0.2">
      <c r="A6549" s="126">
        <v>6488</v>
      </c>
      <c r="B6549" s="1890"/>
      <c r="D6549" s="2" t="str">
        <f t="shared" si="101"/>
        <v>OK</v>
      </c>
      <c r="E6549" s="4" t="s">
        <v>1994</v>
      </c>
    </row>
    <row r="6550" spans="1:5" x14ac:dyDescent="0.2">
      <c r="A6550" s="126">
        <v>6489</v>
      </c>
      <c r="B6550" s="1890"/>
      <c r="D6550" s="2" t="str">
        <f t="shared" si="101"/>
        <v>OK</v>
      </c>
      <c r="E6550" s="4" t="s">
        <v>1994</v>
      </c>
    </row>
    <row r="6551" spans="1:5" x14ac:dyDescent="0.2">
      <c r="A6551" s="126">
        <v>6490</v>
      </c>
      <c r="B6551" s="1890"/>
      <c r="D6551" s="2" t="str">
        <f t="shared" si="101"/>
        <v>OK</v>
      </c>
      <c r="E6551" s="4" t="s">
        <v>1994</v>
      </c>
    </row>
    <row r="6552" spans="1:5" x14ac:dyDescent="0.2">
      <c r="A6552" s="126">
        <v>6491</v>
      </c>
      <c r="B6552" s="1890"/>
      <c r="D6552" s="2" t="str">
        <f t="shared" si="101"/>
        <v>OK</v>
      </c>
      <c r="E6552" s="4" t="s">
        <v>1994</v>
      </c>
    </row>
    <row r="6553" spans="1:5" x14ac:dyDescent="0.2">
      <c r="A6553" s="126">
        <v>6492</v>
      </c>
      <c r="B6553" s="1890"/>
      <c r="D6553" s="2" t="str">
        <f t="shared" si="101"/>
        <v>OK</v>
      </c>
      <c r="E6553" s="4" t="s">
        <v>1994</v>
      </c>
    </row>
    <row r="6554" spans="1:5" x14ac:dyDescent="0.2">
      <c r="A6554" s="126">
        <v>6493</v>
      </c>
      <c r="B6554" s="1890"/>
      <c r="D6554" s="2" t="str">
        <f t="shared" si="101"/>
        <v>OK</v>
      </c>
      <c r="E6554" s="4" t="s">
        <v>1994</v>
      </c>
    </row>
    <row r="6555" spans="1:5" x14ac:dyDescent="0.2">
      <c r="A6555" s="126">
        <v>6494</v>
      </c>
      <c r="B6555" s="1890"/>
      <c r="D6555" s="2" t="str">
        <f t="shared" si="101"/>
        <v>OK</v>
      </c>
      <c r="E6555" s="4" t="s">
        <v>1994</v>
      </c>
    </row>
    <row r="6556" spans="1:5" x14ac:dyDescent="0.2">
      <c r="A6556" s="126">
        <v>6495</v>
      </c>
      <c r="B6556" s="1890"/>
      <c r="D6556" s="2" t="str">
        <f t="shared" si="101"/>
        <v>OK</v>
      </c>
      <c r="E6556" s="4" t="s">
        <v>1994</v>
      </c>
    </row>
    <row r="6557" spans="1:5" x14ac:dyDescent="0.2">
      <c r="A6557" s="126">
        <v>6496</v>
      </c>
      <c r="B6557" s="1890"/>
      <c r="D6557" s="2" t="str">
        <f t="shared" si="101"/>
        <v>OK</v>
      </c>
      <c r="E6557" s="4" t="s">
        <v>1994</v>
      </c>
    </row>
    <row r="6558" spans="1:5" x14ac:dyDescent="0.2">
      <c r="A6558" s="126">
        <v>6497</v>
      </c>
      <c r="B6558" s="1890"/>
      <c r="D6558" s="2" t="str">
        <f t="shared" si="101"/>
        <v>OK</v>
      </c>
      <c r="E6558" s="4" t="s">
        <v>1994</v>
      </c>
    </row>
    <row r="6559" spans="1:5" x14ac:dyDescent="0.2">
      <c r="A6559" s="126">
        <v>6498</v>
      </c>
      <c r="B6559" s="1890"/>
      <c r="D6559" s="2" t="str">
        <f t="shared" si="101"/>
        <v>OK</v>
      </c>
      <c r="E6559" s="4" t="s">
        <v>1994</v>
      </c>
    </row>
    <row r="6560" spans="1:5" x14ac:dyDescent="0.2">
      <c r="A6560" s="126">
        <v>6499</v>
      </c>
      <c r="B6560" s="1890"/>
      <c r="D6560" s="2" t="str">
        <f t="shared" si="101"/>
        <v>OK</v>
      </c>
      <c r="E6560" s="4" t="s">
        <v>1994</v>
      </c>
    </row>
    <row r="6561" spans="1:5" x14ac:dyDescent="0.2">
      <c r="A6561" s="126">
        <v>6500</v>
      </c>
      <c r="B6561" s="1890"/>
      <c r="D6561" s="2" t="str">
        <f t="shared" si="101"/>
        <v>OK</v>
      </c>
      <c r="E6561" s="4" t="s">
        <v>1994</v>
      </c>
    </row>
    <row r="6562" spans="1:5" x14ac:dyDescent="0.2">
      <c r="A6562" s="126">
        <v>6501</v>
      </c>
      <c r="B6562" s="1890"/>
      <c r="D6562" s="2" t="str">
        <f t="shared" si="101"/>
        <v>OK</v>
      </c>
      <c r="E6562" s="4" t="s">
        <v>1994</v>
      </c>
    </row>
    <row r="6563" spans="1:5" x14ac:dyDescent="0.2">
      <c r="A6563" s="126">
        <v>6502</v>
      </c>
      <c r="B6563" s="1890"/>
      <c r="D6563" s="2" t="str">
        <f t="shared" si="101"/>
        <v>OK</v>
      </c>
      <c r="E6563" s="4" t="s">
        <v>1994</v>
      </c>
    </row>
    <row r="6564" spans="1:5" x14ac:dyDescent="0.2">
      <c r="A6564" s="126">
        <v>6503</v>
      </c>
      <c r="B6564" s="1890"/>
      <c r="D6564" s="2" t="str">
        <f t="shared" si="101"/>
        <v>OK</v>
      </c>
      <c r="E6564" s="4" t="s">
        <v>1994</v>
      </c>
    </row>
    <row r="6565" spans="1:5" x14ac:dyDescent="0.2">
      <c r="A6565" s="126">
        <v>6504</v>
      </c>
      <c r="B6565" s="1890"/>
      <c r="D6565" s="2" t="str">
        <f t="shared" si="101"/>
        <v>OK</v>
      </c>
      <c r="E6565" s="4" t="s">
        <v>1994</v>
      </c>
    </row>
    <row r="6566" spans="1:5" x14ac:dyDescent="0.2">
      <c r="A6566" s="126">
        <v>6505</v>
      </c>
      <c r="B6566" s="1890"/>
      <c r="D6566" s="2" t="str">
        <f t="shared" si="101"/>
        <v>OK</v>
      </c>
      <c r="E6566" s="4" t="s">
        <v>1994</v>
      </c>
    </row>
    <row r="6567" spans="1:5" x14ac:dyDescent="0.2">
      <c r="A6567" s="126">
        <v>6506</v>
      </c>
      <c r="B6567" s="1890"/>
      <c r="D6567" s="2" t="str">
        <f t="shared" si="101"/>
        <v>OK</v>
      </c>
      <c r="E6567" s="4" t="s">
        <v>1994</v>
      </c>
    </row>
    <row r="6568" spans="1:5" x14ac:dyDescent="0.2">
      <c r="A6568" s="126">
        <v>6507</v>
      </c>
      <c r="B6568" s="1890"/>
      <c r="D6568" s="2" t="str">
        <f t="shared" si="101"/>
        <v>OK</v>
      </c>
      <c r="E6568" s="4" t="s">
        <v>1994</v>
      </c>
    </row>
    <row r="6569" spans="1:5" x14ac:dyDescent="0.2">
      <c r="A6569" s="126">
        <v>6508</v>
      </c>
      <c r="B6569" s="1890"/>
      <c r="D6569" s="2" t="str">
        <f t="shared" si="101"/>
        <v>OK</v>
      </c>
      <c r="E6569" s="4" t="s">
        <v>1994</v>
      </c>
    </row>
    <row r="6570" spans="1:5" x14ac:dyDescent="0.2">
      <c r="A6570" s="126">
        <v>6509</v>
      </c>
      <c r="B6570" s="1890"/>
      <c r="D6570" s="2" t="str">
        <f t="shared" si="101"/>
        <v>OK</v>
      </c>
      <c r="E6570" s="4" t="s">
        <v>1994</v>
      </c>
    </row>
    <row r="6571" spans="1:5" x14ac:dyDescent="0.2">
      <c r="A6571" s="126">
        <v>6510</v>
      </c>
      <c r="B6571" s="1890"/>
      <c r="D6571" s="2" t="str">
        <f t="shared" si="101"/>
        <v>OK</v>
      </c>
      <c r="E6571" s="4" t="s">
        <v>1994</v>
      </c>
    </row>
    <row r="6572" spans="1:5" x14ac:dyDescent="0.2">
      <c r="A6572" s="126">
        <v>6511</v>
      </c>
      <c r="B6572" s="1890"/>
      <c r="D6572" s="2" t="str">
        <f t="shared" si="101"/>
        <v>OK</v>
      </c>
      <c r="E6572" s="4" t="s">
        <v>1994</v>
      </c>
    </row>
    <row r="6573" spans="1:5" x14ac:dyDescent="0.2">
      <c r="A6573" s="126">
        <v>6512</v>
      </c>
      <c r="B6573" s="1890"/>
      <c r="D6573" s="2" t="str">
        <f t="shared" si="101"/>
        <v>OK</v>
      </c>
      <c r="E6573" s="4" t="s">
        <v>1994</v>
      </c>
    </row>
    <row r="6574" spans="1:5" x14ac:dyDescent="0.2">
      <c r="A6574" s="126">
        <v>6513</v>
      </c>
      <c r="B6574" s="1890"/>
      <c r="D6574" s="2" t="str">
        <f t="shared" si="101"/>
        <v>OK</v>
      </c>
      <c r="E6574" s="4" t="s">
        <v>1994</v>
      </c>
    </row>
    <row r="6575" spans="1:5" x14ac:dyDescent="0.2">
      <c r="A6575" s="126">
        <v>6514</v>
      </c>
      <c r="B6575" s="1890"/>
      <c r="D6575" s="2" t="str">
        <f t="shared" si="101"/>
        <v>OK</v>
      </c>
      <c r="E6575" s="4" t="s">
        <v>1994</v>
      </c>
    </row>
    <row r="6576" spans="1:5" x14ac:dyDescent="0.2">
      <c r="A6576" s="126">
        <v>6515</v>
      </c>
      <c r="B6576" s="1890"/>
      <c r="D6576" s="2" t="str">
        <f t="shared" si="101"/>
        <v>OK</v>
      </c>
      <c r="E6576" s="4" t="s">
        <v>1994</v>
      </c>
    </row>
    <row r="6577" spans="1:5" x14ac:dyDescent="0.2">
      <c r="A6577" s="126">
        <v>6516</v>
      </c>
      <c r="B6577" s="1890"/>
      <c r="D6577" s="2" t="str">
        <f t="shared" si="101"/>
        <v>OK</v>
      </c>
      <c r="E6577" s="4" t="s">
        <v>1994</v>
      </c>
    </row>
    <row r="6578" spans="1:5" x14ac:dyDescent="0.2">
      <c r="A6578" s="126">
        <v>6517</v>
      </c>
      <c r="B6578" s="1890"/>
      <c r="D6578" s="2" t="str">
        <f t="shared" si="101"/>
        <v>OK</v>
      </c>
      <c r="E6578" s="4" t="s">
        <v>1994</v>
      </c>
    </row>
    <row r="6579" spans="1:5" x14ac:dyDescent="0.2">
      <c r="A6579" s="126">
        <v>6518</v>
      </c>
      <c r="B6579" s="1890"/>
      <c r="D6579" s="2" t="str">
        <f t="shared" si="101"/>
        <v>OK</v>
      </c>
      <c r="E6579" s="4" t="s">
        <v>1994</v>
      </c>
    </row>
    <row r="6580" spans="1:5" x14ac:dyDescent="0.2">
      <c r="A6580" s="126">
        <v>6519</v>
      </c>
      <c r="B6580" s="1890"/>
      <c r="D6580" s="2" t="str">
        <f t="shared" si="101"/>
        <v>OK</v>
      </c>
      <c r="E6580" s="4" t="s">
        <v>1994</v>
      </c>
    </row>
    <row r="6581" spans="1:5" x14ac:dyDescent="0.2">
      <c r="A6581" s="126">
        <v>6520</v>
      </c>
      <c r="B6581" s="1890"/>
      <c r="D6581" s="2" t="str">
        <f t="shared" si="101"/>
        <v>OK</v>
      </c>
      <c r="E6581" s="4" t="s">
        <v>1994</v>
      </c>
    </row>
    <row r="6582" spans="1:5" x14ac:dyDescent="0.2">
      <c r="A6582" s="126">
        <v>6521</v>
      </c>
      <c r="B6582" s="1890"/>
      <c r="D6582" s="2" t="str">
        <f t="shared" si="101"/>
        <v>OK</v>
      </c>
      <c r="E6582" s="4" t="s">
        <v>1994</v>
      </c>
    </row>
    <row r="6583" spans="1:5" x14ac:dyDescent="0.2">
      <c r="A6583" s="126">
        <v>6522</v>
      </c>
      <c r="B6583" s="1890"/>
      <c r="D6583" s="2" t="str">
        <f t="shared" si="101"/>
        <v>OK</v>
      </c>
      <c r="E6583" s="4" t="s">
        <v>1994</v>
      </c>
    </row>
    <row r="6584" spans="1:5" x14ac:dyDescent="0.2">
      <c r="A6584" s="126">
        <v>6523</v>
      </c>
      <c r="B6584" s="1890"/>
      <c r="D6584" s="2" t="str">
        <f t="shared" si="101"/>
        <v>OK</v>
      </c>
      <c r="E6584" s="4" t="s">
        <v>1994</v>
      </c>
    </row>
    <row r="6585" spans="1:5" x14ac:dyDescent="0.2">
      <c r="A6585" s="126">
        <v>6524</v>
      </c>
      <c r="B6585" s="1890"/>
      <c r="D6585" s="2" t="str">
        <f t="shared" si="101"/>
        <v>OK</v>
      </c>
      <c r="E6585" s="4" t="s">
        <v>1994</v>
      </c>
    </row>
    <row r="6586" spans="1:5" x14ac:dyDescent="0.2">
      <c r="A6586" s="126">
        <v>6525</v>
      </c>
      <c r="B6586" s="1890"/>
      <c r="D6586" s="2" t="str">
        <f t="shared" si="101"/>
        <v>OK</v>
      </c>
      <c r="E6586" s="4" t="s">
        <v>1994</v>
      </c>
    </row>
    <row r="6587" spans="1:5" x14ac:dyDescent="0.2">
      <c r="A6587" s="126">
        <v>6526</v>
      </c>
      <c r="B6587" s="1890"/>
      <c r="D6587" s="2" t="str">
        <f t="shared" si="101"/>
        <v>OK</v>
      </c>
      <c r="E6587" s="4" t="s">
        <v>1994</v>
      </c>
    </row>
    <row r="6588" spans="1:5" x14ac:dyDescent="0.2">
      <c r="A6588" s="126">
        <v>6527</v>
      </c>
      <c r="B6588" s="1890"/>
      <c r="D6588" s="2" t="str">
        <f t="shared" si="101"/>
        <v>OK</v>
      </c>
      <c r="E6588" s="4" t="s">
        <v>1994</v>
      </c>
    </row>
    <row r="6589" spans="1:5" x14ac:dyDescent="0.2">
      <c r="A6589" s="126">
        <v>6528</v>
      </c>
      <c r="B6589" s="1890"/>
      <c r="D6589" s="2" t="str">
        <f t="shared" si="101"/>
        <v>OK</v>
      </c>
      <c r="E6589" s="4" t="s">
        <v>1994</v>
      </c>
    </row>
    <row r="6590" spans="1:5" x14ac:dyDescent="0.2">
      <c r="A6590" s="126">
        <v>6529</v>
      </c>
      <c r="B6590" s="1890"/>
      <c r="D6590" s="2" t="str">
        <f t="shared" si="101"/>
        <v>OK</v>
      </c>
      <c r="E6590" s="4" t="s">
        <v>1994</v>
      </c>
    </row>
    <row r="6591" spans="1:5" x14ac:dyDescent="0.2">
      <c r="A6591" s="126">
        <v>6530</v>
      </c>
      <c r="B6591" s="1890"/>
      <c r="D6591" s="2" t="str">
        <f t="shared" ref="D6591:D6654" si="102">IF(ISBLANK(B6591),"OK",IF(A6591-B6591=0,"OK","Error?"))</f>
        <v>OK</v>
      </c>
      <c r="E6591" s="4" t="s">
        <v>1994</v>
      </c>
    </row>
    <row r="6592" spans="1:5" x14ac:dyDescent="0.2">
      <c r="A6592" s="126">
        <v>6531</v>
      </c>
      <c r="B6592" s="1890"/>
      <c r="D6592" s="2" t="str">
        <f t="shared" si="102"/>
        <v>OK</v>
      </c>
      <c r="E6592" s="4" t="s">
        <v>1994</v>
      </c>
    </row>
    <row r="6593" spans="1:5" x14ac:dyDescent="0.2">
      <c r="A6593" s="126">
        <v>6532</v>
      </c>
      <c r="B6593" s="1890"/>
      <c r="D6593" s="2" t="str">
        <f t="shared" si="102"/>
        <v>OK</v>
      </c>
      <c r="E6593" s="4" t="s">
        <v>1994</v>
      </c>
    </row>
    <row r="6594" spans="1:5" x14ac:dyDescent="0.2">
      <c r="A6594" s="126">
        <v>6533</v>
      </c>
      <c r="B6594" s="1890"/>
      <c r="D6594" s="2" t="str">
        <f t="shared" si="102"/>
        <v>OK</v>
      </c>
      <c r="E6594" s="4" t="s">
        <v>1994</v>
      </c>
    </row>
    <row r="6595" spans="1:5" x14ac:dyDescent="0.2">
      <c r="A6595" s="126">
        <v>6534</v>
      </c>
      <c r="B6595" s="1890"/>
      <c r="D6595" s="2" t="str">
        <f t="shared" si="102"/>
        <v>OK</v>
      </c>
      <c r="E6595" s="4" t="s">
        <v>1994</v>
      </c>
    </row>
    <row r="6596" spans="1:5" x14ac:dyDescent="0.2">
      <c r="A6596" s="126">
        <v>6535</v>
      </c>
      <c r="B6596" s="1890"/>
      <c r="D6596" s="2" t="str">
        <f t="shared" si="102"/>
        <v>OK</v>
      </c>
      <c r="E6596" s="4" t="s">
        <v>1994</v>
      </c>
    </row>
    <row r="6597" spans="1:5" x14ac:dyDescent="0.2">
      <c r="A6597" s="126">
        <v>6536</v>
      </c>
      <c r="B6597" s="1890"/>
      <c r="D6597" s="2" t="str">
        <f t="shared" si="102"/>
        <v>OK</v>
      </c>
      <c r="E6597" s="4" t="s">
        <v>1994</v>
      </c>
    </row>
    <row r="6598" spans="1:5" x14ac:dyDescent="0.2">
      <c r="A6598" s="126">
        <v>6537</v>
      </c>
      <c r="B6598" s="1890"/>
      <c r="D6598" s="2" t="str">
        <f t="shared" si="102"/>
        <v>OK</v>
      </c>
      <c r="E6598" s="4" t="s">
        <v>1994</v>
      </c>
    </row>
    <row r="6599" spans="1:5" x14ac:dyDescent="0.2">
      <c r="A6599" s="126">
        <v>6538</v>
      </c>
      <c r="B6599" s="1890"/>
      <c r="D6599" s="2" t="str">
        <f t="shared" si="102"/>
        <v>OK</v>
      </c>
      <c r="E6599" s="4" t="s">
        <v>1994</v>
      </c>
    </row>
    <row r="6600" spans="1:5" x14ac:dyDescent="0.2">
      <c r="A6600" s="126">
        <v>6539</v>
      </c>
      <c r="B6600" s="1890"/>
      <c r="D6600" s="2" t="str">
        <f t="shared" si="102"/>
        <v>OK</v>
      </c>
      <c r="E6600" s="4" t="s">
        <v>1994</v>
      </c>
    </row>
    <row r="6601" spans="1:5" x14ac:dyDescent="0.2">
      <c r="A6601" s="126">
        <v>6540</v>
      </c>
      <c r="B6601" s="1890"/>
      <c r="D6601" s="2" t="str">
        <f t="shared" si="102"/>
        <v>OK</v>
      </c>
      <c r="E6601" s="4" t="s">
        <v>1994</v>
      </c>
    </row>
    <row r="6602" spans="1:5" x14ac:dyDescent="0.2">
      <c r="A6602" s="126">
        <v>6541</v>
      </c>
      <c r="B6602" s="1890"/>
      <c r="D6602" s="2" t="str">
        <f t="shared" si="102"/>
        <v>OK</v>
      </c>
      <c r="E6602" s="4" t="s">
        <v>1994</v>
      </c>
    </row>
    <row r="6603" spans="1:5" x14ac:dyDescent="0.2">
      <c r="A6603" s="126">
        <v>6542</v>
      </c>
      <c r="B6603" s="1890"/>
      <c r="D6603" s="2" t="str">
        <f t="shared" si="102"/>
        <v>OK</v>
      </c>
      <c r="E6603" s="4" t="s">
        <v>1994</v>
      </c>
    </row>
    <row r="6604" spans="1:5" x14ac:dyDescent="0.2">
      <c r="A6604" s="126">
        <v>6543</v>
      </c>
      <c r="B6604" s="1890"/>
      <c r="D6604" s="2" t="str">
        <f t="shared" si="102"/>
        <v>OK</v>
      </c>
      <c r="E6604" s="4" t="s">
        <v>1994</v>
      </c>
    </row>
    <row r="6605" spans="1:5" x14ac:dyDescent="0.2">
      <c r="A6605" s="126">
        <v>6544</v>
      </c>
      <c r="B6605" s="1890"/>
      <c r="D6605" s="2" t="str">
        <f t="shared" si="102"/>
        <v>OK</v>
      </c>
      <c r="E6605" s="4" t="s">
        <v>1994</v>
      </c>
    </row>
    <row r="6606" spans="1:5" x14ac:dyDescent="0.2">
      <c r="A6606" s="126">
        <v>6545</v>
      </c>
      <c r="B6606" s="1890"/>
      <c r="D6606" s="2" t="str">
        <f t="shared" si="102"/>
        <v>OK</v>
      </c>
      <c r="E6606" s="4" t="s">
        <v>1994</v>
      </c>
    </row>
    <row r="6607" spans="1:5" x14ac:dyDescent="0.2">
      <c r="A6607" s="126">
        <v>6546</v>
      </c>
      <c r="B6607" s="1890"/>
      <c r="D6607" s="2" t="str">
        <f t="shared" si="102"/>
        <v>OK</v>
      </c>
      <c r="E6607" s="4" t="s">
        <v>1994</v>
      </c>
    </row>
    <row r="6608" spans="1:5" x14ac:dyDescent="0.2">
      <c r="A6608" s="126">
        <v>6547</v>
      </c>
      <c r="B6608" s="1890"/>
      <c r="D6608" s="2" t="str">
        <f t="shared" si="102"/>
        <v>OK</v>
      </c>
      <c r="E6608" s="4" t="s">
        <v>1994</v>
      </c>
    </row>
    <row r="6609" spans="1:5" x14ac:dyDescent="0.2">
      <c r="A6609" s="126">
        <v>6548</v>
      </c>
      <c r="B6609" s="1890"/>
      <c r="D6609" s="2" t="str">
        <f t="shared" si="102"/>
        <v>OK</v>
      </c>
      <c r="E6609" s="4" t="s">
        <v>1994</v>
      </c>
    </row>
    <row r="6610" spans="1:5" x14ac:dyDescent="0.2">
      <c r="A6610" s="126">
        <v>6549</v>
      </c>
      <c r="B6610" s="1890"/>
      <c r="D6610" s="2" t="str">
        <f t="shared" si="102"/>
        <v>OK</v>
      </c>
      <c r="E6610" s="4" t="s">
        <v>1994</v>
      </c>
    </row>
    <row r="6611" spans="1:5" x14ac:dyDescent="0.2">
      <c r="A6611" s="126">
        <v>6550</v>
      </c>
      <c r="B6611" s="1890"/>
      <c r="D6611" s="2" t="str">
        <f t="shared" si="102"/>
        <v>OK</v>
      </c>
      <c r="E6611" s="4" t="s">
        <v>1994</v>
      </c>
    </row>
    <row r="6612" spans="1:5" x14ac:dyDescent="0.2">
      <c r="A6612" s="126">
        <v>6551</v>
      </c>
      <c r="B6612" s="1890"/>
      <c r="D6612" s="2" t="str">
        <f t="shared" si="102"/>
        <v>OK</v>
      </c>
      <c r="E6612" s="4" t="s">
        <v>1994</v>
      </c>
    </row>
    <row r="6613" spans="1:5" x14ac:dyDescent="0.2">
      <c r="A6613" s="126">
        <v>6552</v>
      </c>
      <c r="B6613" s="1890"/>
      <c r="D6613" s="2" t="str">
        <f t="shared" si="102"/>
        <v>OK</v>
      </c>
      <c r="E6613" s="4" t="s">
        <v>1994</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134296</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1898</v>
      </c>
    </row>
    <row r="6842" spans="1:5" x14ac:dyDescent="0.2">
      <c r="A6842" s="126">
        <v>6781</v>
      </c>
      <c r="B6842" s="1890"/>
      <c r="D6842" s="2" t="str">
        <f t="shared" si="105"/>
        <v>OK</v>
      </c>
      <c r="E6842" s="1" t="s">
        <v>1898</v>
      </c>
    </row>
    <row r="6843" spans="1:5" x14ac:dyDescent="0.2">
      <c r="A6843" s="126">
        <v>6782</v>
      </c>
      <c r="B6843" s="1890"/>
      <c r="D6843" s="2" t="str">
        <f t="shared" si="105"/>
        <v>OK</v>
      </c>
      <c r="E6843" s="1" t="s">
        <v>1898</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149611</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1320035</v>
      </c>
      <c r="D6983" s="2" t="str">
        <f t="shared" si="108"/>
        <v>Error?</v>
      </c>
    </row>
    <row r="6984" spans="1:4" x14ac:dyDescent="0.2">
      <c r="A6984">
        <v>6923</v>
      </c>
      <c r="B6984" s="1890">
        <f>'Expenditures 15-22'!K86</f>
        <v>1320035</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105110</v>
      </c>
      <c r="D6987" s="2" t="str">
        <f t="shared" si="108"/>
        <v>Error?</v>
      </c>
    </row>
    <row r="6988" spans="1:4" x14ac:dyDescent="0.2">
      <c r="A6988">
        <v>6927</v>
      </c>
      <c r="B6988" s="1890">
        <f>'Expenditures 15-22'!K88</f>
        <v>105110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1425145</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987837</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1247060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8100</v>
      </c>
      <c r="D7073" s="2" t="str">
        <f t="shared" si="109"/>
        <v>Error?</v>
      </c>
    </row>
    <row r="7074" spans="1:4" x14ac:dyDescent="0.2">
      <c r="A7074">
        <v>7013</v>
      </c>
      <c r="B7074" s="1890">
        <f>'Expenditures 15-22'!K216</f>
        <v>8100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47569</v>
      </c>
      <c r="D7093" s="2" t="str">
        <f t="shared" si="109"/>
        <v>Error?</v>
      </c>
    </row>
    <row r="7094" spans="1:4" x14ac:dyDescent="0.2">
      <c r="A7094">
        <v>7033</v>
      </c>
      <c r="B7094" s="1890">
        <f>'Expenditures 15-22'!K254</f>
        <v>47569</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355969</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355969</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419135</v>
      </c>
      <c r="D7172" s="2" t="str">
        <f t="shared" si="111"/>
        <v>Error?</v>
      </c>
    </row>
    <row r="7173" spans="1:4" x14ac:dyDescent="0.2">
      <c r="A7173">
        <v>7112</v>
      </c>
      <c r="B7173" s="1890">
        <f>'Expenditures 15-22'!D325</f>
        <v>10069</v>
      </c>
      <c r="D7173" s="2" t="str">
        <f t="shared" si="111"/>
        <v>Error?</v>
      </c>
    </row>
    <row r="7174" spans="1:4" x14ac:dyDescent="0.2">
      <c r="A7174">
        <v>7113</v>
      </c>
      <c r="B7174" s="1890">
        <f>'Expenditures 15-22'!E325</f>
        <v>130526</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72138</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631868</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419135</v>
      </c>
      <c r="D7199" s="2" t="str">
        <f t="shared" si="111"/>
        <v>Error?</v>
      </c>
    </row>
    <row r="7200" spans="1:4" x14ac:dyDescent="0.2">
      <c r="A7200">
        <v>7139</v>
      </c>
      <c r="B7200" s="1890">
        <f>'Expenditures 15-22'!D330</f>
        <v>10069</v>
      </c>
      <c r="D7200" s="2" t="str">
        <f t="shared" si="111"/>
        <v>Error?</v>
      </c>
    </row>
    <row r="7201" spans="1:4" x14ac:dyDescent="0.2">
      <c r="A7201">
        <v>7140</v>
      </c>
      <c r="B7201" s="1890">
        <f>'Expenditures 15-22'!E330</f>
        <v>486495</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72138</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987837</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419135</v>
      </c>
      <c r="D7216" s="2" t="str">
        <f t="shared" si="111"/>
        <v>Error?</v>
      </c>
    </row>
    <row r="7217" spans="1:4" x14ac:dyDescent="0.2">
      <c r="A7217">
        <v>7156</v>
      </c>
      <c r="B7217" s="1890">
        <f>'Expenditures 15-22'!D342</f>
        <v>10069</v>
      </c>
      <c r="D7217" s="2" t="str">
        <f t="shared" si="111"/>
        <v>Error?</v>
      </c>
    </row>
    <row r="7218" spans="1:4" x14ac:dyDescent="0.2">
      <c r="A7218">
        <v>7157</v>
      </c>
      <c r="B7218" s="1890">
        <f>'Expenditures 15-22'!E342</f>
        <v>486495</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72138</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987837</v>
      </c>
      <c r="D7224" s="2" t="str">
        <f t="shared" si="111"/>
        <v>Error?</v>
      </c>
    </row>
    <row r="7225" spans="1:4" x14ac:dyDescent="0.2">
      <c r="A7225">
        <v>7164</v>
      </c>
      <c r="B7225" s="1890">
        <f>'Expenditures 15-22'!K343</f>
        <v>259223</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11006</v>
      </c>
      <c r="D7246" s="2" t="str">
        <f t="shared" si="112"/>
        <v>Error?</v>
      </c>
    </row>
    <row r="7247" spans="1:4" x14ac:dyDescent="0.2">
      <c r="A7247">
        <f t="shared" si="113"/>
        <v>7186</v>
      </c>
      <c r="B7247" s="1890">
        <f>'Expenditures 15-22'!E7</f>
        <v>755</v>
      </c>
      <c r="D7247" s="2" t="str">
        <f t="shared" si="112"/>
        <v>Error?</v>
      </c>
    </row>
    <row r="7248" spans="1:4" x14ac:dyDescent="0.2">
      <c r="A7248">
        <f t="shared" si="113"/>
        <v>7187</v>
      </c>
      <c r="B7248" s="1890">
        <f>'Expenditures 15-22'!F7</f>
        <v>3554</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1295176</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1995</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1995</v>
      </c>
    </row>
    <row r="7641" spans="1:6" x14ac:dyDescent="0.2">
      <c r="A7641" s="126">
        <f t="shared" si="125"/>
        <v>7580</v>
      </c>
      <c r="B7641" s="1891"/>
      <c r="D7641" s="2" t="str">
        <f t="shared" si="124"/>
        <v>OK</v>
      </c>
      <c r="E7641" s="4" t="s">
        <v>1995</v>
      </c>
    </row>
    <row r="7642" spans="1:6" x14ac:dyDescent="0.2">
      <c r="A7642" s="126">
        <f t="shared" si="125"/>
        <v>7581</v>
      </c>
      <c r="B7642" s="1891"/>
      <c r="D7642" s="2" t="str">
        <f t="shared" si="124"/>
        <v>OK</v>
      </c>
      <c r="E7642" s="4" t="s">
        <v>1995</v>
      </c>
    </row>
    <row r="7643" spans="1:6" x14ac:dyDescent="0.2">
      <c r="A7643" s="126">
        <f t="shared" si="125"/>
        <v>7582</v>
      </c>
      <c r="B7643" s="1891"/>
      <c r="D7643" s="2" t="str">
        <f t="shared" si="124"/>
        <v>OK</v>
      </c>
      <c r="E7643" s="4" t="s">
        <v>1995</v>
      </c>
    </row>
    <row r="7644" spans="1:6" x14ac:dyDescent="0.2">
      <c r="A7644" s="126">
        <f t="shared" si="125"/>
        <v>7583</v>
      </c>
      <c r="B7644" s="1891"/>
      <c r="D7644" s="2" t="str">
        <f t="shared" si="124"/>
        <v>OK</v>
      </c>
      <c r="E7644" s="4" t="s">
        <v>1995</v>
      </c>
    </row>
    <row r="7645" spans="1:6" x14ac:dyDescent="0.2">
      <c r="A7645" s="126">
        <f t="shared" si="125"/>
        <v>7584</v>
      </c>
      <c r="B7645" s="1891"/>
      <c r="D7645" s="2" t="str">
        <f t="shared" si="124"/>
        <v>OK</v>
      </c>
      <c r="E7645" s="4" t="s">
        <v>1995</v>
      </c>
    </row>
    <row r="7646" spans="1:6" x14ac:dyDescent="0.2">
      <c r="A7646" s="126">
        <f t="shared" si="125"/>
        <v>7585</v>
      </c>
      <c r="B7646" s="1891"/>
      <c r="D7646" s="2" t="str">
        <f t="shared" si="124"/>
        <v>OK</v>
      </c>
      <c r="E7646" s="4" t="s">
        <v>1995</v>
      </c>
    </row>
    <row r="7647" spans="1:6" x14ac:dyDescent="0.2">
      <c r="A7647" s="126">
        <f t="shared" si="125"/>
        <v>7586</v>
      </c>
      <c r="B7647" s="1891"/>
      <c r="D7647" s="2" t="str">
        <f t="shared" si="124"/>
        <v>OK</v>
      </c>
      <c r="E7647" s="4" t="s">
        <v>1995</v>
      </c>
    </row>
    <row r="7648" spans="1:6" x14ac:dyDescent="0.2">
      <c r="A7648" s="126">
        <f t="shared" si="125"/>
        <v>7587</v>
      </c>
      <c r="B7648" s="1891"/>
      <c r="D7648" s="2" t="str">
        <f t="shared" si="124"/>
        <v>OK</v>
      </c>
      <c r="E7648" s="4" t="s">
        <v>1995</v>
      </c>
    </row>
    <row r="7649" spans="1:5" x14ac:dyDescent="0.2">
      <c r="A7649" s="126">
        <f t="shared" si="125"/>
        <v>7588</v>
      </c>
      <c r="B7649" s="1891"/>
      <c r="D7649" s="2" t="str">
        <f t="shared" si="124"/>
        <v>OK</v>
      </c>
      <c r="E7649" s="4" t="s">
        <v>1995</v>
      </c>
    </row>
    <row r="7650" spans="1:5" x14ac:dyDescent="0.2">
      <c r="A7650" s="126">
        <f t="shared" si="125"/>
        <v>7589</v>
      </c>
      <c r="B7650" s="1891"/>
      <c r="D7650" s="2" t="str">
        <f t="shared" si="124"/>
        <v>OK</v>
      </c>
      <c r="E7650" s="4" t="s">
        <v>1995</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2700872</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16125</v>
      </c>
      <c r="D7712" s="2" t="str">
        <f t="shared" si="126"/>
        <v>Error?</v>
      </c>
      <c r="E7712" s="2" t="s">
        <v>822</v>
      </c>
    </row>
    <row r="7713" spans="1:6" x14ac:dyDescent="0.2">
      <c r="A7713">
        <v>7652</v>
      </c>
      <c r="B7713" s="1890">
        <f>'Rest Tax Levies-Tort Im 25'!J8</f>
        <v>1314220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1314220</v>
      </c>
      <c r="D7718" s="2" t="str">
        <f t="shared" si="126"/>
        <v>Error?</v>
      </c>
      <c r="E7718" s="2" t="s">
        <v>822</v>
      </c>
    </row>
    <row r="7719" spans="1:6" x14ac:dyDescent="0.2">
      <c r="A7719">
        <v>7658</v>
      </c>
      <c r="B7719" s="1890">
        <f>'Rest Tax Levies-Tort Im 25'!K12</f>
        <v>16125</v>
      </c>
      <c r="D7719" s="2" t="str">
        <f t="shared" si="126"/>
        <v>Error?</v>
      </c>
      <c r="E7719" s="2" t="s">
        <v>822</v>
      </c>
    </row>
    <row r="7720" spans="1:6" x14ac:dyDescent="0.2">
      <c r="A7720">
        <v>7659</v>
      </c>
      <c r="B7720" s="1890">
        <f>'Rest Tax Levies-Tort Im 25'!H14</f>
        <v>147444</v>
      </c>
      <c r="D7720" s="2" t="str">
        <f t="shared" si="126"/>
        <v>Error?</v>
      </c>
      <c r="E7720" s="2" t="s">
        <v>822</v>
      </c>
    </row>
    <row r="7721" spans="1:6" x14ac:dyDescent="0.2">
      <c r="A7721">
        <v>7660</v>
      </c>
      <c r="B7721" s="1890">
        <f>'Rest Tax Levies-Tort Im 25'!K14</f>
        <v>16125</v>
      </c>
      <c r="D7721" s="2" t="str">
        <f t="shared" si="126"/>
        <v>Error?</v>
      </c>
      <c r="E7721" s="2" t="s">
        <v>822</v>
      </c>
    </row>
    <row r="7722" spans="1:6" x14ac:dyDescent="0.2">
      <c r="A7722">
        <v>7661</v>
      </c>
      <c r="B7722" s="1890">
        <f>'Rest Tax Levies-Tort Im 25'!J15</f>
        <v>1541265</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660000</v>
      </c>
      <c r="D7724" s="2" t="str">
        <f t="shared" si="126"/>
        <v>Error?</v>
      </c>
      <c r="E7724" s="2" t="s">
        <v>822</v>
      </c>
      <c r="F7724" s="2"/>
    </row>
    <row r="7725" spans="1:6" x14ac:dyDescent="0.2">
      <c r="A7725">
        <v>7664</v>
      </c>
      <c r="B7725" s="1890">
        <f>'Rest Tax Levies-Tort Im 25'!J19</f>
        <v>590000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1250000</v>
      </c>
      <c r="D7727" s="2" t="str">
        <f t="shared" si="126"/>
        <v>Error?</v>
      </c>
      <c r="E7727" s="2" t="s">
        <v>822</v>
      </c>
    </row>
    <row r="7728" spans="1:6" x14ac:dyDescent="0.2">
      <c r="A7728">
        <v>7667</v>
      </c>
      <c r="B7728" s="1890">
        <f>'Revenues 9-14'!E103</f>
        <v>1088587</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2791265</v>
      </c>
      <c r="D7730" s="2" t="str">
        <f t="shared" si="126"/>
        <v>Error?</v>
      </c>
      <c r="E7730" s="2" t="s">
        <v>822</v>
      </c>
    </row>
    <row r="7731" spans="1:6" x14ac:dyDescent="0.2">
      <c r="A7731">
        <v>7670</v>
      </c>
      <c r="B7731" s="1890">
        <f>'Revenues 9-14'!H103</f>
        <v>225633</v>
      </c>
      <c r="D7731" s="2" t="str">
        <f t="shared" si="126"/>
        <v>Error?</v>
      </c>
      <c r="E7731" s="2" t="s">
        <v>822</v>
      </c>
    </row>
    <row r="7732" spans="1:6" x14ac:dyDescent="0.2">
      <c r="A7732">
        <v>7671</v>
      </c>
      <c r="B7732" s="1890">
        <f>'Rest Tax Levies-Tort Im 25'!J24</f>
        <v>1223827</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1223827</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311234</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400623</v>
      </c>
      <c r="D7759" s="2" t="str">
        <f t="shared" si="127"/>
        <v>Error?</v>
      </c>
      <c r="E7759" s="4" t="s">
        <v>1324</v>
      </c>
    </row>
    <row r="7760" spans="1:6" x14ac:dyDescent="0.2">
      <c r="A7760">
        <v>7699</v>
      </c>
      <c r="B7760" s="1890">
        <f>'Aud Quest 2'!J90</f>
        <v>400623</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1997</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1826</v>
      </c>
    </row>
    <row r="7775" spans="1:5" x14ac:dyDescent="0.2">
      <c r="A7775">
        <v>7714</v>
      </c>
      <c r="B7775" s="1890">
        <f>'Expenditures 15-22'!H133</f>
        <v>0</v>
      </c>
      <c r="D7775" s="2" t="str">
        <f t="shared" si="127"/>
        <v>Error?</v>
      </c>
      <c r="E7775" s="4" t="s">
        <v>1826</v>
      </c>
    </row>
    <row r="7776" spans="1:5" x14ac:dyDescent="0.2">
      <c r="A7776">
        <v>7715</v>
      </c>
      <c r="B7776" s="1890">
        <f>'Expenditures 15-22'!K133</f>
        <v>0</v>
      </c>
      <c r="D7776" s="2" t="str">
        <f t="shared" si="127"/>
        <v>Error?</v>
      </c>
      <c r="E7776" s="4" t="s">
        <v>1826</v>
      </c>
    </row>
    <row r="7777" spans="1:5" x14ac:dyDescent="0.2">
      <c r="A7777">
        <v>7716</v>
      </c>
      <c r="B7777" s="1890">
        <f>'Expenditures 15-22'!H157</f>
        <v>0</v>
      </c>
      <c r="D7777" s="2" t="str">
        <f t="shared" si="127"/>
        <v>Error?</v>
      </c>
      <c r="E7777" s="4" t="s">
        <v>1826</v>
      </c>
    </row>
    <row r="7778" spans="1:5" x14ac:dyDescent="0.2">
      <c r="A7778">
        <v>7717</v>
      </c>
      <c r="B7778" s="1890">
        <f>'Expenditures 15-22'!K157</f>
        <v>0</v>
      </c>
      <c r="D7778" s="2" t="str">
        <f t="shared" si="127"/>
        <v>Error?</v>
      </c>
      <c r="E7778" s="4" t="s">
        <v>1826</v>
      </c>
    </row>
    <row r="7779" spans="1:5" x14ac:dyDescent="0.2">
      <c r="A7779">
        <v>7718</v>
      </c>
      <c r="B7779" s="1890">
        <f>'Expenditures 15-22'!H158</f>
        <v>0</v>
      </c>
      <c r="D7779" s="2" t="str">
        <f t="shared" si="127"/>
        <v>Error?</v>
      </c>
      <c r="E7779" s="4" t="s">
        <v>1826</v>
      </c>
    </row>
    <row r="7780" spans="1:5" x14ac:dyDescent="0.2">
      <c r="A7780">
        <v>7719</v>
      </c>
      <c r="B7780" s="1890">
        <f>'Expenditures 15-22'!K158</f>
        <v>0</v>
      </c>
      <c r="D7780" s="2" t="str">
        <f t="shared" si="127"/>
        <v>Error?</v>
      </c>
      <c r="E7780" s="4" t="s">
        <v>1826</v>
      </c>
    </row>
    <row r="7781" spans="1:5" x14ac:dyDescent="0.2">
      <c r="A7781">
        <v>7720</v>
      </c>
      <c r="B7781" s="1890">
        <f>'Expenditures 15-22'!H159</f>
        <v>0</v>
      </c>
      <c r="D7781" s="2" t="str">
        <f t="shared" si="127"/>
        <v>Error?</v>
      </c>
      <c r="E7781" s="4" t="s">
        <v>1826</v>
      </c>
    </row>
    <row r="7782" spans="1:5" x14ac:dyDescent="0.2">
      <c r="A7782">
        <v>7721</v>
      </c>
      <c r="B7782" s="1890">
        <f>'Expenditures 15-22'!K159</f>
        <v>0</v>
      </c>
      <c r="D7782" s="2" t="str">
        <f t="shared" si="127"/>
        <v>Error?</v>
      </c>
      <c r="E7782" s="4" t="s">
        <v>1826</v>
      </c>
    </row>
    <row r="7783" spans="1:5" x14ac:dyDescent="0.2">
      <c r="A7783">
        <v>7722</v>
      </c>
      <c r="B7783" s="1890">
        <f>'Expenditures 15-22'!D282</f>
        <v>0</v>
      </c>
      <c r="D7783" s="2" t="str">
        <f t="shared" si="127"/>
        <v>Error?</v>
      </c>
      <c r="E7783" s="4" t="s">
        <v>1826</v>
      </c>
    </row>
    <row r="7784" spans="1:5" x14ac:dyDescent="0.2">
      <c r="A7784">
        <v>7723</v>
      </c>
      <c r="B7784" s="1890">
        <f>'Expenditures 15-22'!K282</f>
        <v>0</v>
      </c>
      <c r="D7784" s="2" t="str">
        <f t="shared" si="127"/>
        <v>Error?</v>
      </c>
      <c r="E7784" s="4" t="s">
        <v>1826</v>
      </c>
    </row>
    <row r="7785" spans="1:5" x14ac:dyDescent="0.2">
      <c r="A7785">
        <v>7724</v>
      </c>
      <c r="B7785" s="1890">
        <f>'Expenditures 15-22'!H332</f>
        <v>0</v>
      </c>
      <c r="D7785" s="2" t="str">
        <f t="shared" si="127"/>
        <v>Error?</v>
      </c>
      <c r="E7785" s="4" t="s">
        <v>1826</v>
      </c>
    </row>
    <row r="7786" spans="1:5" x14ac:dyDescent="0.2">
      <c r="A7786">
        <v>7725</v>
      </c>
      <c r="B7786" s="1890">
        <f>'Expenditures 15-22'!K332</f>
        <v>0</v>
      </c>
      <c r="D7786" s="2" t="str">
        <f t="shared" si="127"/>
        <v>Error?</v>
      </c>
      <c r="E7786" s="4" t="s">
        <v>1826</v>
      </c>
    </row>
    <row r="7787" spans="1:5" x14ac:dyDescent="0.2">
      <c r="A7787">
        <v>7726</v>
      </c>
      <c r="B7787" s="1890">
        <f>'Expenditures 15-22'!H333</f>
        <v>0</v>
      </c>
      <c r="D7787" s="2" t="str">
        <f t="shared" si="127"/>
        <v>Error?</v>
      </c>
      <c r="E7787" s="4" t="s">
        <v>1826</v>
      </c>
    </row>
    <row r="7788" spans="1:5" x14ac:dyDescent="0.2">
      <c r="A7788">
        <v>7727</v>
      </c>
      <c r="B7788" s="1890">
        <f>'Expenditures 15-22'!K333</f>
        <v>0</v>
      </c>
      <c r="D7788" s="2" t="str">
        <f t="shared" si="127"/>
        <v>Error?</v>
      </c>
      <c r="E7788" s="4" t="s">
        <v>1826</v>
      </c>
    </row>
    <row r="7789" spans="1:5" x14ac:dyDescent="0.2">
      <c r="A7789">
        <v>7728</v>
      </c>
      <c r="B7789" s="1890">
        <f>'Expenditures 15-22'!H334</f>
        <v>0</v>
      </c>
      <c r="D7789" s="2" t="str">
        <f t="shared" si="127"/>
        <v>Error?</v>
      </c>
      <c r="E7789" s="4" t="s">
        <v>1826</v>
      </c>
    </row>
    <row r="7790" spans="1:5" x14ac:dyDescent="0.2">
      <c r="A7790">
        <v>7729</v>
      </c>
      <c r="B7790" s="1890">
        <f>'Expenditures 15-22'!K334</f>
        <v>0</v>
      </c>
      <c r="D7790" s="2" t="str">
        <f t="shared" si="127"/>
        <v>Error?</v>
      </c>
      <c r="E7790" s="4" t="s">
        <v>1826</v>
      </c>
    </row>
    <row r="7791" spans="1:5" x14ac:dyDescent="0.2">
      <c r="A7791">
        <v>7730</v>
      </c>
      <c r="B7791" s="1890">
        <f>'Expenditures 15-22'!H354</f>
        <v>0</v>
      </c>
      <c r="D7791" s="2" t="str">
        <f t="shared" si="127"/>
        <v>Error?</v>
      </c>
      <c r="E7791" s="4" t="s">
        <v>1826</v>
      </c>
    </row>
    <row r="7792" spans="1:5" x14ac:dyDescent="0.2">
      <c r="A7792">
        <v>7731</v>
      </c>
      <c r="B7792" s="1890">
        <f>'Expenditures 15-22'!K354</f>
        <v>0</v>
      </c>
      <c r="D7792" s="2" t="str">
        <f t="shared" si="127"/>
        <v>Error?</v>
      </c>
      <c r="E7792" s="4" t="s">
        <v>1826</v>
      </c>
    </row>
    <row r="7793" spans="1:5" x14ac:dyDescent="0.2">
      <c r="A7793">
        <v>7732</v>
      </c>
      <c r="B7793" s="1890">
        <f>'Expenditures 15-22'!H355</f>
        <v>0</v>
      </c>
      <c r="D7793" s="2" t="str">
        <f t="shared" si="127"/>
        <v>Error?</v>
      </c>
      <c r="E7793" s="4" t="s">
        <v>1826</v>
      </c>
    </row>
    <row r="7794" spans="1:5" x14ac:dyDescent="0.2">
      <c r="A7794">
        <v>7733</v>
      </c>
      <c r="B7794" s="1890">
        <f>'Expenditures 15-22'!K355</f>
        <v>0</v>
      </c>
      <c r="D7794" s="2" t="str">
        <f t="shared" si="127"/>
        <v>Error?</v>
      </c>
      <c r="E7794" s="4" t="s">
        <v>1826</v>
      </c>
    </row>
    <row r="7795" spans="1:5" x14ac:dyDescent="0.2">
      <c r="A7795">
        <v>7734</v>
      </c>
      <c r="B7795" s="1890">
        <f>'Expenditures 15-22'!E138</f>
        <v>0</v>
      </c>
      <c r="D7795" s="2" t="str">
        <f t="shared" si="127"/>
        <v>Error?</v>
      </c>
      <c r="E7795" s="4" t="s">
        <v>1826</v>
      </c>
    </row>
    <row r="7796" spans="1:5" x14ac:dyDescent="0.2">
      <c r="A7796">
        <v>7735</v>
      </c>
      <c r="B7796" s="1890">
        <f>'Acct Summary 7-8'!J15</f>
        <v>0</v>
      </c>
      <c r="D7796" s="2" t="str">
        <f t="shared" si="127"/>
        <v>Error?</v>
      </c>
      <c r="E7796" s="4" t="s">
        <v>1826</v>
      </c>
    </row>
    <row r="7797" spans="1:5" x14ac:dyDescent="0.2">
      <c r="A7797" s="126">
        <v>7736</v>
      </c>
      <c r="B7797" s="1890"/>
      <c r="D7797" s="2" t="str">
        <f t="shared" si="127"/>
        <v>OK</v>
      </c>
      <c r="E7797" s="4" t="s">
        <v>1979</v>
      </c>
    </row>
    <row r="7798" spans="1:5" x14ac:dyDescent="0.2">
      <c r="A7798" s="126">
        <v>7737</v>
      </c>
      <c r="B7798" s="1890"/>
      <c r="D7798" s="2" t="str">
        <f t="shared" si="127"/>
        <v>OK</v>
      </c>
      <c r="E7798" s="4" t="s">
        <v>1979</v>
      </c>
    </row>
    <row r="7799" spans="1:5" x14ac:dyDescent="0.2">
      <c r="A7799" s="126">
        <v>7738</v>
      </c>
      <c r="B7799" s="1890"/>
      <c r="D7799" s="2" t="str">
        <f t="shared" si="127"/>
        <v>OK</v>
      </c>
      <c r="E7799" s="4" t="s">
        <v>1979</v>
      </c>
    </row>
    <row r="7800" spans="1:5" x14ac:dyDescent="0.2">
      <c r="A7800">
        <v>7739</v>
      </c>
      <c r="B7800" s="1890">
        <f>'Rest Tax Levies-Tort Im 25'!K23</f>
        <v>16125</v>
      </c>
      <c r="D7800" s="2" t="str">
        <f t="shared" si="127"/>
        <v>Error?</v>
      </c>
      <c r="E7800" s="4" t="s">
        <v>1966</v>
      </c>
    </row>
    <row r="7801" spans="1:5" x14ac:dyDescent="0.2">
      <c r="A7801">
        <v>7740</v>
      </c>
      <c r="B7801" s="1890">
        <f>'Revenues 9-14'!C120</f>
        <v>0</v>
      </c>
      <c r="D7801" s="2" t="str">
        <f t="shared" si="127"/>
        <v>Error?</v>
      </c>
      <c r="E7801" s="4" t="s">
        <v>1900</v>
      </c>
    </row>
    <row r="7802" spans="1:5" x14ac:dyDescent="0.2">
      <c r="A7802">
        <v>7741</v>
      </c>
      <c r="B7802" s="1890">
        <f>'Revenues 9-14'!D120</f>
        <v>0</v>
      </c>
      <c r="D7802" s="2" t="str">
        <f t="shared" si="127"/>
        <v>Error?</v>
      </c>
      <c r="E7802" s="4" t="s">
        <v>1900</v>
      </c>
    </row>
    <row r="7803" spans="1:5" x14ac:dyDescent="0.2">
      <c r="A7803">
        <v>7742</v>
      </c>
      <c r="B7803" s="1890">
        <f>'Revenues 9-14'!E120</f>
        <v>0</v>
      </c>
      <c r="D7803" s="2" t="str">
        <f t="shared" si="127"/>
        <v>Error?</v>
      </c>
      <c r="E7803" s="4" t="s">
        <v>1900</v>
      </c>
    </row>
    <row r="7804" spans="1:5" x14ac:dyDescent="0.2">
      <c r="A7804">
        <v>7743</v>
      </c>
      <c r="B7804" s="1890">
        <f>'Revenues 9-14'!F120</f>
        <v>0</v>
      </c>
      <c r="D7804" s="2" t="str">
        <f t="shared" si="127"/>
        <v>Error?</v>
      </c>
      <c r="E7804" s="4" t="s">
        <v>1900</v>
      </c>
    </row>
    <row r="7805" spans="1:5" x14ac:dyDescent="0.2">
      <c r="A7805">
        <v>7744</v>
      </c>
      <c r="B7805" s="1890">
        <f>'Revenues 9-14'!G120</f>
        <v>0</v>
      </c>
      <c r="D7805" s="2" t="str">
        <f t="shared" si="127"/>
        <v>Error?</v>
      </c>
      <c r="E7805" s="4" t="s">
        <v>1900</v>
      </c>
    </row>
    <row r="7806" spans="1:5" x14ac:dyDescent="0.2">
      <c r="A7806">
        <v>7745</v>
      </c>
      <c r="B7806" s="1890">
        <f>'Revenues 9-14'!H120</f>
        <v>0</v>
      </c>
      <c r="D7806" s="2" t="str">
        <f t="shared" si="127"/>
        <v>Error?</v>
      </c>
      <c r="E7806" s="4" t="s">
        <v>1900</v>
      </c>
    </row>
    <row r="7807" spans="1:5" x14ac:dyDescent="0.2">
      <c r="A7807">
        <v>7746</v>
      </c>
      <c r="B7807" s="1890">
        <f>'Revenues 9-14'!J120</f>
        <v>0</v>
      </c>
      <c r="D7807" s="2" t="str">
        <f t="shared" ref="D7807:D7821" si="128">IF(ISBLANK(B7807),"OK",IF(A7807-B7807=0,"OK","Error?"))</f>
        <v>Error?</v>
      </c>
      <c r="E7807" s="4" t="s">
        <v>1900</v>
      </c>
    </row>
    <row r="7808" spans="1:5" x14ac:dyDescent="0.2">
      <c r="A7808">
        <v>7747</v>
      </c>
      <c r="B7808" s="1890">
        <f>'Revenues 9-14'!K120</f>
        <v>0</v>
      </c>
      <c r="D7808" s="2" t="str">
        <f t="shared" si="128"/>
        <v>Error?</v>
      </c>
      <c r="E7808" s="4" t="s">
        <v>1900</v>
      </c>
    </row>
    <row r="7809" spans="1:5" x14ac:dyDescent="0.2">
      <c r="A7809">
        <v>7748</v>
      </c>
      <c r="B7809" s="1890">
        <f>'Revenues 9-14'!C261</f>
        <v>0</v>
      </c>
      <c r="D7809" s="2" t="str">
        <f t="shared" si="128"/>
        <v>Error?</v>
      </c>
      <c r="E7809" s="4" t="s">
        <v>1901</v>
      </c>
    </row>
    <row r="7810" spans="1:5" x14ac:dyDescent="0.2">
      <c r="A7810">
        <v>7749</v>
      </c>
      <c r="B7810" s="1890">
        <f>'Revenues 9-14'!D261</f>
        <v>0</v>
      </c>
      <c r="D7810" s="2" t="str">
        <f t="shared" si="128"/>
        <v>Error?</v>
      </c>
      <c r="E7810" s="4" t="s">
        <v>1901</v>
      </c>
    </row>
    <row r="7811" spans="1:5" x14ac:dyDescent="0.2">
      <c r="A7811">
        <v>7750</v>
      </c>
      <c r="B7811" s="1890">
        <f>'Revenues 9-14'!F261</f>
        <v>0</v>
      </c>
      <c r="D7811" s="2" t="str">
        <f t="shared" si="128"/>
        <v>Error?</v>
      </c>
      <c r="E7811" s="4" t="s">
        <v>1901</v>
      </c>
    </row>
    <row r="7812" spans="1:5" x14ac:dyDescent="0.2">
      <c r="A7812">
        <v>7751</v>
      </c>
      <c r="B7812" s="1890">
        <f>'Revenues 9-14'!G261</f>
        <v>0</v>
      </c>
      <c r="D7812" s="2" t="str">
        <f t="shared" si="128"/>
        <v>Error?</v>
      </c>
      <c r="E7812" s="4" t="s">
        <v>1901</v>
      </c>
    </row>
    <row r="7813" spans="1:5" x14ac:dyDescent="0.2">
      <c r="A7813">
        <v>7752</v>
      </c>
      <c r="B7813" s="1890">
        <f>'Revenues 9-14'!C262</f>
        <v>0</v>
      </c>
      <c r="D7813" s="2" t="str">
        <f t="shared" si="128"/>
        <v>Error?</v>
      </c>
      <c r="E7813" s="4" t="s">
        <v>1902</v>
      </c>
    </row>
    <row r="7814" spans="1:5" x14ac:dyDescent="0.2">
      <c r="A7814">
        <v>7753</v>
      </c>
      <c r="B7814" s="1890">
        <f>'Revenues 9-14'!D262</f>
        <v>0</v>
      </c>
      <c r="D7814" s="2" t="str">
        <f t="shared" si="128"/>
        <v>Error?</v>
      </c>
      <c r="E7814" s="4" t="s">
        <v>1902</v>
      </c>
    </row>
    <row r="7815" spans="1:5" x14ac:dyDescent="0.2">
      <c r="A7815">
        <v>7754</v>
      </c>
      <c r="B7815" s="1890">
        <f>'Revenues 9-14'!F262</f>
        <v>0</v>
      </c>
      <c r="D7815" s="2" t="str">
        <f t="shared" si="128"/>
        <v>Error?</v>
      </c>
      <c r="E7815" s="4" t="s">
        <v>1902</v>
      </c>
    </row>
    <row r="7816" spans="1:5" x14ac:dyDescent="0.2">
      <c r="A7816">
        <v>7755</v>
      </c>
      <c r="B7816" s="1890">
        <f>'Revenues 9-14'!G262</f>
        <v>0</v>
      </c>
      <c r="D7816" s="2" t="str">
        <f t="shared" si="128"/>
        <v>Error?</v>
      </c>
      <c r="E7816" s="4" t="s">
        <v>1902</v>
      </c>
    </row>
    <row r="7817" spans="1:5" x14ac:dyDescent="0.2">
      <c r="A7817">
        <v>7756</v>
      </c>
      <c r="B7817" s="1890">
        <f>'Short-Term Long-Term Debt 24'!C49</f>
        <v>45855000</v>
      </c>
      <c r="D7817" s="2" t="str">
        <f t="shared" si="128"/>
        <v>Error?</v>
      </c>
      <c r="E7817" s="4" t="s">
        <v>1966</v>
      </c>
    </row>
    <row r="7818" spans="1:5" x14ac:dyDescent="0.2">
      <c r="A7818">
        <v>7757</v>
      </c>
      <c r="B7818" s="1890">
        <f>'PCTC-OEPP 27-28'!F172</f>
        <v>847535</v>
      </c>
      <c r="D7818" s="2" t="str">
        <f t="shared" si="128"/>
        <v>Error?</v>
      </c>
      <c r="E7818" s="4" t="s">
        <v>1980</v>
      </c>
    </row>
    <row r="7819" spans="1:5" x14ac:dyDescent="0.2">
      <c r="A7819">
        <v>7758</v>
      </c>
      <c r="B7819" s="1890">
        <f>'PCTC-OEPP 27-28'!F173</f>
        <v>3724</v>
      </c>
      <c r="D7819" s="2" t="str">
        <f t="shared" si="128"/>
        <v>Error?</v>
      </c>
      <c r="E7819" s="4" t="s">
        <v>1980</v>
      </c>
    </row>
    <row r="7820" spans="1:5" x14ac:dyDescent="0.2">
      <c r="A7820">
        <v>7759</v>
      </c>
      <c r="B7820" s="1890">
        <f>'ICR Computation 30'!E40</f>
        <v>-2628826</v>
      </c>
      <c r="D7820" s="2" t="str">
        <f t="shared" si="128"/>
        <v>Error?</v>
      </c>
    </row>
    <row r="7821" spans="1:5" x14ac:dyDescent="0.2">
      <c r="A7821">
        <v>7760</v>
      </c>
      <c r="B7821" s="1890">
        <f>'ICR Computation 30'!G40</f>
        <v>-2628826</v>
      </c>
      <c r="D7821" s="2" t="str">
        <f t="shared" si="128"/>
        <v>Error?</v>
      </c>
    </row>
    <row r="7822" spans="1:5" x14ac:dyDescent="0.2">
      <c r="A7822" s="1">
        <v>7761</v>
      </c>
      <c r="B7822" s="1890">
        <f>'PCTC-OEPP 27-28'!F14</f>
        <v>32367108</v>
      </c>
      <c r="D7822" s="4" t="s">
        <v>1997</v>
      </c>
      <c r="E7822" s="4" t="s">
        <v>1998</v>
      </c>
    </row>
    <row r="7823" spans="1:5" x14ac:dyDescent="0.2">
      <c r="A7823" s="1">
        <v>7762</v>
      </c>
      <c r="B7823" s="1890">
        <f>'PCTC-OEPP 27-28'!F30</f>
        <v>0</v>
      </c>
      <c r="D7823" s="4" t="s">
        <v>1997</v>
      </c>
      <c r="E7823" s="4" t="s">
        <v>1998</v>
      </c>
    </row>
    <row r="7824" spans="1:5" x14ac:dyDescent="0.2">
      <c r="A7824" s="1">
        <v>7763</v>
      </c>
      <c r="B7824" s="1890">
        <f>'PCTC-OEPP 27-28'!F31</f>
        <v>0</v>
      </c>
      <c r="D7824" s="4" t="s">
        <v>1997</v>
      </c>
      <c r="E7824" s="4" t="s">
        <v>1998</v>
      </c>
    </row>
    <row r="7825" spans="1:5" x14ac:dyDescent="0.2">
      <c r="A7825" s="1">
        <v>7764</v>
      </c>
      <c r="B7825" s="1890">
        <f>'PCTC-OEPP 27-28'!F32</f>
        <v>0</v>
      </c>
      <c r="D7825" s="2" t="str">
        <f t="shared" ref="D7825:D7887" si="129">IF(ISBLANK(B7825),"OK",IF(A7825-B7825=0,"OK","Error?"))</f>
        <v>Error?</v>
      </c>
      <c r="E7825" s="4" t="s">
        <v>1998</v>
      </c>
    </row>
    <row r="7826" spans="1:5" x14ac:dyDescent="0.2">
      <c r="A7826">
        <v>7765</v>
      </c>
      <c r="B7826" s="1890">
        <f>'PCTC-OEPP 27-28'!F34</f>
        <v>149611</v>
      </c>
      <c r="D7826" s="2" t="str">
        <f t="shared" si="129"/>
        <v>Error?</v>
      </c>
      <c r="E7826" s="4" t="s">
        <v>1998</v>
      </c>
    </row>
    <row r="7827" spans="1:5" x14ac:dyDescent="0.2">
      <c r="A7827">
        <v>7766</v>
      </c>
      <c r="B7827" s="1890">
        <f>'PCTC-OEPP 27-28'!F35</f>
        <v>0</v>
      </c>
      <c r="D7827" s="2" t="str">
        <f t="shared" si="129"/>
        <v>Error?</v>
      </c>
      <c r="E7827" s="4" t="s">
        <v>1998</v>
      </c>
    </row>
    <row r="7828" spans="1:5" x14ac:dyDescent="0.2">
      <c r="A7828">
        <v>7767</v>
      </c>
      <c r="B7828" s="1890">
        <f>'PCTC-OEPP 27-28'!F36</f>
        <v>0</v>
      </c>
      <c r="D7828" s="2" t="str">
        <f t="shared" si="129"/>
        <v>Error?</v>
      </c>
      <c r="E7828" s="4" t="s">
        <v>1998</v>
      </c>
    </row>
    <row r="7829" spans="1:5" x14ac:dyDescent="0.2">
      <c r="A7829">
        <v>7768</v>
      </c>
      <c r="B7829" s="1890">
        <f>'PCTC-OEPP 27-28'!F37</f>
        <v>0</v>
      </c>
      <c r="D7829" s="2" t="str">
        <f t="shared" si="129"/>
        <v>Error?</v>
      </c>
      <c r="E7829" s="4" t="s">
        <v>1998</v>
      </c>
    </row>
    <row r="7830" spans="1:5" x14ac:dyDescent="0.2">
      <c r="A7830">
        <v>7769</v>
      </c>
      <c r="B7830" s="1890">
        <f>'PCTC-OEPP 27-28'!F38</f>
        <v>17615</v>
      </c>
      <c r="D7830" s="2" t="str">
        <f t="shared" si="129"/>
        <v>Error?</v>
      </c>
      <c r="E7830" s="4" t="s">
        <v>1998</v>
      </c>
    </row>
    <row r="7831" spans="1:5" x14ac:dyDescent="0.2">
      <c r="A7831">
        <v>7770</v>
      </c>
      <c r="B7831" s="1890">
        <f>'PCTC-OEPP 27-28'!F52</f>
        <v>56875</v>
      </c>
      <c r="D7831" s="2" t="str">
        <f t="shared" si="129"/>
        <v>Error?</v>
      </c>
      <c r="E7831" s="4" t="s">
        <v>1998</v>
      </c>
    </row>
    <row r="7832" spans="1:5" x14ac:dyDescent="0.2">
      <c r="A7832">
        <v>7771</v>
      </c>
      <c r="B7832" s="1890">
        <f>'PCTC-OEPP 27-28'!F56</f>
        <v>0</v>
      </c>
      <c r="D7832" s="2" t="str">
        <f t="shared" si="129"/>
        <v>Error?</v>
      </c>
      <c r="E7832" s="4" t="s">
        <v>1998</v>
      </c>
    </row>
    <row r="7833" spans="1:5" x14ac:dyDescent="0.2">
      <c r="A7833">
        <v>7772</v>
      </c>
      <c r="B7833" s="1890">
        <f>'PCTC-OEPP 27-28'!F62</f>
        <v>0</v>
      </c>
      <c r="D7833" s="2" t="str">
        <f t="shared" si="129"/>
        <v>Error?</v>
      </c>
      <c r="E7833" s="4" t="s">
        <v>1998</v>
      </c>
    </row>
    <row r="7834" spans="1:5" x14ac:dyDescent="0.2">
      <c r="A7834">
        <v>7773</v>
      </c>
      <c r="B7834" s="1890">
        <f>'PCTC-OEPP 27-28'!F77</f>
        <v>4901365</v>
      </c>
      <c r="D7834" s="2" t="str">
        <f t="shared" si="129"/>
        <v>Error?</v>
      </c>
      <c r="E7834" s="4" t="s">
        <v>1998</v>
      </c>
    </row>
    <row r="7835" spans="1:5" x14ac:dyDescent="0.2">
      <c r="A7835">
        <v>7774</v>
      </c>
      <c r="B7835" s="1890">
        <f>'PCTC-OEPP 27-28'!F78</f>
        <v>27465743</v>
      </c>
      <c r="D7835" s="2" t="str">
        <f t="shared" si="129"/>
        <v>Error?</v>
      </c>
      <c r="E7835" s="4" t="s">
        <v>1998</v>
      </c>
    </row>
    <row r="7836" spans="1:5" x14ac:dyDescent="0.2">
      <c r="A7836" s="126">
        <v>7775</v>
      </c>
      <c r="B7836" s="1890"/>
      <c r="D7836" s="2" t="str">
        <f t="shared" si="129"/>
        <v>OK</v>
      </c>
      <c r="E7836" s="4" t="s">
        <v>2000</v>
      </c>
    </row>
    <row r="7837" spans="1:5" x14ac:dyDescent="0.2">
      <c r="A7837">
        <v>7776</v>
      </c>
      <c r="B7837" s="1890">
        <f>'PCTC-OEPP 27-28'!F80</f>
        <v>10890.504323966392</v>
      </c>
      <c r="D7837" s="2" t="str">
        <f t="shared" si="129"/>
        <v>Error?</v>
      </c>
      <c r="E7837" s="4" t="s">
        <v>1998</v>
      </c>
    </row>
    <row r="7838" spans="1:5" x14ac:dyDescent="0.2">
      <c r="A7838">
        <v>7777</v>
      </c>
      <c r="B7838" s="1890">
        <f>'PCTC-OEPP 27-28'!F96</f>
        <v>124471</v>
      </c>
      <c r="D7838" s="2" t="str">
        <f t="shared" si="129"/>
        <v>Error?</v>
      </c>
      <c r="E7838" s="4" t="s">
        <v>1998</v>
      </c>
    </row>
    <row r="7839" spans="1:5" x14ac:dyDescent="0.2">
      <c r="A7839">
        <v>7778</v>
      </c>
      <c r="B7839" s="1890">
        <f>'PCTC-OEPP 27-28'!F102</f>
        <v>103064</v>
      </c>
      <c r="D7839" s="2" t="str">
        <f t="shared" si="129"/>
        <v>Error?</v>
      </c>
      <c r="E7839" s="4" t="s">
        <v>1998</v>
      </c>
    </row>
    <row r="7840" spans="1:5" x14ac:dyDescent="0.2">
      <c r="A7840">
        <v>7779</v>
      </c>
      <c r="B7840" s="1890">
        <f>'PCTC-OEPP 27-28'!F103</f>
        <v>29071</v>
      </c>
      <c r="D7840" s="2" t="str">
        <f t="shared" si="129"/>
        <v>Error?</v>
      </c>
      <c r="E7840" s="4" t="s">
        <v>1998</v>
      </c>
    </row>
    <row r="7841" spans="1:5" x14ac:dyDescent="0.2">
      <c r="A7841">
        <v>7780</v>
      </c>
      <c r="B7841" s="1890">
        <f>'PCTC-OEPP 27-28'!F104</f>
        <v>0</v>
      </c>
      <c r="D7841" s="2" t="str">
        <f t="shared" si="129"/>
        <v>Error?</v>
      </c>
      <c r="E7841" s="4" t="s">
        <v>1998</v>
      </c>
    </row>
    <row r="7842" spans="1:5" x14ac:dyDescent="0.2">
      <c r="A7842">
        <v>7781</v>
      </c>
      <c r="B7842" s="1890">
        <f>'PCTC-OEPP 27-28'!F106</f>
        <v>198615</v>
      </c>
      <c r="D7842" s="2" t="str">
        <f t="shared" si="129"/>
        <v>Error?</v>
      </c>
      <c r="E7842" s="4" t="s">
        <v>1998</v>
      </c>
    </row>
    <row r="7843" spans="1:5" x14ac:dyDescent="0.2">
      <c r="A7843">
        <v>7782</v>
      </c>
      <c r="B7843" s="1890">
        <f>'PCTC-OEPP 27-28'!F107</f>
        <v>0</v>
      </c>
      <c r="D7843" s="2" t="str">
        <f t="shared" si="129"/>
        <v>Error?</v>
      </c>
      <c r="E7843" s="4" t="s">
        <v>1998</v>
      </c>
    </row>
    <row r="7844" spans="1:5" x14ac:dyDescent="0.2">
      <c r="A7844">
        <v>7783</v>
      </c>
      <c r="B7844" s="1890">
        <f>'PCTC-OEPP 27-28'!F108</f>
        <v>0</v>
      </c>
      <c r="D7844" s="2" t="str">
        <f t="shared" si="129"/>
        <v>Error?</v>
      </c>
      <c r="E7844" s="4" t="s">
        <v>1998</v>
      </c>
    </row>
    <row r="7845" spans="1:5" x14ac:dyDescent="0.2">
      <c r="A7845">
        <v>7784</v>
      </c>
      <c r="B7845" s="1890">
        <f>'PCTC-OEPP 27-28'!F110</f>
        <v>0</v>
      </c>
      <c r="D7845" s="2" t="str">
        <f t="shared" si="129"/>
        <v>Error?</v>
      </c>
      <c r="E7845" s="4" t="s">
        <v>1998</v>
      </c>
    </row>
    <row r="7846" spans="1:5" x14ac:dyDescent="0.2">
      <c r="A7846">
        <v>7785</v>
      </c>
      <c r="B7846" s="1890">
        <f>'PCTC-OEPP 27-28'!F111</f>
        <v>26199</v>
      </c>
      <c r="D7846" s="2" t="str">
        <f t="shared" si="129"/>
        <v>Error?</v>
      </c>
      <c r="E7846" s="4" t="s">
        <v>1998</v>
      </c>
    </row>
    <row r="7847" spans="1:5" x14ac:dyDescent="0.2">
      <c r="A7847">
        <v>7786</v>
      </c>
      <c r="B7847" s="1890">
        <f>'PCTC-OEPP 27-28'!F112</f>
        <v>1411813</v>
      </c>
      <c r="D7847" s="2" t="str">
        <f t="shared" si="129"/>
        <v>Error?</v>
      </c>
      <c r="E7847" s="4" t="s">
        <v>1998</v>
      </c>
    </row>
    <row r="7848" spans="1:5" x14ac:dyDescent="0.2">
      <c r="A7848">
        <v>7787</v>
      </c>
      <c r="B7848" s="1890">
        <f>'PCTC-OEPP 27-28'!F114</f>
        <v>0</v>
      </c>
      <c r="D7848" s="2" t="str">
        <f t="shared" si="129"/>
        <v>Error?</v>
      </c>
      <c r="E7848" s="4" t="s">
        <v>1998</v>
      </c>
    </row>
    <row r="7849" spans="1:5" x14ac:dyDescent="0.2">
      <c r="A7849">
        <v>7788</v>
      </c>
      <c r="B7849" s="1890">
        <f>'PCTC-OEPP 27-28'!F115</f>
        <v>0</v>
      </c>
      <c r="D7849" s="2" t="str">
        <f t="shared" si="129"/>
        <v>Error?</v>
      </c>
      <c r="E7849" s="4" t="s">
        <v>1998</v>
      </c>
    </row>
    <row r="7850" spans="1:5" x14ac:dyDescent="0.2">
      <c r="A7850">
        <v>7789</v>
      </c>
      <c r="B7850" s="1890">
        <f>'PCTC-OEPP 27-28'!F116</f>
        <v>0</v>
      </c>
      <c r="D7850" s="2" t="str">
        <f t="shared" si="129"/>
        <v>Error?</v>
      </c>
      <c r="E7850" s="4" t="s">
        <v>1998</v>
      </c>
    </row>
    <row r="7851" spans="1:5" x14ac:dyDescent="0.2">
      <c r="A7851">
        <v>7790</v>
      </c>
      <c r="B7851" s="1890">
        <f>'PCTC-OEPP 27-28'!F117</f>
        <v>0</v>
      </c>
      <c r="D7851" s="2" t="str">
        <f t="shared" si="129"/>
        <v>Error?</v>
      </c>
      <c r="E7851" s="4" t="s">
        <v>1998</v>
      </c>
    </row>
    <row r="7852" spans="1:5" x14ac:dyDescent="0.2">
      <c r="A7852">
        <v>7791</v>
      </c>
      <c r="B7852" s="1890">
        <f>'PCTC-OEPP 27-28'!F118</f>
        <v>0</v>
      </c>
      <c r="D7852" s="2" t="str">
        <f t="shared" si="129"/>
        <v>Error?</v>
      </c>
      <c r="E7852" s="4" t="s">
        <v>1998</v>
      </c>
    </row>
    <row r="7853" spans="1:5" x14ac:dyDescent="0.2">
      <c r="A7853">
        <v>7792</v>
      </c>
      <c r="B7853" s="1890">
        <f>'PCTC-OEPP 27-28'!F119</f>
        <v>0</v>
      </c>
      <c r="D7853" s="2" t="str">
        <f t="shared" si="129"/>
        <v>Error?</v>
      </c>
      <c r="E7853" s="4" t="s">
        <v>1998</v>
      </c>
    </row>
    <row r="7854" spans="1:5" x14ac:dyDescent="0.2">
      <c r="A7854">
        <v>7793</v>
      </c>
      <c r="B7854" s="1890">
        <f>'PCTC-OEPP 27-28'!F120</f>
        <v>0</v>
      </c>
      <c r="D7854" s="2" t="str">
        <f t="shared" si="129"/>
        <v>Error?</v>
      </c>
      <c r="E7854" s="4" t="s">
        <v>1998</v>
      </c>
    </row>
    <row r="7855" spans="1:5" x14ac:dyDescent="0.2">
      <c r="A7855">
        <v>7794</v>
      </c>
      <c r="B7855" s="1890">
        <f>'PCTC-OEPP 27-28'!F122</f>
        <v>0</v>
      </c>
      <c r="D7855" s="2" t="str">
        <f t="shared" si="129"/>
        <v>Error?</v>
      </c>
      <c r="E7855" s="4" t="s">
        <v>1998</v>
      </c>
    </row>
    <row r="7856" spans="1:5" x14ac:dyDescent="0.2">
      <c r="A7856">
        <v>7795</v>
      </c>
      <c r="B7856" s="1890">
        <f>'PCTC-OEPP 27-28'!F124</f>
        <v>0</v>
      </c>
      <c r="D7856" s="2" t="str">
        <f t="shared" si="129"/>
        <v>Error?</v>
      </c>
      <c r="E7856" s="4" t="s">
        <v>1998</v>
      </c>
    </row>
    <row r="7857" spans="1:5" x14ac:dyDescent="0.2">
      <c r="A7857">
        <v>7796</v>
      </c>
      <c r="B7857" s="1890">
        <f>'PCTC-OEPP 27-28'!F125</f>
        <v>0</v>
      </c>
      <c r="D7857" s="2" t="str">
        <f t="shared" si="129"/>
        <v>Error?</v>
      </c>
      <c r="E7857" s="4" t="s">
        <v>1998</v>
      </c>
    </row>
    <row r="7858" spans="1:5" x14ac:dyDescent="0.2">
      <c r="A7858">
        <v>7797</v>
      </c>
      <c r="B7858" s="1890">
        <f>'PCTC-OEPP 27-28'!F126</f>
        <v>595098</v>
      </c>
      <c r="D7858" s="2" t="str">
        <f t="shared" si="129"/>
        <v>Error?</v>
      </c>
      <c r="E7858" s="4" t="s">
        <v>1998</v>
      </c>
    </row>
    <row r="7859" spans="1:5" x14ac:dyDescent="0.2">
      <c r="A7859">
        <v>7798</v>
      </c>
      <c r="B7859" s="1890">
        <f>'PCTC-OEPP 27-28'!F127</f>
        <v>884703</v>
      </c>
      <c r="D7859" s="2" t="str">
        <f t="shared" si="129"/>
        <v>Error?</v>
      </c>
      <c r="E7859" s="4" t="s">
        <v>1998</v>
      </c>
    </row>
    <row r="7860" spans="1:5" x14ac:dyDescent="0.2">
      <c r="A7860">
        <v>7799</v>
      </c>
      <c r="B7860" s="1890">
        <f>'PCTC-OEPP 27-28'!F128</f>
        <v>35774</v>
      </c>
      <c r="D7860" s="2" t="str">
        <f t="shared" si="129"/>
        <v>Error?</v>
      </c>
      <c r="E7860" s="4" t="s">
        <v>1998</v>
      </c>
    </row>
    <row r="7861" spans="1:5" x14ac:dyDescent="0.2">
      <c r="A7861">
        <v>7800</v>
      </c>
      <c r="B7861" s="1890">
        <f>'PCTC-OEPP 27-28'!F129</f>
        <v>0</v>
      </c>
      <c r="D7861" s="2" t="str">
        <f t="shared" si="129"/>
        <v>Error?</v>
      </c>
      <c r="E7861" s="4" t="s">
        <v>1998</v>
      </c>
    </row>
    <row r="7862" spans="1:5" x14ac:dyDescent="0.2">
      <c r="A7862">
        <v>7801</v>
      </c>
      <c r="B7862" s="1890">
        <f>'PCTC-OEPP 27-28'!F130</f>
        <v>801</v>
      </c>
      <c r="D7862" s="2" t="str">
        <f t="shared" si="129"/>
        <v>Error?</v>
      </c>
      <c r="E7862" s="4" t="s">
        <v>1998</v>
      </c>
    </row>
    <row r="7863" spans="1:5" x14ac:dyDescent="0.2">
      <c r="A7863">
        <v>7802</v>
      </c>
      <c r="B7863" s="1890">
        <f>'PCTC-OEPP 27-28'!F131</f>
        <v>0</v>
      </c>
      <c r="D7863" s="2" t="str">
        <f t="shared" si="129"/>
        <v>Error?</v>
      </c>
      <c r="E7863" s="4" t="s">
        <v>1998</v>
      </c>
    </row>
    <row r="7864" spans="1:5" x14ac:dyDescent="0.2">
      <c r="A7864">
        <v>7803</v>
      </c>
      <c r="B7864" s="1890">
        <f>'PCTC-OEPP 27-28'!F132</f>
        <v>0</v>
      </c>
      <c r="D7864" s="2" t="str">
        <f t="shared" si="129"/>
        <v>Error?</v>
      </c>
      <c r="E7864" s="4" t="s">
        <v>1998</v>
      </c>
    </row>
    <row r="7865" spans="1:5" x14ac:dyDescent="0.2">
      <c r="A7865">
        <v>7804</v>
      </c>
      <c r="B7865" s="1890">
        <f>'PCTC-OEPP 27-28'!F133</f>
        <v>0</v>
      </c>
      <c r="D7865" s="2" t="str">
        <f t="shared" si="129"/>
        <v>Error?</v>
      </c>
      <c r="E7865" s="4" t="s">
        <v>1998</v>
      </c>
    </row>
    <row r="7866" spans="1:5" x14ac:dyDescent="0.2">
      <c r="A7866">
        <v>7805</v>
      </c>
      <c r="B7866" s="1890">
        <f>'PCTC-OEPP 27-28'!F158</f>
        <v>0</v>
      </c>
      <c r="D7866" s="2" t="str">
        <f t="shared" si="129"/>
        <v>Error?</v>
      </c>
      <c r="E7866" s="4" t="s">
        <v>1998</v>
      </c>
    </row>
    <row r="7867" spans="1:5" x14ac:dyDescent="0.2">
      <c r="A7867">
        <v>7806</v>
      </c>
      <c r="B7867" s="1890">
        <f>'PCTC-OEPP 27-28'!F160</f>
        <v>0</v>
      </c>
      <c r="D7867" s="2" t="str">
        <f t="shared" si="129"/>
        <v>Error?</v>
      </c>
      <c r="E7867" s="4" t="s">
        <v>1998</v>
      </c>
    </row>
    <row r="7868" spans="1:5" x14ac:dyDescent="0.2">
      <c r="A7868">
        <v>7807</v>
      </c>
      <c r="B7868" s="1890">
        <f>'PCTC-OEPP 27-28'!F161</f>
        <v>0</v>
      </c>
      <c r="D7868" s="2" t="str">
        <f t="shared" si="129"/>
        <v>Error?</v>
      </c>
      <c r="E7868" s="4" t="s">
        <v>1998</v>
      </c>
    </row>
    <row r="7869" spans="1:5" x14ac:dyDescent="0.2">
      <c r="A7869">
        <v>7808</v>
      </c>
      <c r="B7869" s="1890">
        <f>'PCTC-OEPP 27-28'!F162</f>
        <v>0</v>
      </c>
      <c r="D7869" s="2" t="str">
        <f t="shared" si="129"/>
        <v>Error?</v>
      </c>
      <c r="E7869" s="4" t="s">
        <v>1998</v>
      </c>
    </row>
    <row r="7870" spans="1:5" x14ac:dyDescent="0.2">
      <c r="A7870">
        <v>7809</v>
      </c>
      <c r="B7870" s="1890">
        <f>'PCTC-OEPP 27-28'!F163</f>
        <v>0</v>
      </c>
      <c r="D7870" s="2" t="str">
        <f t="shared" si="129"/>
        <v>Error?</v>
      </c>
      <c r="E7870" s="4" t="s">
        <v>1998</v>
      </c>
    </row>
    <row r="7871" spans="1:5" x14ac:dyDescent="0.2">
      <c r="A7871">
        <v>7810</v>
      </c>
      <c r="B7871" s="1890">
        <f>'PCTC-OEPP 27-28'!F164</f>
        <v>0</v>
      </c>
      <c r="D7871" s="2" t="str">
        <f t="shared" si="129"/>
        <v>Error?</v>
      </c>
      <c r="E7871" s="4" t="s">
        <v>1998</v>
      </c>
    </row>
    <row r="7872" spans="1:5" x14ac:dyDescent="0.2">
      <c r="A7872">
        <v>7811</v>
      </c>
      <c r="B7872" s="1890">
        <f>'PCTC-OEPP 27-28'!F165</f>
        <v>134649</v>
      </c>
      <c r="D7872" s="2" t="str">
        <f t="shared" si="129"/>
        <v>Error?</v>
      </c>
      <c r="E7872" s="4" t="s">
        <v>1998</v>
      </c>
    </row>
    <row r="7873" spans="1:5" x14ac:dyDescent="0.2">
      <c r="A7873">
        <v>7812</v>
      </c>
      <c r="B7873" s="1890">
        <f>'PCTC-OEPP 27-28'!F166</f>
        <v>0</v>
      </c>
      <c r="D7873" s="2" t="str">
        <f t="shared" si="129"/>
        <v>Error?</v>
      </c>
      <c r="E7873" s="4" t="s">
        <v>1998</v>
      </c>
    </row>
    <row r="7874" spans="1:5" x14ac:dyDescent="0.2">
      <c r="A7874">
        <v>7813</v>
      </c>
      <c r="B7874" s="1890">
        <f>'PCTC-OEPP 27-28'!F169</f>
        <v>60651</v>
      </c>
      <c r="D7874" s="2" t="str">
        <f t="shared" si="129"/>
        <v>Error?</v>
      </c>
      <c r="E7874" s="4" t="s">
        <v>1998</v>
      </c>
    </row>
    <row r="7875" spans="1:5" x14ac:dyDescent="0.2">
      <c r="A7875">
        <v>7814</v>
      </c>
      <c r="B7875" s="1890">
        <f>'PCTC-OEPP 27-28'!F170</f>
        <v>232976</v>
      </c>
      <c r="D7875" s="2" t="str">
        <f t="shared" si="129"/>
        <v>Error?</v>
      </c>
      <c r="E7875" s="4" t="s">
        <v>1998</v>
      </c>
    </row>
    <row r="7876" spans="1:5" x14ac:dyDescent="0.2">
      <c r="A7876">
        <v>7815</v>
      </c>
      <c r="B7876" s="1890">
        <f>'PCTC-OEPP 27-28'!F171</f>
        <v>0</v>
      </c>
      <c r="D7876" s="2" t="str">
        <f t="shared" si="129"/>
        <v>Error?</v>
      </c>
      <c r="E7876" s="4" t="s">
        <v>1998</v>
      </c>
    </row>
    <row r="7877" spans="1:5" x14ac:dyDescent="0.2">
      <c r="A7877">
        <v>7816</v>
      </c>
      <c r="B7877" s="1890">
        <f>'PCTC-OEPP 27-28'!F175</f>
        <v>5006985</v>
      </c>
      <c r="D7877" s="2" t="str">
        <f t="shared" si="129"/>
        <v>Error?</v>
      </c>
      <c r="E7877" s="4" t="s">
        <v>1998</v>
      </c>
    </row>
    <row r="7878" spans="1:5" x14ac:dyDescent="0.2">
      <c r="A7878">
        <v>7817</v>
      </c>
      <c r="B7878" s="1890">
        <f>'PCTC-OEPP 27-28'!F176</f>
        <v>22458758</v>
      </c>
      <c r="D7878" s="2" t="str">
        <f t="shared" si="129"/>
        <v>Error?</v>
      </c>
      <c r="E7878" s="4" t="s">
        <v>1998</v>
      </c>
    </row>
    <row r="7879" spans="1:5" x14ac:dyDescent="0.2">
      <c r="A7879">
        <v>7818</v>
      </c>
      <c r="B7879" s="1890">
        <f>'PCTC-OEPP 27-28'!F178</f>
        <v>23753934</v>
      </c>
      <c r="D7879" s="2" t="str">
        <f t="shared" si="129"/>
        <v>Error?</v>
      </c>
      <c r="E7879" s="4" t="s">
        <v>1998</v>
      </c>
    </row>
    <row r="7880" spans="1:5" x14ac:dyDescent="0.2">
      <c r="A7880">
        <v>7819</v>
      </c>
      <c r="B7880" s="1890">
        <f>'PCTC-OEPP 27-28'!F180</f>
        <v>9418.7264818655112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B48" sqref="B48"/>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91" t="s">
        <v>1183</v>
      </c>
      <c r="B2" s="2491"/>
      <c r="C2" s="2491"/>
      <c r="D2" s="2491"/>
      <c r="E2" s="2491"/>
      <c r="F2" s="2491"/>
      <c r="G2" s="2491"/>
      <c r="H2" s="2491"/>
      <c r="I2" s="2491"/>
      <c r="J2" s="2491"/>
      <c r="K2" s="2491"/>
      <c r="L2" s="2491"/>
    </row>
    <row r="3" spans="1:29" ht="13.5" customHeight="1" x14ac:dyDescent="0.2">
      <c r="A3" s="2477" t="s">
        <v>1182</v>
      </c>
      <c r="B3" s="2477"/>
      <c r="C3" s="2477"/>
      <c r="D3" s="2477"/>
      <c r="E3" s="2477"/>
      <c r="F3" s="2477"/>
      <c r="G3" s="2477"/>
      <c r="H3" s="2477"/>
      <c r="I3" s="2477"/>
      <c r="J3" s="2477"/>
      <c r="K3" s="2477"/>
      <c r="L3" s="2477"/>
    </row>
    <row r="4" spans="1:29" ht="13.5" customHeight="1" x14ac:dyDescent="0.2">
      <c r="A4" s="2508" t="str">
        <f>"Year Ending June 30, "&amp;'AFR20'!E2</f>
        <v>Year Ending June 30, 2020</v>
      </c>
      <c r="B4" s="2509"/>
      <c r="C4" s="2509"/>
      <c r="D4" s="2509"/>
      <c r="E4" s="2509"/>
      <c r="F4" s="2509"/>
      <c r="G4" s="2509"/>
      <c r="H4" s="2509"/>
      <c r="I4" s="2509"/>
      <c r="J4" s="2509"/>
      <c r="K4" s="2509"/>
      <c r="L4" s="250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x14ac:dyDescent="0.2">
      <c r="A7" s="2471" t="str">
        <f>COVER!A17</f>
        <v>Dixon USD 170</v>
      </c>
      <c r="B7" s="2472"/>
      <c r="C7" s="2472"/>
      <c r="D7" s="2510"/>
      <c r="E7" s="2511">
        <f>COVER!A13</f>
        <v>47052170022</v>
      </c>
      <c r="F7" s="2512"/>
      <c r="G7" s="2478" t="str">
        <f>COVER!T23</f>
        <v>066-004023</v>
      </c>
      <c r="H7" s="2479"/>
      <c r="I7" s="2479"/>
      <c r="J7" s="2479"/>
      <c r="K7" s="2479"/>
      <c r="L7" s="2480"/>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81"/>
      <c r="B9" s="2482"/>
      <c r="C9" s="2482"/>
      <c r="D9" s="2482"/>
      <c r="E9" s="2482"/>
      <c r="F9" s="2483"/>
      <c r="G9" s="2484" t="str">
        <f>COVER!T13</f>
        <v>Wipfli LLP</v>
      </c>
      <c r="H9" s="2485"/>
      <c r="I9" s="2485"/>
      <c r="J9" s="2485"/>
      <c r="K9" s="2485"/>
      <c r="L9" s="2486"/>
    </row>
    <row r="10" spans="1:29" ht="13.5" customHeight="1" x14ac:dyDescent="0.2">
      <c r="A10" s="2468" t="str">
        <f>COVER!A38</f>
        <v>Margo Empen</v>
      </c>
      <c r="B10" s="2469"/>
      <c r="C10" s="2469"/>
      <c r="D10" s="2469"/>
      <c r="E10" s="2469"/>
      <c r="F10" s="2470"/>
      <c r="G10" s="2484" t="str">
        <f>COVER!T17</f>
        <v>403 East 3rd Street</v>
      </c>
      <c r="H10" s="2497"/>
      <c r="I10" s="2497"/>
      <c r="J10" s="2497"/>
      <c r="K10" s="2497"/>
      <c r="L10" s="2498"/>
    </row>
    <row r="11" spans="1:29" ht="13.5" customHeight="1" x14ac:dyDescent="0.2">
      <c r="A11" s="1008" t="s">
        <v>1505</v>
      </c>
      <c r="B11" s="1009"/>
      <c r="C11" s="1010"/>
      <c r="D11" s="1015"/>
      <c r="E11" s="1010"/>
      <c r="F11" s="1014"/>
      <c r="G11" s="2484" t="str">
        <f>COVER!T19</f>
        <v>Sterling</v>
      </c>
      <c r="H11" s="2497"/>
      <c r="I11" s="2497"/>
      <c r="J11" s="2497"/>
      <c r="K11" s="2497"/>
      <c r="L11" s="2498"/>
    </row>
    <row r="12" spans="1:29" ht="13.5" customHeight="1" x14ac:dyDescent="0.2">
      <c r="A12" s="2502" t="s">
        <v>1504</v>
      </c>
      <c r="B12" s="2503"/>
      <c r="C12" s="2503"/>
      <c r="D12" s="2503"/>
      <c r="E12" s="2503"/>
      <c r="F12" s="2504"/>
      <c r="G12" s="2499"/>
      <c r="H12" s="2500"/>
      <c r="I12" s="2500"/>
      <c r="J12" s="2500"/>
      <c r="K12" s="2500"/>
      <c r="L12" s="2501"/>
    </row>
    <row r="13" spans="1:29" ht="13.5" customHeight="1" x14ac:dyDescent="0.2">
      <c r="A13" s="2484"/>
      <c r="B13" s="2497"/>
      <c r="C13" s="2497"/>
      <c r="D13" s="2497"/>
      <c r="E13" s="2497"/>
      <c r="F13" s="2498"/>
      <c r="G13" s="2492" t="s">
        <v>1506</v>
      </c>
      <c r="H13" s="2493"/>
      <c r="I13" s="2505" t="str">
        <f>COVER!T25</f>
        <v>mschueler@wipfli.com</v>
      </c>
      <c r="J13" s="2506"/>
      <c r="K13" s="2506"/>
      <c r="L13" s="2507"/>
    </row>
    <row r="14" spans="1:29" ht="13.5" customHeight="1" x14ac:dyDescent="0.2">
      <c r="A14" s="2484" t="str">
        <f>COVER!A19</f>
        <v>1355 Franklin Grove Road</v>
      </c>
      <c r="B14" s="2497"/>
      <c r="C14" s="2497"/>
      <c r="D14" s="2497"/>
      <c r="E14" s="2497"/>
      <c r="F14" s="2498"/>
      <c r="G14" s="1019" t="s">
        <v>1177</v>
      </c>
      <c r="H14" s="1017"/>
      <c r="I14" s="1017"/>
      <c r="J14" s="1017"/>
      <c r="K14" s="1017"/>
      <c r="L14" s="1018"/>
    </row>
    <row r="15" spans="1:29" ht="13.5" customHeight="1" x14ac:dyDescent="0.2">
      <c r="A15" s="2484" t="str">
        <f>COVER!A21</f>
        <v>Dixon</v>
      </c>
      <c r="B15" s="2497"/>
      <c r="C15" s="2497"/>
      <c r="D15" s="2497"/>
      <c r="E15" s="2497"/>
      <c r="F15" s="2498"/>
      <c r="G15" s="2494" t="str">
        <f>COVER!T15</f>
        <v>Matthew Schueler</v>
      </c>
      <c r="H15" s="2495"/>
      <c r="I15" s="2495"/>
      <c r="J15" s="2495"/>
      <c r="K15" s="2495"/>
      <c r="L15" s="2496"/>
    </row>
    <row r="16" spans="1:29" ht="12.4" customHeight="1" x14ac:dyDescent="0.2">
      <c r="A16" s="2474">
        <f>COVER!A25</f>
        <v>61021</v>
      </c>
      <c r="B16" s="2475"/>
      <c r="C16" s="2475"/>
      <c r="D16" s="2475"/>
      <c r="E16" s="2475"/>
      <c r="F16" s="2476"/>
      <c r="G16" s="2487"/>
      <c r="H16" s="2488"/>
      <c r="I16" s="2488"/>
      <c r="J16" s="2488"/>
      <c r="K16" s="2488"/>
      <c r="L16" s="2489"/>
    </row>
    <row r="17" spans="1:13" ht="12.4" customHeight="1" x14ac:dyDescent="0.2">
      <c r="A17" s="2490"/>
      <c r="B17" s="2475"/>
      <c r="C17" s="2475"/>
      <c r="D17" s="2475"/>
      <c r="E17" s="2475"/>
      <c r="F17" s="2476"/>
      <c r="G17" s="1019" t="s">
        <v>1176</v>
      </c>
      <c r="H17" s="1017"/>
      <c r="I17" s="1017"/>
      <c r="J17" s="1017"/>
      <c r="K17" s="1021" t="s">
        <v>1175</v>
      </c>
      <c r="L17" s="1014"/>
      <c r="M17" s="1007"/>
    </row>
    <row r="18" spans="1:13" ht="12.4" customHeight="1" x14ac:dyDescent="0.2">
      <c r="A18" s="2468"/>
      <c r="B18" s="2469"/>
      <c r="C18" s="2469"/>
      <c r="D18" s="2469"/>
      <c r="E18" s="2469"/>
      <c r="F18" s="2470"/>
      <c r="G18" s="2471" t="str">
        <f>COVER!T21</f>
        <v>815-626-1277</v>
      </c>
      <c r="H18" s="2472"/>
      <c r="I18" s="2472"/>
      <c r="J18" s="2472"/>
      <c r="K18" s="2471" t="str">
        <f>COVER!X21</f>
        <v>815-626-9118</v>
      </c>
      <c r="L18" s="2473"/>
    </row>
    <row r="19" spans="1:13" ht="12.4" customHeight="1" x14ac:dyDescent="0.2">
      <c r="A19" s="1022"/>
      <c r="C19" s="1022"/>
      <c r="D19" s="1022"/>
      <c r="E19" s="1022"/>
      <c r="F19" s="1022"/>
      <c r="G19" s="1022"/>
      <c r="H19" s="1022"/>
      <c r="I19" s="1022"/>
      <c r="J19" s="1022"/>
      <c r="K19" s="1022"/>
      <c r="L19" s="1022"/>
    </row>
    <row r="20" spans="1:13" ht="12.4" customHeight="1" x14ac:dyDescent="0.2">
      <c r="A20" s="1022"/>
      <c r="C20" s="1022"/>
      <c r="D20" s="1022"/>
      <c r="E20" s="1022"/>
      <c r="F20" s="1022"/>
      <c r="G20" s="1022"/>
      <c r="H20" s="1022"/>
      <c r="I20" s="1022"/>
      <c r="J20" s="1022" t="s">
        <v>1161</v>
      </c>
      <c r="K20" s="1000" t="s">
        <v>1161</v>
      </c>
    </row>
    <row r="21" spans="1:13" ht="12.4" customHeight="1" x14ac:dyDescent="0.2">
      <c r="A21" s="1023" t="s">
        <v>1679</v>
      </c>
    </row>
    <row r="22" spans="1:13" ht="12.4" customHeight="1" x14ac:dyDescent="0.2">
      <c r="A22" s="1024"/>
    </row>
    <row r="23" spans="1:13" ht="12.4" customHeight="1" x14ac:dyDescent="0.2">
      <c r="A23" s="1024"/>
      <c r="B23" s="1025" t="s">
        <v>2114</v>
      </c>
      <c r="C23" s="1026" t="s">
        <v>1174</v>
      </c>
    </row>
    <row r="24" spans="1:13" ht="10.15" customHeight="1" x14ac:dyDescent="0.2">
      <c r="A24" s="1024"/>
      <c r="C24" s="1026" t="s">
        <v>1173</v>
      </c>
    </row>
    <row r="25" spans="1:13" ht="9.4" customHeight="1" x14ac:dyDescent="0.2">
      <c r="B25" s="1027" t="s">
        <v>1161</v>
      </c>
      <c r="C25" s="1028"/>
    </row>
    <row r="26" spans="1:13" s="1022" customFormat="1" ht="12.4" customHeight="1" x14ac:dyDescent="0.2">
      <c r="B26" s="1025" t="s">
        <v>2114</v>
      </c>
      <c r="C26" s="1026" t="s">
        <v>1680</v>
      </c>
    </row>
    <row r="27" spans="1:13" s="1022" customFormat="1" ht="9.4" customHeight="1" x14ac:dyDescent="0.2">
      <c r="B27" s="1027"/>
      <c r="C27" s="1026"/>
    </row>
    <row r="28" spans="1:13" s="1022" customFormat="1" ht="12.4" customHeight="1" x14ac:dyDescent="0.2">
      <c r="A28" s="1029"/>
      <c r="B28" s="1025" t="s">
        <v>2114</v>
      </c>
      <c r="C28" s="1026" t="s">
        <v>1681</v>
      </c>
    </row>
    <row r="29" spans="1:13" s="1022" customFormat="1" ht="9.4" customHeight="1" x14ac:dyDescent="0.2">
      <c r="A29" s="1029"/>
      <c r="B29" s="1027"/>
      <c r="C29" s="1026"/>
    </row>
    <row r="30" spans="1:13" s="1022" customFormat="1" ht="12.4" customHeight="1" x14ac:dyDescent="0.2">
      <c r="B30" s="1025" t="s">
        <v>2114</v>
      </c>
      <c r="C30" s="1026" t="s">
        <v>1548</v>
      </c>
      <c r="D30" s="1020"/>
      <c r="E30" s="1020"/>
    </row>
    <row r="31" spans="1:13" s="1022" customFormat="1" ht="9.4" customHeight="1" x14ac:dyDescent="0.2">
      <c r="B31" s="1027"/>
      <c r="C31" s="1026"/>
      <c r="D31" s="1020"/>
      <c r="E31" s="1020"/>
    </row>
    <row r="32" spans="1:13" s="1022" customFormat="1" ht="12.4" customHeight="1" x14ac:dyDescent="0.2">
      <c r="B32" s="1025" t="s">
        <v>2114</v>
      </c>
      <c r="C32" s="1026" t="s">
        <v>1549</v>
      </c>
      <c r="D32" s="1020"/>
      <c r="E32" s="1020"/>
    </row>
    <row r="33" spans="1:8" s="1022" customFormat="1" ht="10.9" customHeight="1" x14ac:dyDescent="0.2">
      <c r="B33" s="1027"/>
      <c r="C33" s="1030" t="s">
        <v>1682</v>
      </c>
      <c r="D33" s="1020"/>
      <c r="E33" s="1020"/>
    </row>
    <row r="34" spans="1:8" ht="9.4" customHeight="1" x14ac:dyDescent="0.2">
      <c r="B34" s="1027"/>
      <c r="C34" s="1030"/>
    </row>
    <row r="35" spans="1:8" s="1022" customFormat="1" ht="13.5" customHeight="1" x14ac:dyDescent="0.2">
      <c r="B35" s="1025" t="s">
        <v>2114</v>
      </c>
      <c r="C35" s="1026" t="s">
        <v>1550</v>
      </c>
    </row>
    <row r="36" spans="1:8" s="1022" customFormat="1" ht="10.9" customHeight="1" x14ac:dyDescent="0.2">
      <c r="B36" s="1027"/>
      <c r="C36" s="1030" t="s">
        <v>1551</v>
      </c>
    </row>
    <row r="37" spans="1:8" ht="9.4" customHeight="1" x14ac:dyDescent="0.2">
      <c r="B37" s="1027"/>
      <c r="C37" s="1030"/>
    </row>
    <row r="38" spans="1:8" s="1022" customFormat="1" ht="12.4" customHeight="1" x14ac:dyDescent="0.2">
      <c r="B38" s="1025" t="s">
        <v>2114</v>
      </c>
      <c r="C38" s="1026" t="s">
        <v>1552</v>
      </c>
    </row>
    <row r="39" spans="1:8" ht="9.4" customHeight="1" x14ac:dyDescent="0.2">
      <c r="B39" s="1027"/>
      <c r="C39" s="1030"/>
    </row>
    <row r="40" spans="1:8" s="1022" customFormat="1" ht="13.5" customHeight="1" x14ac:dyDescent="0.2">
      <c r="B40" s="1025" t="s">
        <v>2114</v>
      </c>
      <c r="C40" s="1026" t="s">
        <v>1553</v>
      </c>
    </row>
    <row r="41" spans="1:8" ht="9.4" customHeight="1" x14ac:dyDescent="0.2">
      <c r="A41" s="1031"/>
      <c r="B41" s="1027"/>
      <c r="C41" s="1030"/>
    </row>
    <row r="42" spans="1:8" s="1022" customFormat="1" ht="13.5" customHeight="1" x14ac:dyDescent="0.2">
      <c r="B42" s="1025" t="s">
        <v>2114</v>
      </c>
      <c r="C42" s="1026" t="s">
        <v>1809</v>
      </c>
      <c r="D42" s="1020"/>
      <c r="E42" s="1020"/>
      <c r="F42" s="1020"/>
      <c r="G42" s="1020"/>
      <c r="H42" s="1020"/>
    </row>
    <row r="43" spans="1:8" s="1022" customFormat="1" ht="13.1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4" customHeight="1" x14ac:dyDescent="0.2">
      <c r="B46" s="1025"/>
      <c r="C46" s="1033" t="s">
        <v>1554</v>
      </c>
      <c r="D46" s="1020"/>
      <c r="E46" s="1020"/>
      <c r="F46" s="1020"/>
      <c r="G46" s="1020"/>
      <c r="H46" s="1020"/>
    </row>
    <row r="47" spans="1:8" ht="9.4" customHeight="1" x14ac:dyDescent="0.2"/>
    <row r="48" spans="1:8" ht="12.4" customHeight="1" x14ac:dyDescent="0.2">
      <c r="B48" s="1591"/>
      <c r="C48" s="1034" t="s">
        <v>1555</v>
      </c>
    </row>
    <row r="49" spans="1:12" ht="9.4" customHeight="1" x14ac:dyDescent="0.2"/>
    <row r="50" spans="1:12" ht="6" customHeight="1" x14ac:dyDescent="0.2">
      <c r="C50" s="1034"/>
    </row>
    <row r="51" spans="1:12" ht="12.4" customHeight="1" x14ac:dyDescent="0.2">
      <c r="A51" s="1032"/>
    </row>
    <row r="52" spans="1:12" ht="12.4" customHeight="1" x14ac:dyDescent="0.2"/>
    <row r="53" spans="1:12" ht="12.4" customHeight="1" x14ac:dyDescent="0.2"/>
    <row r="54" spans="1:12" ht="12.4" customHeight="1" x14ac:dyDescent="0.2"/>
    <row r="55" spans="1:12" ht="12.4" customHeight="1" x14ac:dyDescent="0.2">
      <c r="A55" s="1035"/>
    </row>
    <row r="58" spans="1:12" ht="13.1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2" zoomScale="125" zoomScaleNormal="125" workbookViewId="0">
      <selection activeCell="B126" sqref="B126"/>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513" t="str">
        <f>'Single Audit Cover'!A7</f>
        <v>Dixon USD 170</v>
      </c>
      <c r="B1" s="2514"/>
      <c r="C1" s="2514"/>
      <c r="D1" s="2514"/>
    </row>
    <row r="2" spans="1:11" s="1036" customFormat="1" ht="12.75" x14ac:dyDescent="0.2">
      <c r="A2" s="2515">
        <f>'Single Audit Cover'!E7</f>
        <v>47052170022</v>
      </c>
      <c r="B2" s="2516"/>
      <c r="C2" s="2516"/>
      <c r="D2" s="2516"/>
    </row>
    <row r="3" spans="1:11" s="1036" customFormat="1" ht="12.75" x14ac:dyDescent="0.2">
      <c r="A3" s="2513" t="s">
        <v>1499</v>
      </c>
      <c r="B3" s="2514"/>
      <c r="C3" s="2514"/>
      <c r="D3" s="251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t="s">
        <v>2114</v>
      </c>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t="s">
        <v>2114</v>
      </c>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t="s">
        <v>2114</v>
      </c>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t="s">
        <v>2114</v>
      </c>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t="s">
        <v>2114</v>
      </c>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t="s">
        <v>2114</v>
      </c>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t="s">
        <v>2114</v>
      </c>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t="s">
        <v>2114</v>
      </c>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t="s">
        <v>2114</v>
      </c>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t="s">
        <v>2114</v>
      </c>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t="s">
        <v>2114</v>
      </c>
      <c r="C42" s="1053">
        <v>11</v>
      </c>
      <c r="D42" s="1064" t="s">
        <v>1560</v>
      </c>
      <c r="E42" s="290"/>
    </row>
    <row r="43" spans="1:5" ht="3" customHeight="1" x14ac:dyDescent="0.2">
      <c r="A43" s="1043"/>
      <c r="B43" s="1060"/>
      <c r="C43" s="1061"/>
      <c r="D43" s="1042"/>
    </row>
    <row r="44" spans="1:5" x14ac:dyDescent="0.2">
      <c r="A44" s="1043"/>
      <c r="B44" s="1046" t="s">
        <v>2114</v>
      </c>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t="s">
        <v>2114</v>
      </c>
      <c r="C48" s="1047">
        <f>C44+1</f>
        <v>13</v>
      </c>
      <c r="D48" s="1058" t="s">
        <v>1561</v>
      </c>
    </row>
    <row r="49" spans="1:4" ht="3" customHeight="1" x14ac:dyDescent="0.2">
      <c r="A49" s="1043"/>
      <c r="B49" s="1050"/>
      <c r="C49" s="1047"/>
      <c r="D49" s="1058"/>
    </row>
    <row r="50" spans="1:4" x14ac:dyDescent="0.2">
      <c r="A50" s="1043"/>
      <c r="B50" s="1046" t="s">
        <v>2114</v>
      </c>
      <c r="C50" s="1047">
        <f>C48+1</f>
        <v>14</v>
      </c>
      <c r="D50" s="1058" t="s">
        <v>1204</v>
      </c>
    </row>
    <row r="51" spans="1:4" ht="3" customHeight="1" x14ac:dyDescent="0.2">
      <c r="A51" s="1043"/>
      <c r="B51" s="1050"/>
      <c r="C51" s="1047"/>
      <c r="D51" s="1058"/>
    </row>
    <row r="52" spans="1:4" x14ac:dyDescent="0.2">
      <c r="A52" s="1043"/>
      <c r="B52" s="1046" t="s">
        <v>2114</v>
      </c>
      <c r="C52" s="1047">
        <f>C50+1</f>
        <v>15</v>
      </c>
      <c r="D52" s="1058" t="s">
        <v>1203</v>
      </c>
    </row>
    <row r="53" spans="1:4" ht="3" customHeight="1" x14ac:dyDescent="0.2">
      <c r="A53" s="1043"/>
      <c r="B53" s="1050"/>
      <c r="C53" s="1047"/>
      <c r="D53" s="1058"/>
    </row>
    <row r="54" spans="1:4" x14ac:dyDescent="0.2">
      <c r="A54" s="1043"/>
      <c r="B54" s="1046" t="s">
        <v>2114</v>
      </c>
      <c r="C54" s="1047">
        <f>C52+1</f>
        <v>16</v>
      </c>
      <c r="D54" s="1058" t="s">
        <v>1202</v>
      </c>
    </row>
    <row r="55" spans="1:4" ht="3" customHeight="1" x14ac:dyDescent="0.2">
      <c r="A55" s="1043"/>
      <c r="B55" s="1050"/>
      <c r="C55" s="1047"/>
      <c r="D55" s="1058"/>
    </row>
    <row r="56" spans="1:4" x14ac:dyDescent="0.2">
      <c r="A56" s="1043"/>
      <c r="B56" s="1046" t="s">
        <v>2114</v>
      </c>
      <c r="C56" s="1047">
        <f>C54+1</f>
        <v>17</v>
      </c>
      <c r="D56" s="1042" t="s">
        <v>1689</v>
      </c>
    </row>
    <row r="57" spans="1:4" ht="10.5" customHeight="1" x14ac:dyDescent="0.2">
      <c r="A57" s="1043"/>
      <c r="D57" s="1058" t="s">
        <v>1690</v>
      </c>
    </row>
    <row r="58" spans="1:4" x14ac:dyDescent="0.2">
      <c r="A58" s="1043"/>
      <c r="C58" s="1065" t="s">
        <v>2114</v>
      </c>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t="s">
        <v>2114</v>
      </c>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t="s">
        <v>2114</v>
      </c>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t="s">
        <v>2114</v>
      </c>
      <c r="D69" s="1058" t="s">
        <v>1694</v>
      </c>
    </row>
    <row r="70" spans="1:4" x14ac:dyDescent="0.2">
      <c r="A70" s="1043"/>
      <c r="D70" s="1067" t="s">
        <v>1198</v>
      </c>
    </row>
    <row r="71" spans="1:4" ht="3" customHeight="1" x14ac:dyDescent="0.2">
      <c r="A71" s="1043"/>
      <c r="D71" s="1042"/>
    </row>
    <row r="72" spans="1:4" x14ac:dyDescent="0.2">
      <c r="A72" s="1043"/>
      <c r="B72" s="1046" t="s">
        <v>2114</v>
      </c>
      <c r="C72" s="1047">
        <f>C56+1</f>
        <v>18</v>
      </c>
      <c r="D72" s="1068" t="s">
        <v>1695</v>
      </c>
    </row>
    <row r="73" spans="1:4" ht="3" customHeight="1" x14ac:dyDescent="0.2">
      <c r="A73" s="1043"/>
      <c r="B73" s="1050" t="s">
        <v>2114</v>
      </c>
      <c r="C73" s="1047"/>
      <c r="D73" s="1068"/>
    </row>
    <row r="74" spans="1:4" x14ac:dyDescent="0.2">
      <c r="A74" s="1043"/>
      <c r="B74" s="1046" t="s">
        <v>2114</v>
      </c>
      <c r="C74" s="1047">
        <f>C72+1</f>
        <v>19</v>
      </c>
      <c r="D74" s="1058" t="s">
        <v>1197</v>
      </c>
    </row>
    <row r="75" spans="1:4" ht="3" customHeight="1" x14ac:dyDescent="0.2">
      <c r="A75" s="1043"/>
      <c r="B75" s="1050"/>
      <c r="C75" s="1047"/>
      <c r="D75" s="1058"/>
    </row>
    <row r="76" spans="1:4" x14ac:dyDescent="0.2">
      <c r="A76" s="1043"/>
      <c r="B76" s="1046" t="s">
        <v>2114</v>
      </c>
      <c r="C76" s="1047">
        <f>C74+1</f>
        <v>20</v>
      </c>
      <c r="D76" s="1069" t="s">
        <v>1696</v>
      </c>
    </row>
    <row r="77" spans="1:4" ht="3" customHeight="1" x14ac:dyDescent="0.2">
      <c r="A77" s="1043"/>
      <c r="B77" s="1050"/>
      <c r="C77" s="1047"/>
      <c r="D77" s="1069"/>
    </row>
    <row r="78" spans="1:4" x14ac:dyDescent="0.2">
      <c r="A78" s="1043"/>
      <c r="B78" s="1046" t="s">
        <v>2114</v>
      </c>
      <c r="C78" s="1047">
        <f>C76+1</f>
        <v>21</v>
      </c>
      <c r="D78" s="1042" t="s">
        <v>1697</v>
      </c>
    </row>
    <row r="79" spans="1:4" ht="3" customHeight="1" x14ac:dyDescent="0.2">
      <c r="A79" s="1043"/>
      <c r="B79" s="1050"/>
      <c r="C79" s="1047"/>
      <c r="D79" s="1042"/>
    </row>
    <row r="80" spans="1:4" x14ac:dyDescent="0.2">
      <c r="A80" s="1043"/>
      <c r="B80" s="1046" t="s">
        <v>2114</v>
      </c>
      <c r="C80" s="1047">
        <f>C78+1</f>
        <v>22</v>
      </c>
      <c r="D80" s="1070" t="s">
        <v>1698</v>
      </c>
    </row>
    <row r="81" spans="1:4" ht="3" customHeight="1" x14ac:dyDescent="0.2">
      <c r="A81" s="1043"/>
      <c r="B81" s="1050"/>
      <c r="C81" s="1047"/>
      <c r="D81" s="1070"/>
    </row>
    <row r="82" spans="1:4" x14ac:dyDescent="0.2">
      <c r="A82" s="1043"/>
      <c r="B82" s="1046" t="s">
        <v>2114</v>
      </c>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t="s">
        <v>2114</v>
      </c>
      <c r="C85" s="1047">
        <f>C82+1</f>
        <v>24</v>
      </c>
      <c r="D85" s="1058" t="s">
        <v>1195</v>
      </c>
    </row>
    <row r="86" spans="1:4" ht="3" customHeight="1" x14ac:dyDescent="0.2">
      <c r="A86" s="1043"/>
      <c r="B86" s="1050"/>
      <c r="C86" s="1047"/>
      <c r="D86" s="1058"/>
    </row>
    <row r="87" spans="1:4" x14ac:dyDescent="0.2">
      <c r="A87" s="1043"/>
      <c r="B87" s="1046" t="s">
        <v>2114</v>
      </c>
      <c r="C87" s="1047">
        <f>C85+1</f>
        <v>25</v>
      </c>
      <c r="D87" s="1058" t="s">
        <v>1194</v>
      </c>
    </row>
    <row r="88" spans="1:4" ht="3" customHeight="1" x14ac:dyDescent="0.2">
      <c r="A88" s="1043"/>
      <c r="B88" s="1050"/>
      <c r="C88" s="1047"/>
      <c r="D88" s="1058"/>
    </row>
    <row r="89" spans="1:4" x14ac:dyDescent="0.2">
      <c r="A89" s="1043"/>
      <c r="B89" s="1046" t="s">
        <v>2114</v>
      </c>
      <c r="C89" s="1047">
        <f>C87+1</f>
        <v>26</v>
      </c>
      <c r="D89" s="1058" t="s">
        <v>1193</v>
      </c>
    </row>
    <row r="90" spans="1:4" ht="3" customHeight="1" x14ac:dyDescent="0.2">
      <c r="A90" s="1043"/>
      <c r="B90" s="1050"/>
      <c r="C90" s="1047"/>
      <c r="D90" s="1058"/>
    </row>
    <row r="91" spans="1:4" x14ac:dyDescent="0.2">
      <c r="A91" s="1043"/>
      <c r="B91" s="1046" t="s">
        <v>2114</v>
      </c>
      <c r="C91" s="1047">
        <f>C89+1</f>
        <v>27</v>
      </c>
      <c r="D91" s="1058" t="s">
        <v>1700</v>
      </c>
    </row>
    <row r="92" spans="1:4" x14ac:dyDescent="0.2">
      <c r="A92" s="1043"/>
      <c r="B92" s="1071"/>
      <c r="C92" s="1065" t="s">
        <v>2115</v>
      </c>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t="s">
        <v>2114</v>
      </c>
      <c r="C96" s="1047">
        <f>C91+1</f>
        <v>28</v>
      </c>
      <c r="D96" s="1058" t="s">
        <v>1701</v>
      </c>
    </row>
    <row r="97" spans="1:4" ht="3" customHeight="1" x14ac:dyDescent="0.2">
      <c r="A97" s="1043"/>
      <c r="B97" s="1050"/>
      <c r="C97" s="1047"/>
      <c r="D97" s="1058"/>
    </row>
    <row r="98" spans="1:4" x14ac:dyDescent="0.2">
      <c r="A98" s="1043"/>
      <c r="B98" s="1046" t="s">
        <v>2114</v>
      </c>
      <c r="C98" s="1047">
        <f>C96+1</f>
        <v>29</v>
      </c>
      <c r="D98" s="1072" t="s">
        <v>1702</v>
      </c>
    </row>
    <row r="99" spans="1:4" ht="3" customHeight="1" x14ac:dyDescent="0.2">
      <c r="A99" s="1043"/>
      <c r="B99" s="1050"/>
      <c r="C99" s="1047"/>
      <c r="D99" s="1072"/>
    </row>
    <row r="100" spans="1:4" x14ac:dyDescent="0.2">
      <c r="A100" s="1043"/>
      <c r="B100" s="1046" t="s">
        <v>2114</v>
      </c>
      <c r="C100" s="1047">
        <f>C98+1</f>
        <v>30</v>
      </c>
      <c r="D100" s="1058" t="s">
        <v>1703</v>
      </c>
    </row>
    <row r="101" spans="1:4" ht="3" customHeight="1" x14ac:dyDescent="0.2">
      <c r="A101" s="1043"/>
      <c r="B101" s="1050"/>
      <c r="C101" s="1047"/>
      <c r="D101" s="1073"/>
    </row>
    <row r="102" spans="1:4" x14ac:dyDescent="0.2">
      <c r="A102" s="1043"/>
      <c r="B102" s="1046" t="s">
        <v>2114</v>
      </c>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t="s">
        <v>2114</v>
      </c>
      <c r="C106" s="1047">
        <f>C102+1</f>
        <v>32</v>
      </c>
      <c r="D106" s="1042" t="s">
        <v>1566</v>
      </c>
    </row>
    <row r="107" spans="1:4" ht="3" customHeight="1" x14ac:dyDescent="0.2">
      <c r="A107" s="1043"/>
      <c r="B107" s="1050"/>
      <c r="C107" s="1047"/>
      <c r="D107" s="1042"/>
    </row>
    <row r="108" spans="1:4" x14ac:dyDescent="0.2">
      <c r="A108" s="1043"/>
      <c r="B108" s="1046" t="s">
        <v>2114</v>
      </c>
      <c r="C108" s="1047">
        <v>33</v>
      </c>
      <c r="D108" s="1042" t="s">
        <v>1704</v>
      </c>
    </row>
    <row r="109" spans="1:4" ht="3" customHeight="1" x14ac:dyDescent="0.2">
      <c r="A109" s="1043"/>
      <c r="B109" s="1050"/>
      <c r="C109" s="1047"/>
      <c r="D109" s="1042"/>
    </row>
    <row r="110" spans="1:4" x14ac:dyDescent="0.2">
      <c r="A110" s="1043"/>
      <c r="B110" s="1046" t="s">
        <v>2115</v>
      </c>
      <c r="C110" s="1047">
        <f>C108+1</f>
        <v>34</v>
      </c>
      <c r="D110" s="1042" t="s">
        <v>1190</v>
      </c>
    </row>
    <row r="111" spans="1:4" ht="3" customHeight="1" x14ac:dyDescent="0.2">
      <c r="A111" s="1043"/>
      <c r="B111" s="1050"/>
      <c r="C111" s="1047"/>
      <c r="D111" s="1042"/>
    </row>
    <row r="112" spans="1:4" x14ac:dyDescent="0.2">
      <c r="A112" s="1043"/>
      <c r="B112" s="1046" t="s">
        <v>2115</v>
      </c>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t="s">
        <v>2115</v>
      </c>
      <c r="C115" s="1047">
        <f>C112+1</f>
        <v>36</v>
      </c>
      <c r="D115" s="1058" t="s">
        <v>1187</v>
      </c>
    </row>
    <row r="116" spans="1:4" ht="3" customHeight="1" x14ac:dyDescent="0.2">
      <c r="A116" s="1043"/>
      <c r="B116" s="1050"/>
      <c r="C116" s="1047"/>
      <c r="D116" s="1058"/>
    </row>
    <row r="117" spans="1:4" x14ac:dyDescent="0.2">
      <c r="A117" s="1043"/>
      <c r="B117" s="1046" t="s">
        <v>2115</v>
      </c>
      <c r="C117" s="1047">
        <f>C115+1</f>
        <v>37</v>
      </c>
      <c r="D117" s="1058" t="s">
        <v>1705</v>
      </c>
    </row>
    <row r="118" spans="1:4" ht="3" customHeight="1" x14ac:dyDescent="0.2">
      <c r="A118" s="1043"/>
      <c r="B118" s="1050"/>
      <c r="C118" s="1047"/>
      <c r="D118" s="1058"/>
    </row>
    <row r="119" spans="1:4" x14ac:dyDescent="0.2">
      <c r="A119" s="1043"/>
      <c r="B119" s="1046" t="s">
        <v>2115</v>
      </c>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t="s">
        <v>2114</v>
      </c>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H32" sqref="H32"/>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518" t="str">
        <f>'Single Audit Cover'!A7</f>
        <v>Dixon USD 170</v>
      </c>
      <c r="B1" s="2518"/>
      <c r="C1" s="2518"/>
      <c r="D1" s="2518"/>
      <c r="E1" s="2518"/>
    </row>
    <row r="2" spans="1:5" x14ac:dyDescent="0.2">
      <c r="A2" s="2519">
        <f>'Single Audit Cover'!E7</f>
        <v>47052170022</v>
      </c>
      <c r="B2" s="2519"/>
      <c r="C2" s="2519"/>
      <c r="D2" s="2519"/>
      <c r="E2" s="2519"/>
    </row>
    <row r="3" spans="1:5" ht="4.5" customHeight="1" x14ac:dyDescent="0.2"/>
    <row r="4" spans="1:5" x14ac:dyDescent="0.2">
      <c r="A4" s="2518" t="s">
        <v>1236</v>
      </c>
      <c r="B4" s="2518"/>
      <c r="C4" s="2518"/>
      <c r="D4" s="2518"/>
      <c r="E4" s="2518"/>
    </row>
    <row r="5" spans="1:5" x14ac:dyDescent="0.2">
      <c r="A5" s="2521" t="str">
        <f>'Single Audit Cover'!A4</f>
        <v>Year Ending June 30, 2020</v>
      </c>
      <c r="B5" s="2521"/>
      <c r="C5" s="2521"/>
      <c r="D5" s="2521"/>
      <c r="E5" s="2521"/>
    </row>
    <row r="6" spans="1:5" x14ac:dyDescent="0.2">
      <c r="A6" s="2518" t="s">
        <v>1235</v>
      </c>
      <c r="B6" s="2518"/>
      <c r="C6" s="2518"/>
      <c r="D6" s="2518"/>
      <c r="E6" s="2518"/>
    </row>
    <row r="8" spans="1:5" x14ac:dyDescent="0.2">
      <c r="A8" s="1081" t="s">
        <v>1234</v>
      </c>
    </row>
    <row r="10" spans="1:5" x14ac:dyDescent="0.2">
      <c r="A10" s="1082" t="s">
        <v>1233</v>
      </c>
      <c r="B10" s="1083" t="s">
        <v>1232</v>
      </c>
      <c r="C10" s="1083"/>
      <c r="D10" s="1084">
        <f>SUM('Acct Summary 7-8'!C7:K7)</f>
        <v>1944652</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63897</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-232976</v>
      </c>
    </row>
    <row r="19" spans="1:4" ht="13.5" thickBot="1" x14ac:dyDescent="0.25">
      <c r="A19" s="1086" t="s">
        <v>1226</v>
      </c>
      <c r="D19" s="1087">
        <f>SUM(D10:D17)</f>
        <v>1775573</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520"/>
      <c r="B24" s="2520"/>
      <c r="D24" s="1089"/>
    </row>
    <row r="25" spans="1:4" x14ac:dyDescent="0.2">
      <c r="A25" s="2517"/>
      <c r="B25" s="2517"/>
      <c r="D25" s="1089"/>
    </row>
    <row r="26" spans="1:4" x14ac:dyDescent="0.2">
      <c r="A26" s="2517"/>
      <c r="B26" s="2517"/>
      <c r="D26" s="1089"/>
    </row>
    <row r="27" spans="1:4" x14ac:dyDescent="0.2">
      <c r="A27" s="2517"/>
      <c r="B27" s="2517"/>
      <c r="D27" s="1089"/>
    </row>
    <row r="28" spans="1:4" x14ac:dyDescent="0.2">
      <c r="A28" s="2517"/>
      <c r="B28" s="2517"/>
      <c r="D28" s="1089"/>
    </row>
    <row r="29" spans="1:4" x14ac:dyDescent="0.2">
      <c r="A29" s="2517"/>
      <c r="B29" s="2517"/>
      <c r="D29" s="1089"/>
    </row>
    <row r="30" spans="1:4" x14ac:dyDescent="0.2">
      <c r="A30" s="2517"/>
      <c r="B30" s="2517"/>
      <c r="D30" s="1089"/>
    </row>
    <row r="32" spans="1:4" x14ac:dyDescent="0.2">
      <c r="A32" s="1081" t="s">
        <v>1224</v>
      </c>
      <c r="D32" s="1084">
        <f>SUM(D19:D30)</f>
        <v>1775573</v>
      </c>
    </row>
    <row r="33" spans="1:4" x14ac:dyDescent="0.2">
      <c r="D33" s="1090"/>
    </row>
    <row r="34" spans="1:4" x14ac:dyDescent="0.2">
      <c r="A34" s="295" t="s">
        <v>1223</v>
      </c>
    </row>
    <row r="35" spans="1:4" x14ac:dyDescent="0.2">
      <c r="A35" s="295" t="s">
        <v>1222</v>
      </c>
      <c r="B35" s="1079" t="s">
        <v>1221</v>
      </c>
      <c r="D35" s="1091">
        <f>'Wipfli SEFA'!G67</f>
        <v>1778100</v>
      </c>
    </row>
    <row r="37" spans="1:4" x14ac:dyDescent="0.2">
      <c r="A37" s="1081" t="s">
        <v>1220</v>
      </c>
    </row>
    <row r="39" spans="1:4" ht="13.35" customHeight="1" x14ac:dyDescent="0.2">
      <c r="A39" s="1088" t="s">
        <v>1219</v>
      </c>
    </row>
    <row r="40" spans="1:4" x14ac:dyDescent="0.2">
      <c r="A40" s="2517" t="s">
        <v>2143</v>
      </c>
      <c r="B40" s="2517"/>
      <c r="D40" s="1089">
        <v>-2527</v>
      </c>
    </row>
    <row r="41" spans="1:4" x14ac:dyDescent="0.2">
      <c r="A41" s="2517"/>
      <c r="B41" s="2517"/>
      <c r="D41" s="1092"/>
    </row>
    <row r="42" spans="1:4" x14ac:dyDescent="0.2">
      <c r="A42" s="2517"/>
      <c r="B42" s="2517"/>
      <c r="D42" s="1092"/>
    </row>
    <row r="43" spans="1:4" x14ac:dyDescent="0.2">
      <c r="A43" s="2517"/>
      <c r="B43" s="2517"/>
      <c r="D43" s="1092"/>
    </row>
    <row r="44" spans="1:4" x14ac:dyDescent="0.2">
      <c r="A44" s="2517"/>
      <c r="B44" s="2517"/>
      <c r="D44" s="1092"/>
    </row>
    <row r="45" spans="1:4" x14ac:dyDescent="0.2">
      <c r="A45" s="2517"/>
      <c r="B45" s="2517"/>
      <c r="D45" s="1092"/>
    </row>
    <row r="47" spans="1:4" x14ac:dyDescent="0.2">
      <c r="B47" s="1093" t="s">
        <v>1218</v>
      </c>
      <c r="C47" s="1093"/>
      <c r="D47" s="1094">
        <f>SUM(D35:D45)</f>
        <v>1775573</v>
      </c>
    </row>
    <row r="49" spans="2:4" x14ac:dyDescent="0.2">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B1:N152"/>
  <sheetViews>
    <sheetView showGridLines="0" zoomScaleNormal="100" workbookViewId="0">
      <selection activeCell="N17" sqref="N17"/>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7" t="str">
        <f>'Single Audit Cover'!A7</f>
        <v>Dixon USD 170</v>
      </c>
      <c r="C1" s="2522"/>
      <c r="D1" s="2522"/>
      <c r="E1" s="2522"/>
      <c r="F1" s="2522"/>
      <c r="G1" s="2522"/>
      <c r="H1" s="2522"/>
      <c r="I1" s="2522"/>
      <c r="J1" s="2522"/>
      <c r="K1" s="2522"/>
      <c r="L1" s="2522"/>
      <c r="M1" s="2522"/>
    </row>
    <row r="2" spans="2:14" ht="15" x14ac:dyDescent="0.2">
      <c r="B2" s="2523">
        <f>'Single Audit Cover'!E7</f>
        <v>47052170022</v>
      </c>
      <c r="C2" s="2523"/>
      <c r="D2" s="2523"/>
      <c r="E2" s="2523"/>
      <c r="F2" s="2523"/>
      <c r="G2" s="2523"/>
      <c r="H2" s="2523"/>
      <c r="I2" s="2523"/>
      <c r="J2" s="2523"/>
      <c r="K2" s="2523"/>
      <c r="L2" s="2523"/>
      <c r="M2" s="2523"/>
      <c r="N2" s="1123"/>
    </row>
    <row r="3" spans="2:14" ht="15" x14ac:dyDescent="0.2">
      <c r="B3" s="2524" t="s">
        <v>1210</v>
      </c>
      <c r="C3" s="2524"/>
      <c r="D3" s="2524"/>
      <c r="E3" s="2524"/>
      <c r="F3" s="2524"/>
      <c r="G3" s="2524"/>
      <c r="H3" s="2524"/>
      <c r="I3" s="2524"/>
      <c r="J3" s="2524"/>
      <c r="K3" s="2524"/>
      <c r="L3" s="2524"/>
      <c r="M3" s="2524"/>
      <c r="N3" s="1123"/>
    </row>
    <row r="4" spans="2:14" ht="15" x14ac:dyDescent="0.2">
      <c r="B4" s="2525" t="str">
        <f>'Single Audit Cover'!A4</f>
        <v>Year Ending June 30, 2020</v>
      </c>
      <c r="C4" s="2525"/>
      <c r="D4" s="2525"/>
      <c r="E4" s="2525"/>
      <c r="F4" s="2525"/>
      <c r="G4" s="2525"/>
      <c r="H4" s="2525"/>
      <c r="I4" s="2525"/>
      <c r="J4" s="2525"/>
      <c r="K4" s="2525"/>
      <c r="L4" s="2525"/>
      <c r="M4" s="2525"/>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25" customHeight="1" x14ac:dyDescent="0.2">
      <c r="B11" s="1158"/>
      <c r="C11" s="1879"/>
      <c r="D11" s="1880"/>
      <c r="E11" s="1881"/>
      <c r="F11" s="1881"/>
      <c r="G11" s="1881"/>
      <c r="H11" s="1881"/>
      <c r="I11" s="1881"/>
      <c r="J11" s="1881"/>
      <c r="K11" s="1881"/>
      <c r="L11" s="1881">
        <f>+G11+I11+K11</f>
        <v>0</v>
      </c>
      <c r="M11" s="1881"/>
    </row>
    <row r="12" spans="2:14" ht="20.25" customHeight="1" x14ac:dyDescent="0.2">
      <c r="B12" s="1158"/>
      <c r="C12" s="1882"/>
      <c r="D12" s="1883"/>
      <c r="E12" s="1884"/>
      <c r="F12" s="1884"/>
      <c r="G12" s="1884"/>
      <c r="H12" s="1884"/>
      <c r="I12" s="1884"/>
      <c r="J12" s="1884"/>
      <c r="K12" s="1884"/>
      <c r="L12" s="1881">
        <f t="shared" ref="L12:L27" si="0">+G12+I12+K12</f>
        <v>0</v>
      </c>
      <c r="M12" s="1884"/>
    </row>
    <row r="13" spans="2:14" ht="20.25" customHeight="1" x14ac:dyDescent="0.2">
      <c r="B13" s="1158"/>
      <c r="C13" s="1882"/>
      <c r="D13" s="1883"/>
      <c r="E13" s="1884"/>
      <c r="F13" s="1884"/>
      <c r="G13" s="1884"/>
      <c r="H13" s="1884"/>
      <c r="I13" s="1884"/>
      <c r="J13" s="1884"/>
      <c r="K13" s="1884"/>
      <c r="L13" s="1881">
        <f t="shared" si="0"/>
        <v>0</v>
      </c>
      <c r="M13" s="1884"/>
    </row>
    <row r="14" spans="2:14" ht="20.25" customHeight="1" x14ac:dyDescent="0.2">
      <c r="B14" s="1158"/>
      <c r="C14" s="1882"/>
      <c r="D14" s="1883"/>
      <c r="E14" s="1884"/>
      <c r="F14" s="1884"/>
      <c r="G14" s="1884"/>
      <c r="H14" s="1884"/>
      <c r="I14" s="1884"/>
      <c r="J14" s="1884"/>
      <c r="K14" s="1884"/>
      <c r="L14" s="1881">
        <f t="shared" si="0"/>
        <v>0</v>
      </c>
      <c r="M14" s="1884"/>
    </row>
    <row r="15" spans="2:14" ht="20.25" customHeight="1" x14ac:dyDescent="0.2">
      <c r="B15" s="1158" t="s">
        <v>1161</v>
      </c>
      <c r="C15" s="1882"/>
      <c r="D15" s="1883"/>
      <c r="E15" s="1884"/>
      <c r="F15" s="1884"/>
      <c r="G15" s="1884"/>
      <c r="H15" s="1884"/>
      <c r="I15" s="1884"/>
      <c r="J15" s="1884"/>
      <c r="K15" s="1884"/>
      <c r="L15" s="1881">
        <f t="shared" si="0"/>
        <v>0</v>
      </c>
      <c r="M15" s="1884"/>
    </row>
    <row r="16" spans="2:14" ht="20.25" customHeight="1" x14ac:dyDescent="0.2">
      <c r="B16" s="1158"/>
      <c r="C16" s="1882"/>
      <c r="D16" s="1883"/>
      <c r="E16" s="1884"/>
      <c r="F16" s="1884"/>
      <c r="G16" s="1884"/>
      <c r="H16" s="1884"/>
      <c r="I16" s="1884"/>
      <c r="J16" s="1884"/>
      <c r="K16" s="1884"/>
      <c r="L16" s="1881">
        <f t="shared" si="0"/>
        <v>0</v>
      </c>
      <c r="M16" s="1884"/>
    </row>
    <row r="17" spans="2:14" ht="20.25" customHeight="1" x14ac:dyDescent="0.2">
      <c r="B17" s="1158"/>
      <c r="C17" s="1882"/>
      <c r="D17" s="1883"/>
      <c r="E17" s="1884"/>
      <c r="F17" s="1884"/>
      <c r="G17" s="1884"/>
      <c r="H17" s="1884"/>
      <c r="I17" s="1884"/>
      <c r="J17" s="1884"/>
      <c r="K17" s="1884"/>
      <c r="L17" s="1881">
        <f t="shared" si="0"/>
        <v>0</v>
      </c>
      <c r="M17" s="1884"/>
    </row>
    <row r="18" spans="2:14" ht="20.25" customHeight="1" x14ac:dyDescent="0.2">
      <c r="B18" s="1158"/>
      <c r="C18" s="1882"/>
      <c r="D18" s="1883"/>
      <c r="E18" s="1884"/>
      <c r="F18" s="1884"/>
      <c r="G18" s="1884"/>
      <c r="H18" s="1884"/>
      <c r="I18" s="1884"/>
      <c r="J18" s="1884"/>
      <c r="K18" s="1884"/>
      <c r="L18" s="1881">
        <f t="shared" si="0"/>
        <v>0</v>
      </c>
      <c r="M18" s="1884"/>
    </row>
    <row r="19" spans="2:14" ht="20.25" customHeight="1" x14ac:dyDescent="0.2">
      <c r="B19" s="1158"/>
      <c r="C19" s="1882"/>
      <c r="D19" s="1883"/>
      <c r="E19" s="1884"/>
      <c r="F19" s="1884"/>
      <c r="G19" s="1884"/>
      <c r="H19" s="1884"/>
      <c r="I19" s="1884"/>
      <c r="J19" s="1884"/>
      <c r="K19" s="1884"/>
      <c r="L19" s="1881">
        <f t="shared" si="0"/>
        <v>0</v>
      </c>
      <c r="M19" s="1884"/>
    </row>
    <row r="20" spans="2:14" ht="20.25" customHeight="1" x14ac:dyDescent="0.2">
      <c r="B20" s="1158"/>
      <c r="C20" s="1882"/>
      <c r="D20" s="1883"/>
      <c r="E20" s="1884"/>
      <c r="F20" s="1884"/>
      <c r="G20" s="1884"/>
      <c r="H20" s="1884"/>
      <c r="I20" s="1884"/>
      <c r="J20" s="1884"/>
      <c r="K20" s="1884"/>
      <c r="L20" s="1881">
        <f t="shared" si="0"/>
        <v>0</v>
      </c>
      <c r="M20" s="1884"/>
    </row>
    <row r="21" spans="2:14" ht="20.25" customHeight="1" x14ac:dyDescent="0.2">
      <c r="B21" s="1158"/>
      <c r="C21" s="1882"/>
      <c r="D21" s="1883"/>
      <c r="E21" s="1884"/>
      <c r="F21" s="1884"/>
      <c r="G21" s="1884"/>
      <c r="H21" s="1884"/>
      <c r="I21" s="1884"/>
      <c r="J21" s="1884"/>
      <c r="K21" s="1884"/>
      <c r="L21" s="1881">
        <f t="shared" si="0"/>
        <v>0</v>
      </c>
      <c r="M21" s="1884"/>
    </row>
    <row r="22" spans="2:14" ht="20.25" customHeight="1" x14ac:dyDescent="0.2">
      <c r="B22" s="1158"/>
      <c r="C22" s="1882"/>
      <c r="D22" s="1883"/>
      <c r="E22" s="1884"/>
      <c r="F22" s="1884"/>
      <c r="G22" s="1884"/>
      <c r="H22" s="1884"/>
      <c r="I22" s="1884"/>
      <c r="J22" s="1884"/>
      <c r="K22" s="1884"/>
      <c r="L22" s="1881">
        <f t="shared" si="0"/>
        <v>0</v>
      </c>
      <c r="M22" s="1884"/>
    </row>
    <row r="23" spans="2:14" ht="20.25" customHeight="1" x14ac:dyDescent="0.2">
      <c r="B23" s="1158"/>
      <c r="C23" s="1882"/>
      <c r="D23" s="1883"/>
      <c r="E23" s="1884"/>
      <c r="F23" s="1884"/>
      <c r="G23" s="1884"/>
      <c r="H23" s="1884"/>
      <c r="I23" s="1884"/>
      <c r="J23" s="1884"/>
      <c r="K23" s="1884"/>
      <c r="L23" s="1881">
        <f t="shared" si="0"/>
        <v>0</v>
      </c>
      <c r="M23" s="1884"/>
    </row>
    <row r="24" spans="2:14" ht="20.25" customHeight="1" x14ac:dyDescent="0.2">
      <c r="B24" s="1158"/>
      <c r="C24" s="1882"/>
      <c r="D24" s="1883"/>
      <c r="E24" s="1884"/>
      <c r="F24" s="1884"/>
      <c r="G24" s="1884"/>
      <c r="H24" s="1884"/>
      <c r="I24" s="1884"/>
      <c r="J24" s="1884"/>
      <c r="K24" s="1884"/>
      <c r="L24" s="1881">
        <f t="shared" si="0"/>
        <v>0</v>
      </c>
      <c r="M24" s="1884"/>
    </row>
    <row r="25" spans="2:14" ht="20.25" customHeight="1" x14ac:dyDescent="0.2">
      <c r="B25" s="1158"/>
      <c r="C25" s="1882"/>
      <c r="D25" s="1883"/>
      <c r="E25" s="1884"/>
      <c r="F25" s="1884"/>
      <c r="G25" s="1884"/>
      <c r="H25" s="1884"/>
      <c r="I25" s="1884"/>
      <c r="J25" s="1884"/>
      <c r="K25" s="1884"/>
      <c r="L25" s="1881">
        <f t="shared" si="0"/>
        <v>0</v>
      </c>
      <c r="M25" s="1884"/>
    </row>
    <row r="26" spans="2:14" ht="20.25" customHeight="1" x14ac:dyDescent="0.2">
      <c r="B26" s="1158"/>
      <c r="C26" s="1882"/>
      <c r="D26" s="1883"/>
      <c r="E26" s="1884"/>
      <c r="F26" s="1884"/>
      <c r="G26" s="1884"/>
      <c r="H26" s="1884"/>
      <c r="I26" s="1884"/>
      <c r="J26" s="1884"/>
      <c r="K26" s="1884"/>
      <c r="L26" s="1881">
        <f t="shared" si="0"/>
        <v>0</v>
      </c>
      <c r="M26" s="1884"/>
    </row>
    <row r="27" spans="2:14" ht="20.25" customHeight="1" x14ac:dyDescent="0.2">
      <c r="B27" s="1158"/>
      <c r="C27" s="1882"/>
      <c r="D27" s="1883"/>
      <c r="E27" s="1884"/>
      <c r="F27" s="1884"/>
      <c r="G27" s="1884"/>
      <c r="H27" s="1884"/>
      <c r="I27" s="1884"/>
      <c r="J27" s="1884"/>
      <c r="K27" s="1884"/>
      <c r="L27" s="1881">
        <f t="shared" si="0"/>
        <v>0</v>
      </c>
      <c r="M27" s="1884"/>
      <c r="N27" s="1159"/>
    </row>
    <row r="28" spans="2:14" ht="13.1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6" colorId="8" zoomScaleNormal="100" workbookViewId="0">
      <selection activeCell="H89" sqref="H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4" customHeight="1" x14ac:dyDescent="0.2">
      <c r="A2" s="2133" t="s">
        <v>1160</v>
      </c>
      <c r="B2" s="2133"/>
      <c r="C2" s="2133"/>
      <c r="D2" s="2133"/>
      <c r="E2" s="2133"/>
      <c r="F2" s="2133"/>
      <c r="G2" s="2133"/>
      <c r="H2" s="2133"/>
      <c r="I2" s="2133"/>
      <c r="J2" s="213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2033</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47" t="s">
        <v>1619</v>
      </c>
      <c r="B35" s="2148"/>
      <c r="C35" s="2148"/>
      <c r="D35" s="2148"/>
      <c r="E35" s="2149"/>
      <c r="F35" s="2149"/>
      <c r="G35" s="2149"/>
      <c r="H35" s="2149"/>
      <c r="I35" s="214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147" t="s">
        <v>310</v>
      </c>
      <c r="B47" s="2150"/>
      <c r="C47" s="2150"/>
      <c r="D47" s="2150"/>
      <c r="E47" s="2151"/>
      <c r="F47" s="2151"/>
      <c r="G47" s="2151"/>
      <c r="H47" s="2151"/>
      <c r="I47" s="215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3.15" customHeight="1" x14ac:dyDescent="0.2">
      <c r="A57" s="248"/>
      <c r="B57" s="2154" t="s">
        <v>2044</v>
      </c>
      <c r="C57" s="2155"/>
      <c r="D57" s="2155"/>
      <c r="E57" s="2155"/>
      <c r="F57" s="2155"/>
      <c r="G57" s="2155"/>
      <c r="H57" s="2155"/>
      <c r="I57" s="2155"/>
      <c r="J57" s="2156"/>
    </row>
    <row r="58" spans="1:10" s="176" customFormat="1" x14ac:dyDescent="0.2">
      <c r="A58" s="248"/>
      <c r="B58" s="2157"/>
      <c r="C58" s="2158"/>
      <c r="D58" s="2158"/>
      <c r="E58" s="2158"/>
      <c r="F58" s="2158"/>
      <c r="G58" s="2158"/>
      <c r="H58" s="2158"/>
      <c r="I58" s="2158"/>
      <c r="J58" s="2159"/>
    </row>
    <row r="59" spans="1:10" s="176" customFormat="1" x14ac:dyDescent="0.2">
      <c r="A59" s="248"/>
      <c r="B59" s="2157"/>
      <c r="C59" s="2158"/>
      <c r="D59" s="2158"/>
      <c r="E59" s="2158"/>
      <c r="F59" s="2158"/>
      <c r="G59" s="2158"/>
      <c r="H59" s="2158"/>
      <c r="I59" s="2158"/>
      <c r="J59" s="2159"/>
    </row>
    <row r="60" spans="1:10" s="176" customFormat="1" x14ac:dyDescent="0.2">
      <c r="A60" s="248"/>
      <c r="B60" s="2157"/>
      <c r="C60" s="2158"/>
      <c r="D60" s="2158"/>
      <c r="E60" s="2158"/>
      <c r="F60" s="2158"/>
      <c r="G60" s="2158"/>
      <c r="H60" s="2158"/>
      <c r="I60" s="2158"/>
      <c r="J60" s="2159"/>
    </row>
    <row r="61" spans="1:10" s="176" customFormat="1" x14ac:dyDescent="0.2">
      <c r="A61" s="248"/>
      <c r="B61" s="2157"/>
      <c r="C61" s="2158"/>
      <c r="D61" s="2158"/>
      <c r="E61" s="2158"/>
      <c r="F61" s="2158"/>
      <c r="G61" s="2158"/>
      <c r="H61" s="2158"/>
      <c r="I61" s="2158"/>
      <c r="J61" s="2159"/>
    </row>
    <row r="62" spans="1:10" s="176" customFormat="1" x14ac:dyDescent="0.2">
      <c r="A62" s="248"/>
      <c r="B62" s="2157"/>
      <c r="C62" s="2158"/>
      <c r="D62" s="2158"/>
      <c r="E62" s="2158"/>
      <c r="F62" s="2158"/>
      <c r="G62" s="2158"/>
      <c r="H62" s="2158"/>
      <c r="I62" s="2158"/>
      <c r="J62" s="2159"/>
    </row>
    <row r="63" spans="1:10" s="176" customFormat="1" x14ac:dyDescent="0.2">
      <c r="A63" s="248"/>
      <c r="B63" s="2157"/>
      <c r="C63" s="2158"/>
      <c r="D63" s="2158"/>
      <c r="E63" s="2158"/>
      <c r="F63" s="2158"/>
      <c r="G63" s="2158"/>
      <c r="H63" s="2158"/>
      <c r="I63" s="2158"/>
      <c r="J63" s="2159"/>
    </row>
    <row r="64" spans="1:10" s="176" customFormat="1" x14ac:dyDescent="0.2">
      <c r="A64" s="248"/>
      <c r="B64" s="2157"/>
      <c r="C64" s="2158"/>
      <c r="D64" s="2158"/>
      <c r="E64" s="2158"/>
      <c r="F64" s="2158"/>
      <c r="G64" s="2158"/>
      <c r="H64" s="2158"/>
      <c r="I64" s="2158"/>
      <c r="J64" s="2159"/>
    </row>
    <row r="65" spans="1:11" s="176" customFormat="1" x14ac:dyDescent="0.2">
      <c r="A65" s="248"/>
      <c r="B65" s="2157"/>
      <c r="C65" s="2158"/>
      <c r="D65" s="2158"/>
      <c r="E65" s="2158"/>
      <c r="F65" s="2158"/>
      <c r="G65" s="2158"/>
      <c r="H65" s="2158"/>
      <c r="I65" s="2158"/>
      <c r="J65" s="2159"/>
    </row>
    <row r="66" spans="1:11" s="176" customFormat="1" x14ac:dyDescent="0.2">
      <c r="A66" s="248"/>
      <c r="B66" s="2157"/>
      <c r="C66" s="2158"/>
      <c r="D66" s="2158"/>
      <c r="E66" s="2158"/>
      <c r="F66" s="2158"/>
      <c r="G66" s="2158"/>
      <c r="H66" s="2158"/>
      <c r="I66" s="2158"/>
      <c r="J66" s="2159"/>
    </row>
    <row r="67" spans="1:11" s="176" customFormat="1" ht="9.4" customHeight="1" x14ac:dyDescent="0.2">
      <c r="A67" s="249"/>
      <c r="B67" s="2160"/>
      <c r="C67" s="2161"/>
      <c r="D67" s="2161"/>
      <c r="E67" s="2161"/>
      <c r="F67" s="2161"/>
      <c r="G67" s="2161"/>
      <c r="H67" s="2161"/>
      <c r="I67" s="2161"/>
      <c r="J67" s="2162"/>
    </row>
    <row r="68" spans="1:11" s="176" customFormat="1" ht="9.4"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147" t="s">
        <v>1314</v>
      </c>
      <c r="B70" s="2150"/>
      <c r="C70" s="2150"/>
      <c r="D70" s="2150"/>
      <c r="E70" s="2151"/>
      <c r="F70" s="2151"/>
      <c r="G70" s="2151"/>
      <c r="H70" s="2151"/>
      <c r="I70" s="215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3.15" customHeight="1" x14ac:dyDescent="0.2">
      <c r="A82" s="214"/>
      <c r="B82" s="257"/>
      <c r="C82" s="242"/>
    </row>
    <row r="83" spans="1:10" s="176" customFormat="1" ht="13.15" customHeight="1" thickBot="1" x14ac:dyDescent="0.25">
      <c r="A83" s="2152" t="s">
        <v>1311</v>
      </c>
      <c r="B83" s="2152"/>
      <c r="C83" s="2152"/>
      <c r="D83" s="215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63" t="s">
        <v>1989</v>
      </c>
      <c r="B85" s="2163"/>
      <c r="C85" s="2163"/>
      <c r="D85" s="2164"/>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65" t="s">
        <v>1989</v>
      </c>
      <c r="B88" s="2166"/>
      <c r="C88" s="2166"/>
      <c r="D88" s="2167"/>
      <c r="E88" s="1594">
        <v>49477</v>
      </c>
      <c r="F88" s="1594"/>
      <c r="G88" s="1594">
        <v>125899</v>
      </c>
      <c r="H88" s="1594">
        <v>225247</v>
      </c>
      <c r="I88" s="1966"/>
      <c r="J88" s="1777">
        <f>SUM(E88:I88)</f>
        <v>400623</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400623</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7"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34"/>
      <c r="C102" s="2135"/>
      <c r="D102" s="2135"/>
      <c r="E102" s="2135"/>
      <c r="F102" s="2135"/>
      <c r="G102" s="2135"/>
      <c r="H102" s="2135"/>
      <c r="I102" s="2136"/>
    </row>
    <row r="103" spans="1:9" s="176" customFormat="1" ht="11.25" customHeight="1" x14ac:dyDescent="0.2">
      <c r="A103" s="294"/>
      <c r="B103" s="2137"/>
      <c r="C103" s="2138"/>
      <c r="D103" s="2138"/>
      <c r="E103" s="2138"/>
      <c r="F103" s="2138"/>
      <c r="G103" s="2138"/>
      <c r="H103" s="2138"/>
      <c r="I103" s="2139"/>
    </row>
    <row r="104" spans="1:9" s="176" customFormat="1" ht="11.25" customHeight="1" x14ac:dyDescent="0.2">
      <c r="A104" s="294"/>
      <c r="B104" s="2137"/>
      <c r="C104" s="2138"/>
      <c r="D104" s="2138"/>
      <c r="E104" s="2138"/>
      <c r="F104" s="2138"/>
      <c r="G104" s="2138"/>
      <c r="H104" s="2138"/>
      <c r="I104" s="2139"/>
    </row>
    <row r="105" spans="1:9" s="176" customFormat="1" x14ac:dyDescent="0.2">
      <c r="A105" s="294"/>
      <c r="B105" s="2137"/>
      <c r="C105" s="2138"/>
      <c r="D105" s="2138"/>
      <c r="E105" s="2138"/>
      <c r="F105" s="2138"/>
      <c r="G105" s="2138"/>
      <c r="H105" s="2138"/>
      <c r="I105" s="2139"/>
    </row>
    <row r="106" spans="1:9" s="176" customFormat="1" ht="11.25" customHeight="1" x14ac:dyDescent="0.2">
      <c r="A106" s="294"/>
      <c r="B106" s="2137"/>
      <c r="C106" s="2138"/>
      <c r="D106" s="2138"/>
      <c r="E106" s="2138"/>
      <c r="F106" s="2138"/>
      <c r="G106" s="2138"/>
      <c r="H106" s="2138"/>
      <c r="I106" s="2139"/>
    </row>
    <row r="107" spans="1:9" s="176" customFormat="1" ht="11.25" customHeight="1" x14ac:dyDescent="0.2">
      <c r="A107" s="294"/>
      <c r="B107" s="2137"/>
      <c r="C107" s="2138"/>
      <c r="D107" s="2138"/>
      <c r="E107" s="2138"/>
      <c r="F107" s="2138"/>
      <c r="G107" s="2138"/>
      <c r="H107" s="2138"/>
      <c r="I107" s="2139"/>
    </row>
    <row r="108" spans="1:9" s="176" customFormat="1" ht="11.25" customHeight="1" x14ac:dyDescent="0.2">
      <c r="A108" s="294"/>
      <c r="B108" s="2137"/>
      <c r="C108" s="2138"/>
      <c r="D108" s="2138"/>
      <c r="E108" s="2138"/>
      <c r="F108" s="2138"/>
      <c r="G108" s="2138"/>
      <c r="H108" s="2138"/>
      <c r="I108" s="2139"/>
    </row>
    <row r="109" spans="1:9" s="176" customFormat="1" ht="11.25" customHeight="1" x14ac:dyDescent="0.2">
      <c r="A109" s="294"/>
      <c r="B109" s="2137"/>
      <c r="C109" s="2138"/>
      <c r="D109" s="2138"/>
      <c r="E109" s="2138"/>
      <c r="F109" s="2138"/>
      <c r="G109" s="2138"/>
      <c r="H109" s="2138"/>
      <c r="I109" s="2139"/>
    </row>
    <row r="110" spans="1:9" s="176" customFormat="1" ht="11.25" customHeight="1" x14ac:dyDescent="0.2">
      <c r="A110" s="294"/>
      <c r="B110" s="2137"/>
      <c r="C110" s="2138"/>
      <c r="D110" s="2138"/>
      <c r="E110" s="2138"/>
      <c r="F110" s="2138"/>
      <c r="G110" s="2138"/>
      <c r="H110" s="2138"/>
      <c r="I110" s="2139"/>
    </row>
    <row r="111" spans="1:9" s="176" customFormat="1" ht="11.25" customHeight="1" x14ac:dyDescent="0.2">
      <c r="A111" s="294"/>
      <c r="B111" s="2137"/>
      <c r="C111" s="2138"/>
      <c r="D111" s="2138"/>
      <c r="E111" s="2138"/>
      <c r="F111" s="2138"/>
      <c r="G111" s="2138"/>
      <c r="H111" s="2138"/>
      <c r="I111" s="2139"/>
    </row>
    <row r="112" spans="1:9" s="176" customFormat="1" ht="11.25" customHeight="1" x14ac:dyDescent="0.2">
      <c r="A112" s="294"/>
      <c r="B112" s="2140"/>
      <c r="C112" s="2141"/>
      <c r="D112" s="2141"/>
      <c r="E112" s="2141"/>
      <c r="F112" s="2141"/>
      <c r="G112" s="2141"/>
      <c r="H112" s="2141"/>
      <c r="I112" s="214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3" t="s">
        <v>2018</v>
      </c>
      <c r="D114" s="214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4" t="s">
        <v>1321</v>
      </c>
      <c r="D117" s="2145"/>
      <c r="E117" s="2146"/>
      <c r="F117" s="2146"/>
      <c r="G117" s="2146"/>
      <c r="H117" s="214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9750D-4F73-4DED-B32B-9EC676FD69BE}">
  <dimension ref="A1:O69"/>
  <sheetViews>
    <sheetView topLeftCell="A28" workbookViewId="0">
      <selection sqref="A1:O70"/>
    </sheetView>
  </sheetViews>
  <sheetFormatPr defaultRowHeight="12.75" x14ac:dyDescent="0.2"/>
  <cols>
    <col min="1" max="1" width="6.28515625" customWidth="1"/>
    <col min="2" max="2" width="51.28515625" bestFit="1" customWidth="1"/>
    <col min="3" max="3" width="7" bestFit="1" customWidth="1"/>
    <col min="4" max="4" width="17.7109375" bestFit="1" customWidth="1"/>
    <col min="5" max="5" width="16" bestFit="1" customWidth="1"/>
    <col min="6" max="6" width="15.42578125" bestFit="1" customWidth="1"/>
    <col min="7" max="7" width="15.7109375" bestFit="1" customWidth="1"/>
    <col min="8" max="8" width="14.28515625" bestFit="1" customWidth="1"/>
    <col min="9" max="9" width="17.85546875" bestFit="1" customWidth="1"/>
    <col min="10" max="10" width="14.28515625" bestFit="1" customWidth="1"/>
    <col min="11" max="11" width="17.85546875" bestFit="1" customWidth="1"/>
    <col min="12" max="12" width="12.140625" customWidth="1"/>
    <col min="13" max="13" width="14.42578125" bestFit="1" customWidth="1"/>
    <col min="14" max="14" width="11.28515625" bestFit="1" customWidth="1"/>
    <col min="15" max="15" width="9.28515625" bestFit="1" customWidth="1"/>
  </cols>
  <sheetData>
    <row r="1" spans="1:15" x14ac:dyDescent="0.2">
      <c r="A1" s="2526" t="s">
        <v>2102</v>
      </c>
      <c r="B1" s="2526"/>
      <c r="C1" s="2526"/>
      <c r="D1" s="2526"/>
      <c r="E1" s="2526"/>
      <c r="F1" s="2526"/>
      <c r="G1" s="2526"/>
      <c r="H1" s="2526"/>
      <c r="I1" s="2526"/>
      <c r="J1" s="2526"/>
      <c r="K1" s="2526"/>
      <c r="L1" s="2526"/>
      <c r="M1" s="2526"/>
      <c r="N1" s="2526"/>
      <c r="O1" s="2526"/>
    </row>
    <row r="2" spans="1:15" x14ac:dyDescent="0.2">
      <c r="A2" s="2526" t="s">
        <v>2027</v>
      </c>
      <c r="B2" s="2526"/>
      <c r="C2" s="2526"/>
      <c r="D2" s="2526"/>
      <c r="E2" s="2526"/>
      <c r="F2" s="2526"/>
      <c r="G2" s="2526"/>
      <c r="H2" s="2526"/>
      <c r="I2" s="2526"/>
      <c r="J2" s="2526"/>
      <c r="K2" s="2526"/>
      <c r="L2" s="2526"/>
      <c r="M2" s="2526"/>
      <c r="N2" s="2526"/>
      <c r="O2" s="2526"/>
    </row>
    <row r="3" spans="1:15" x14ac:dyDescent="0.2">
      <c r="A3" s="2526" t="s">
        <v>1210</v>
      </c>
      <c r="B3" s="2526"/>
      <c r="C3" s="2526"/>
      <c r="D3" s="2526"/>
      <c r="E3" s="2526"/>
      <c r="F3" s="2526"/>
      <c r="G3" s="2526"/>
      <c r="H3" s="2526"/>
      <c r="I3" s="2526"/>
      <c r="J3" s="2526"/>
      <c r="K3" s="2526"/>
      <c r="L3" s="2526"/>
      <c r="M3" s="2526"/>
      <c r="N3" s="2526"/>
      <c r="O3" s="2526"/>
    </row>
    <row r="4" spans="1:15" x14ac:dyDescent="0.2">
      <c r="A4" s="2526" t="s">
        <v>2045</v>
      </c>
      <c r="B4" s="2526"/>
      <c r="C4" s="2526"/>
      <c r="D4" s="2526"/>
      <c r="E4" s="2526"/>
      <c r="F4" s="2526"/>
      <c r="G4" s="2526"/>
      <c r="H4" s="2526"/>
      <c r="I4" s="2526"/>
      <c r="J4" s="2526"/>
      <c r="K4" s="2526"/>
      <c r="L4" s="2526"/>
      <c r="M4" s="2526"/>
      <c r="N4" s="2526"/>
      <c r="O4" s="2526"/>
    </row>
    <row r="5" spans="1:15" ht="13.5" thickBot="1" x14ac:dyDescent="0.25">
      <c r="A5" s="1988"/>
      <c r="B5" s="1988"/>
      <c r="C5" s="1988"/>
      <c r="D5" s="1988"/>
      <c r="E5" s="1988"/>
      <c r="F5" s="1988"/>
      <c r="G5" s="1988"/>
      <c r="H5" s="1988"/>
      <c r="I5" s="1988"/>
      <c r="J5" s="1988"/>
      <c r="K5" s="1988"/>
      <c r="L5" s="1988"/>
      <c r="M5" s="1988"/>
      <c r="N5" s="1988"/>
      <c r="O5" s="1988"/>
    </row>
    <row r="6" spans="1:15" ht="39" thickBot="1" x14ac:dyDescent="0.25">
      <c r="A6" s="1993"/>
      <c r="B6" s="1994" t="s">
        <v>2046</v>
      </c>
      <c r="C6" s="1994" t="s">
        <v>2047</v>
      </c>
      <c r="D6" s="1994" t="s">
        <v>2048</v>
      </c>
      <c r="E6" s="1994" t="s">
        <v>2049</v>
      </c>
      <c r="F6" s="1994" t="s">
        <v>2050</v>
      </c>
      <c r="G6" s="1994" t="s">
        <v>2051</v>
      </c>
      <c r="H6" s="1994" t="s">
        <v>2052</v>
      </c>
      <c r="I6" s="1994" t="s">
        <v>2053</v>
      </c>
      <c r="J6" s="1994" t="s">
        <v>2054</v>
      </c>
      <c r="K6" s="1994" t="s">
        <v>2055</v>
      </c>
      <c r="L6" s="1994" t="s">
        <v>2056</v>
      </c>
      <c r="M6" s="1994" t="s">
        <v>2057</v>
      </c>
      <c r="N6" s="1994" t="s">
        <v>2058</v>
      </c>
      <c r="O6" s="1995" t="s">
        <v>30</v>
      </c>
    </row>
    <row r="7" spans="1:15" x14ac:dyDescent="0.2">
      <c r="A7" s="1996" t="s">
        <v>2059</v>
      </c>
      <c r="B7" s="1988"/>
      <c r="C7" s="1988"/>
      <c r="D7" s="1988"/>
      <c r="E7" s="1988"/>
      <c r="F7" s="1988"/>
      <c r="G7" s="1988"/>
      <c r="H7" s="1988"/>
      <c r="I7" s="1988"/>
      <c r="J7" s="1988"/>
      <c r="K7" s="1988"/>
      <c r="L7" s="1988"/>
      <c r="M7" s="1988"/>
      <c r="N7" s="1988"/>
      <c r="O7" s="1988"/>
    </row>
    <row r="8" spans="1:15" x14ac:dyDescent="0.2">
      <c r="A8" s="1997" t="s">
        <v>2060</v>
      </c>
      <c r="B8" s="1988"/>
      <c r="C8" s="1988"/>
      <c r="D8" s="1988"/>
      <c r="E8" s="1988"/>
      <c r="F8" s="1988"/>
      <c r="G8" s="1988"/>
      <c r="H8" s="1988"/>
      <c r="I8" s="1988"/>
      <c r="J8" s="1988"/>
      <c r="K8" s="1988"/>
      <c r="L8" s="1988"/>
      <c r="M8" s="1988"/>
      <c r="N8" s="1988"/>
      <c r="O8" s="1988"/>
    </row>
    <row r="9" spans="1:15" x14ac:dyDescent="0.2">
      <c r="A9" s="1988"/>
      <c r="B9" s="1996" t="s">
        <v>2121</v>
      </c>
      <c r="C9" s="1988"/>
      <c r="D9" s="1988"/>
      <c r="E9" s="1988"/>
      <c r="F9" s="1988"/>
      <c r="G9" s="1988"/>
      <c r="H9" s="1988"/>
      <c r="I9" s="1988"/>
      <c r="J9" s="1988"/>
      <c r="K9" s="1988"/>
      <c r="L9" s="1988"/>
      <c r="M9" s="1988"/>
      <c r="N9" s="1988"/>
      <c r="O9" s="1988"/>
    </row>
    <row r="10" spans="1:15" x14ac:dyDescent="0.2">
      <c r="A10" s="1988"/>
      <c r="B10" s="1988" t="s">
        <v>2123</v>
      </c>
      <c r="C10" s="1992">
        <v>10.555</v>
      </c>
      <c r="D10" s="1992" t="s">
        <v>2068</v>
      </c>
      <c r="E10" s="1992" t="s">
        <v>2062</v>
      </c>
      <c r="F10" s="2009">
        <v>88500</v>
      </c>
      <c r="G10" s="2009">
        <v>0</v>
      </c>
      <c r="H10" s="2009">
        <v>88500</v>
      </c>
      <c r="I10" s="2009">
        <v>0</v>
      </c>
      <c r="J10" s="2009">
        <v>0</v>
      </c>
      <c r="K10" s="2009">
        <v>0</v>
      </c>
      <c r="L10" s="2009"/>
      <c r="M10" s="2009">
        <f t="shared" ref="M10:M20" si="0">+H10+J10+L10</f>
        <v>88500</v>
      </c>
      <c r="N10" s="2009">
        <v>0</v>
      </c>
      <c r="O10" s="1988" t="s">
        <v>2063</v>
      </c>
    </row>
    <row r="11" spans="1:15" x14ac:dyDescent="0.2">
      <c r="A11" s="1988"/>
      <c r="B11" s="1988" t="s">
        <v>2123</v>
      </c>
      <c r="C11" s="1992">
        <v>10.555</v>
      </c>
      <c r="D11" s="1992" t="s">
        <v>2069</v>
      </c>
      <c r="E11" s="1992" t="s">
        <v>2065</v>
      </c>
      <c r="F11" s="2009">
        <v>482192</v>
      </c>
      <c r="G11" s="2009">
        <v>59943</v>
      </c>
      <c r="H11" s="2009">
        <v>482192</v>
      </c>
      <c r="I11" s="2009">
        <v>0</v>
      </c>
      <c r="J11" s="2009">
        <v>59943</v>
      </c>
      <c r="K11" s="2009">
        <v>0</v>
      </c>
      <c r="L11" s="2009"/>
      <c r="M11" s="2009">
        <f t="shared" si="0"/>
        <v>542135</v>
      </c>
      <c r="N11" s="2009">
        <v>0</v>
      </c>
      <c r="O11" s="1988" t="s">
        <v>2063</v>
      </c>
    </row>
    <row r="12" spans="1:15" x14ac:dyDescent="0.2">
      <c r="A12" s="1988"/>
      <c r="B12" s="1988" t="s">
        <v>2123</v>
      </c>
      <c r="C12" s="1992">
        <v>10.555</v>
      </c>
      <c r="D12" s="1992" t="s">
        <v>2070</v>
      </c>
      <c r="E12" s="1992" t="s">
        <v>2067</v>
      </c>
      <c r="F12" s="2009">
        <v>0</v>
      </c>
      <c r="G12" s="2009">
        <v>313897</v>
      </c>
      <c r="H12" s="2009">
        <v>0</v>
      </c>
      <c r="I12" s="2009">
        <v>0</v>
      </c>
      <c r="J12" s="2009">
        <v>313897</v>
      </c>
      <c r="K12" s="2009">
        <v>0</v>
      </c>
      <c r="L12" s="2009"/>
      <c r="M12" s="2009">
        <f t="shared" si="0"/>
        <v>313897</v>
      </c>
      <c r="N12" s="2009">
        <v>0</v>
      </c>
      <c r="O12" s="1988" t="s">
        <v>2063</v>
      </c>
    </row>
    <row r="13" spans="1:15" x14ac:dyDescent="0.2">
      <c r="A13" s="1988"/>
      <c r="B13" s="1988" t="s">
        <v>2122</v>
      </c>
      <c r="C13" s="1992">
        <v>10.553000000000001</v>
      </c>
      <c r="D13" s="1992" t="s">
        <v>2061</v>
      </c>
      <c r="E13" s="1992" t="s">
        <v>2062</v>
      </c>
      <c r="F13" s="2009">
        <v>22579</v>
      </c>
      <c r="G13" s="2009">
        <v>0</v>
      </c>
      <c r="H13" s="2009">
        <v>22579</v>
      </c>
      <c r="I13" s="2009">
        <v>0</v>
      </c>
      <c r="J13" s="2009">
        <v>0</v>
      </c>
      <c r="K13" s="2009">
        <v>0</v>
      </c>
      <c r="L13" s="2009"/>
      <c r="M13" s="2009">
        <f t="shared" si="0"/>
        <v>22579</v>
      </c>
      <c r="N13" s="2009">
        <v>0</v>
      </c>
      <c r="O13" s="1988" t="s">
        <v>2063</v>
      </c>
    </row>
    <row r="14" spans="1:15" x14ac:dyDescent="0.2">
      <c r="A14" s="1988"/>
      <c r="B14" s="1988" t="s">
        <v>2122</v>
      </c>
      <c r="C14" s="1992">
        <v>13.553000000000001</v>
      </c>
      <c r="D14" s="1992" t="s">
        <v>2064</v>
      </c>
      <c r="E14" s="1992" t="s">
        <v>2065</v>
      </c>
      <c r="F14" s="2009">
        <v>133287</v>
      </c>
      <c r="G14" s="2009">
        <v>16608</v>
      </c>
      <c r="H14" s="2009">
        <v>133287</v>
      </c>
      <c r="I14" s="2009">
        <v>0</v>
      </c>
      <c r="J14" s="2009">
        <v>16608</v>
      </c>
      <c r="K14" s="2009">
        <v>0</v>
      </c>
      <c r="L14" s="2009"/>
      <c r="M14" s="2009">
        <f t="shared" si="0"/>
        <v>149895</v>
      </c>
      <c r="N14" s="2009">
        <v>0</v>
      </c>
      <c r="O14" s="1988" t="s">
        <v>2063</v>
      </c>
    </row>
    <row r="15" spans="1:15" x14ac:dyDescent="0.2">
      <c r="A15" s="1988"/>
      <c r="B15" s="1988" t="s">
        <v>2122</v>
      </c>
      <c r="C15" s="1992">
        <v>10.553000000000001</v>
      </c>
      <c r="D15" s="1992" t="s">
        <v>2066</v>
      </c>
      <c r="E15" s="1992" t="s">
        <v>2067</v>
      </c>
      <c r="F15" s="2009">
        <v>0</v>
      </c>
      <c r="G15" s="2009">
        <v>96340</v>
      </c>
      <c r="H15" s="2009">
        <v>0</v>
      </c>
      <c r="I15" s="2009">
        <v>0</v>
      </c>
      <c r="J15" s="2009">
        <v>96340</v>
      </c>
      <c r="K15" s="2009">
        <v>0</v>
      </c>
      <c r="L15" s="2009"/>
      <c r="M15" s="2009">
        <f t="shared" si="0"/>
        <v>96340</v>
      </c>
      <c r="N15" s="2009">
        <v>0</v>
      </c>
      <c r="O15" s="1988" t="s">
        <v>2063</v>
      </c>
    </row>
    <row r="16" spans="1:15" x14ac:dyDescent="0.2">
      <c r="A16" s="1988"/>
      <c r="B16" s="1988" t="s">
        <v>1437</v>
      </c>
      <c r="C16" s="1992">
        <v>10.558999999999999</v>
      </c>
      <c r="D16" s="1992" t="s">
        <v>2071</v>
      </c>
      <c r="E16" s="1992" t="s">
        <v>2072</v>
      </c>
      <c r="F16" s="2009">
        <v>0</v>
      </c>
      <c r="G16" s="2009">
        <v>108311</v>
      </c>
      <c r="H16" s="2009">
        <v>0</v>
      </c>
      <c r="I16" s="2009">
        <v>0</v>
      </c>
      <c r="J16" s="2009">
        <v>108311</v>
      </c>
      <c r="K16" s="2009">
        <v>0</v>
      </c>
      <c r="L16" s="2009"/>
      <c r="M16" s="2009">
        <f t="shared" si="0"/>
        <v>108311</v>
      </c>
      <c r="N16" s="2009"/>
      <c r="O16" s="1988"/>
    </row>
    <row r="17" spans="1:15" x14ac:dyDescent="0.2">
      <c r="A17" s="1988"/>
      <c r="B17" s="1988" t="s">
        <v>2124</v>
      </c>
      <c r="C17" s="1992">
        <v>10.555</v>
      </c>
      <c r="D17" s="1992" t="s">
        <v>2127</v>
      </c>
      <c r="E17" s="1992" t="s">
        <v>2063</v>
      </c>
      <c r="F17" s="2009">
        <v>57988</v>
      </c>
      <c r="G17" s="2009">
        <v>0</v>
      </c>
      <c r="H17" s="2009">
        <v>57988</v>
      </c>
      <c r="I17" s="2009">
        <v>0</v>
      </c>
      <c r="J17" s="2009">
        <v>0</v>
      </c>
      <c r="K17" s="2009">
        <v>0</v>
      </c>
      <c r="L17" s="2009"/>
      <c r="M17" s="2009">
        <f t="shared" si="0"/>
        <v>57988</v>
      </c>
      <c r="N17" s="2009">
        <v>0</v>
      </c>
      <c r="O17" s="1988" t="s">
        <v>2063</v>
      </c>
    </row>
    <row r="18" spans="1:15" x14ac:dyDescent="0.2">
      <c r="A18" s="1988"/>
      <c r="B18" s="1988" t="s">
        <v>2125</v>
      </c>
      <c r="C18" s="1992">
        <v>10.555</v>
      </c>
      <c r="D18" s="1992" t="s">
        <v>2127</v>
      </c>
      <c r="E18" s="1992" t="s">
        <v>2063</v>
      </c>
      <c r="F18" s="2009">
        <v>15609</v>
      </c>
      <c r="G18" s="2009">
        <v>0</v>
      </c>
      <c r="H18" s="2009">
        <v>15609</v>
      </c>
      <c r="I18" s="2009">
        <v>0</v>
      </c>
      <c r="J18" s="2009">
        <v>0</v>
      </c>
      <c r="K18" s="2009">
        <v>0</v>
      </c>
      <c r="L18" s="2009"/>
      <c r="M18" s="2009">
        <f t="shared" si="0"/>
        <v>15609</v>
      </c>
      <c r="N18" s="2009">
        <v>0</v>
      </c>
      <c r="O18" s="1988" t="s">
        <v>2063</v>
      </c>
    </row>
    <row r="19" spans="1:15" x14ac:dyDescent="0.2">
      <c r="A19" s="1988"/>
      <c r="B19" s="1988" t="s">
        <v>2126</v>
      </c>
      <c r="C19" s="1992">
        <v>10.555</v>
      </c>
      <c r="D19" s="1992" t="s">
        <v>2128</v>
      </c>
      <c r="E19" s="1992" t="s">
        <v>2063</v>
      </c>
      <c r="F19" s="2009">
        <v>0</v>
      </c>
      <c r="G19" s="2009">
        <v>44752</v>
      </c>
      <c r="H19" s="2009">
        <v>0</v>
      </c>
      <c r="I19" s="2009">
        <v>0</v>
      </c>
      <c r="J19" s="2009">
        <v>44752</v>
      </c>
      <c r="K19" s="2009">
        <v>0</v>
      </c>
      <c r="L19" s="2009"/>
      <c r="M19" s="2009">
        <f t="shared" si="0"/>
        <v>44752</v>
      </c>
      <c r="N19" s="2009">
        <v>0</v>
      </c>
      <c r="O19" s="1988" t="s">
        <v>2063</v>
      </c>
    </row>
    <row r="20" spans="1:15" x14ac:dyDescent="0.2">
      <c r="A20" s="1988"/>
      <c r="B20" s="1988" t="s">
        <v>2125</v>
      </c>
      <c r="C20" s="1992">
        <v>10.555</v>
      </c>
      <c r="D20" s="1992" t="s">
        <v>2128</v>
      </c>
      <c r="E20" s="1992" t="s">
        <v>2063</v>
      </c>
      <c r="F20" s="2009">
        <v>0</v>
      </c>
      <c r="G20" s="2009">
        <v>19145</v>
      </c>
      <c r="H20" s="2009">
        <v>0</v>
      </c>
      <c r="I20" s="2009">
        <v>0</v>
      </c>
      <c r="J20" s="2009">
        <v>19145</v>
      </c>
      <c r="K20" s="2009">
        <v>0</v>
      </c>
      <c r="L20" s="2009"/>
      <c r="M20" s="2009">
        <f t="shared" si="0"/>
        <v>19145</v>
      </c>
      <c r="N20" s="2009">
        <v>0</v>
      </c>
      <c r="O20" s="1988" t="s">
        <v>2063</v>
      </c>
    </row>
    <row r="21" spans="1:15" x14ac:dyDescent="0.2">
      <c r="A21" s="1998"/>
      <c r="B21" s="1998"/>
      <c r="C21" s="1999"/>
      <c r="D21" s="1999"/>
      <c r="E21" s="1999"/>
      <c r="F21" s="2010">
        <f>SUM(F10:F20)</f>
        <v>800155</v>
      </c>
      <c r="G21" s="2010">
        <f>SUM(G10:G20)</f>
        <v>658996</v>
      </c>
      <c r="H21" s="2010">
        <f>SUM(H10:H20)</f>
        <v>800155</v>
      </c>
      <c r="I21" s="2010">
        <v>0</v>
      </c>
      <c r="J21" s="2010">
        <f>SUM(J10:J20)</f>
        <v>658996</v>
      </c>
      <c r="K21" s="2010">
        <f>SUM(K10:K20)</f>
        <v>0</v>
      </c>
      <c r="L21" s="2010">
        <v>0</v>
      </c>
      <c r="M21" s="2010">
        <f>SUM(M10:M20)</f>
        <v>1459151</v>
      </c>
      <c r="N21" s="2010">
        <v>0</v>
      </c>
      <c r="O21" s="1998"/>
    </row>
    <row r="22" spans="1:15" x14ac:dyDescent="0.2">
      <c r="A22" s="1988"/>
      <c r="B22" s="1988"/>
      <c r="C22" s="1988"/>
      <c r="D22" s="1988"/>
      <c r="E22" s="1988"/>
      <c r="F22" s="2009"/>
      <c r="G22" s="2009"/>
      <c r="H22" s="2009"/>
      <c r="I22" s="2009"/>
      <c r="J22" s="2009"/>
      <c r="K22" s="2009"/>
      <c r="L22" s="2009"/>
      <c r="M22" s="2009"/>
      <c r="N22" s="2009"/>
      <c r="O22" s="1988"/>
    </row>
    <row r="23" spans="1:15" x14ac:dyDescent="0.2">
      <c r="A23" s="1988"/>
      <c r="B23" s="1988"/>
      <c r="C23" s="1988"/>
      <c r="D23" s="1988"/>
      <c r="E23" s="1988"/>
      <c r="F23" s="2009"/>
      <c r="G23" s="2009"/>
      <c r="H23" s="2009"/>
      <c r="I23" s="2009"/>
      <c r="J23" s="2009"/>
      <c r="K23" s="2009"/>
      <c r="L23" s="2009"/>
      <c r="M23" s="2009"/>
      <c r="N23" s="2009"/>
      <c r="O23" s="1988"/>
    </row>
    <row r="24" spans="1:15" x14ac:dyDescent="0.2">
      <c r="A24" s="2002" t="s">
        <v>2073</v>
      </c>
      <c r="B24" s="2000"/>
      <c r="C24" s="2001"/>
      <c r="D24" s="2001"/>
      <c r="E24" s="2001"/>
      <c r="F24" s="2011">
        <f t="shared" ref="F24:K24" si="1">+F21</f>
        <v>800155</v>
      </c>
      <c r="G24" s="2011">
        <f t="shared" si="1"/>
        <v>658996</v>
      </c>
      <c r="H24" s="2011">
        <f t="shared" si="1"/>
        <v>800155</v>
      </c>
      <c r="I24" s="2011">
        <f t="shared" si="1"/>
        <v>0</v>
      </c>
      <c r="J24" s="2011">
        <f t="shared" si="1"/>
        <v>658996</v>
      </c>
      <c r="K24" s="2011">
        <f t="shared" si="1"/>
        <v>0</v>
      </c>
      <c r="L24" s="2011">
        <v>0</v>
      </c>
      <c r="M24" s="2011">
        <f>+M21</f>
        <v>1459151</v>
      </c>
      <c r="N24" s="2011">
        <v>0</v>
      </c>
      <c r="O24" s="2000"/>
    </row>
    <row r="25" spans="1:15" x14ac:dyDescent="0.2">
      <c r="A25" s="1988"/>
      <c r="B25" s="1988"/>
      <c r="C25" s="1988"/>
      <c r="D25" s="1988"/>
      <c r="E25" s="1988"/>
      <c r="F25" s="2009"/>
      <c r="G25" s="2009"/>
      <c r="H25" s="2009"/>
      <c r="I25" s="2009"/>
      <c r="J25" s="2009"/>
      <c r="K25" s="2009"/>
      <c r="L25" s="2009"/>
      <c r="M25" s="2009"/>
      <c r="N25" s="2009"/>
      <c r="O25" s="1988"/>
    </row>
    <row r="26" spans="1:15" x14ac:dyDescent="0.2">
      <c r="A26" s="1996" t="s">
        <v>2074</v>
      </c>
      <c r="B26" s="1988"/>
      <c r="C26" s="1988"/>
      <c r="D26" s="1988"/>
      <c r="E26" s="1988"/>
      <c r="F26" s="2009"/>
      <c r="G26" s="2009"/>
      <c r="H26" s="2009"/>
      <c r="I26" s="2009"/>
      <c r="J26" s="2009"/>
      <c r="K26" s="2009"/>
      <c r="L26" s="2009"/>
      <c r="M26" s="2009"/>
      <c r="N26" s="2009"/>
      <c r="O26" s="1988"/>
    </row>
    <row r="27" spans="1:15" x14ac:dyDescent="0.2">
      <c r="A27" s="1997" t="s">
        <v>2060</v>
      </c>
      <c r="B27" s="1988"/>
      <c r="C27" s="1988"/>
      <c r="D27" s="1988"/>
      <c r="E27" s="1988"/>
      <c r="F27" s="2009"/>
      <c r="G27" s="2009"/>
      <c r="H27" s="2009"/>
      <c r="I27" s="2009"/>
      <c r="J27" s="2009"/>
      <c r="K27" s="2009"/>
      <c r="L27" s="2009"/>
      <c r="M27" s="2009"/>
      <c r="N27" s="2009"/>
      <c r="O27" s="1988"/>
    </row>
    <row r="28" spans="1:15" x14ac:dyDescent="0.2">
      <c r="A28" s="1988"/>
      <c r="B28" s="1996" t="s">
        <v>2120</v>
      </c>
      <c r="C28" s="1988"/>
      <c r="D28" s="1988"/>
      <c r="E28" s="1988"/>
      <c r="F28" s="2009"/>
      <c r="G28" s="2009"/>
      <c r="H28" s="2009"/>
      <c r="I28" s="2009"/>
      <c r="J28" s="2009"/>
      <c r="K28" s="2009"/>
      <c r="L28" s="2009"/>
      <c r="M28" s="2009"/>
      <c r="N28" s="2009"/>
      <c r="O28" s="1988"/>
    </row>
    <row r="29" spans="1:15" x14ac:dyDescent="0.2">
      <c r="A29" s="1988"/>
      <c r="B29" s="1988" t="s">
        <v>2075</v>
      </c>
      <c r="C29" s="2003" t="s">
        <v>2076</v>
      </c>
      <c r="D29" s="1992" t="s">
        <v>2077</v>
      </c>
      <c r="E29" s="1992" t="s">
        <v>2129</v>
      </c>
      <c r="F29" s="2009">
        <v>0</v>
      </c>
      <c r="G29" s="2009">
        <v>0</v>
      </c>
      <c r="H29" s="2009">
        <v>0</v>
      </c>
      <c r="I29" s="2009"/>
      <c r="J29" s="2009">
        <v>0</v>
      </c>
      <c r="K29" s="2009"/>
      <c r="L29" s="2009"/>
      <c r="M29" s="2009">
        <f>+H29+J29+L29</f>
        <v>0</v>
      </c>
      <c r="N29" s="2009">
        <v>0</v>
      </c>
      <c r="O29" s="1990">
        <v>604964</v>
      </c>
    </row>
    <row r="30" spans="1:15" x14ac:dyDescent="0.2">
      <c r="A30" s="1988"/>
      <c r="B30" s="1988" t="s">
        <v>2075</v>
      </c>
      <c r="C30" s="2003" t="s">
        <v>2076</v>
      </c>
      <c r="D30" s="1992" t="s">
        <v>2078</v>
      </c>
      <c r="E30" s="1992" t="s">
        <v>2079</v>
      </c>
      <c r="F30" s="2009">
        <v>455196</v>
      </c>
      <c r="G30" s="2009">
        <v>121725</v>
      </c>
      <c r="H30" s="2009">
        <v>455196</v>
      </c>
      <c r="I30" s="2009"/>
      <c r="J30" s="2009">
        <v>121725</v>
      </c>
      <c r="K30" s="2009"/>
      <c r="L30" s="2009"/>
      <c r="M30" s="2009">
        <f>+H30+J30+L30</f>
        <v>576921</v>
      </c>
      <c r="N30" s="2009">
        <v>0</v>
      </c>
      <c r="O30" s="1991">
        <v>775664</v>
      </c>
    </row>
    <row r="31" spans="1:15" x14ac:dyDescent="0.2">
      <c r="A31" s="1988"/>
      <c r="B31" s="1988" t="s">
        <v>2080</v>
      </c>
      <c r="C31" s="2003" t="s">
        <v>2076</v>
      </c>
      <c r="D31" s="1992" t="s">
        <v>2081</v>
      </c>
      <c r="E31" s="1992" t="s">
        <v>2082</v>
      </c>
      <c r="F31" s="2009">
        <v>0</v>
      </c>
      <c r="G31" s="2009">
        <v>651683</v>
      </c>
      <c r="H31" s="2009">
        <v>0</v>
      </c>
      <c r="I31" s="2009"/>
      <c r="J31" s="2009">
        <v>651683</v>
      </c>
      <c r="K31" s="2009"/>
      <c r="L31" s="2009"/>
      <c r="M31" s="2009">
        <f>+H31+J31+L31</f>
        <v>651683</v>
      </c>
      <c r="N31" s="2009">
        <v>0</v>
      </c>
      <c r="O31" s="1991">
        <v>853250</v>
      </c>
    </row>
    <row r="32" spans="1:15" x14ac:dyDescent="0.2">
      <c r="A32" s="1988" t="s">
        <v>2184</v>
      </c>
      <c r="B32" s="1988"/>
      <c r="C32" s="2003"/>
      <c r="D32" s="1988"/>
      <c r="E32" s="1988"/>
      <c r="F32" s="2009"/>
      <c r="G32" s="2009"/>
      <c r="H32" s="2009"/>
      <c r="I32" s="2009"/>
      <c r="J32" s="2009"/>
      <c r="K32" s="2009"/>
      <c r="L32" s="2009"/>
      <c r="M32" s="2009"/>
      <c r="N32" s="2009"/>
      <c r="O32" s="1991"/>
    </row>
    <row r="33" spans="1:15" s="1988" customFormat="1" x14ac:dyDescent="0.2">
      <c r="B33" s="1988" t="s">
        <v>2083</v>
      </c>
      <c r="C33" s="2003" t="s">
        <v>2076</v>
      </c>
      <c r="D33" s="1992" t="s">
        <v>2130</v>
      </c>
      <c r="E33" s="1992" t="s">
        <v>2132</v>
      </c>
      <c r="F33" s="2009">
        <v>114109</v>
      </c>
      <c r="G33" s="2009">
        <v>16967</v>
      </c>
      <c r="H33" s="2009">
        <v>114109</v>
      </c>
      <c r="I33" s="2009"/>
      <c r="J33" s="2009">
        <v>16967</v>
      </c>
      <c r="K33" s="2009"/>
      <c r="L33" s="2009"/>
      <c r="M33" s="2009">
        <f>++H33+J33+L33</f>
        <v>131076</v>
      </c>
      <c r="N33" s="2009"/>
      <c r="O33" s="1991">
        <v>221354</v>
      </c>
    </row>
    <row r="34" spans="1:15" x14ac:dyDescent="0.2">
      <c r="A34" s="1988"/>
      <c r="B34" s="1988" t="s">
        <v>2083</v>
      </c>
      <c r="C34" s="2003" t="s">
        <v>2076</v>
      </c>
      <c r="D34" s="1992" t="s">
        <v>2131</v>
      </c>
      <c r="E34" s="1992" t="s">
        <v>2084</v>
      </c>
      <c r="F34" s="2009">
        <v>0</v>
      </c>
      <c r="G34" s="2009">
        <v>94328</v>
      </c>
      <c r="H34" s="2009">
        <v>0</v>
      </c>
      <c r="I34" s="2009"/>
      <c r="J34" s="2009">
        <v>94328</v>
      </c>
      <c r="K34" s="2009"/>
      <c r="L34" s="2009"/>
      <c r="M34" s="2009">
        <f>+H34+J34+L34</f>
        <v>94328</v>
      </c>
      <c r="N34" s="2009">
        <v>0</v>
      </c>
      <c r="O34" s="1991">
        <v>122747</v>
      </c>
    </row>
    <row r="35" spans="1:15" x14ac:dyDescent="0.2">
      <c r="A35" s="1998"/>
      <c r="B35" s="1998"/>
      <c r="C35" s="1999"/>
      <c r="D35" s="1999"/>
      <c r="E35" s="1999"/>
      <c r="F35" s="2010">
        <f t="shared" ref="F35:K35" si="2">SUM(F29:F34)</f>
        <v>569305</v>
      </c>
      <c r="G35" s="2010">
        <f t="shared" si="2"/>
        <v>884703</v>
      </c>
      <c r="H35" s="2010">
        <f t="shared" si="2"/>
        <v>569305</v>
      </c>
      <c r="I35" s="2010">
        <f t="shared" si="2"/>
        <v>0</v>
      </c>
      <c r="J35" s="2010">
        <f t="shared" si="2"/>
        <v>884703</v>
      </c>
      <c r="K35" s="2010">
        <f t="shared" si="2"/>
        <v>0</v>
      </c>
      <c r="L35" s="2010">
        <v>0</v>
      </c>
      <c r="M35" s="2010">
        <f>SUM(M29:M34)</f>
        <v>1454008</v>
      </c>
      <c r="N35" s="2010">
        <f>SUM(N29:N34)</f>
        <v>0</v>
      </c>
      <c r="O35" s="1998"/>
    </row>
    <row r="36" spans="1:15" x14ac:dyDescent="0.2">
      <c r="A36" s="1988"/>
      <c r="B36" s="1988"/>
      <c r="C36" s="1988"/>
      <c r="D36" s="1988"/>
      <c r="E36" s="1988"/>
      <c r="F36" s="2009"/>
      <c r="G36" s="2009"/>
      <c r="H36" s="2009"/>
      <c r="I36" s="2009"/>
      <c r="J36" s="2009"/>
      <c r="K36" s="2009"/>
      <c r="L36" s="2009"/>
      <c r="M36" s="2009"/>
      <c r="N36" s="2009"/>
      <c r="O36" s="1988"/>
    </row>
    <row r="37" spans="1:15" x14ac:dyDescent="0.2">
      <c r="A37" s="1996" t="s">
        <v>2085</v>
      </c>
      <c r="B37" s="1988"/>
      <c r="C37" s="1988"/>
      <c r="D37" s="1988"/>
      <c r="E37" s="1988"/>
      <c r="F37" s="2009"/>
      <c r="G37" s="2009"/>
      <c r="H37" s="2009"/>
      <c r="I37" s="2009"/>
      <c r="J37" s="2009"/>
      <c r="K37" s="2009"/>
      <c r="L37" s="2009"/>
      <c r="M37" s="2009"/>
      <c r="N37" s="2009"/>
      <c r="O37" s="1988"/>
    </row>
    <row r="38" spans="1:15" x14ac:dyDescent="0.2">
      <c r="A38" s="1988"/>
      <c r="B38" s="1988"/>
      <c r="C38" s="1988"/>
      <c r="D38" s="1988"/>
      <c r="E38" s="1988"/>
      <c r="F38" s="2009"/>
      <c r="G38" s="2009"/>
      <c r="H38" s="2009"/>
      <c r="I38" s="2009"/>
      <c r="J38" s="2009"/>
      <c r="K38" s="2009"/>
      <c r="L38" s="2009"/>
      <c r="M38" s="2009"/>
      <c r="N38" s="2009"/>
      <c r="O38" s="1988"/>
    </row>
    <row r="39" spans="1:15" x14ac:dyDescent="0.2">
      <c r="A39" s="1997" t="s">
        <v>2117</v>
      </c>
      <c r="B39" s="1988"/>
      <c r="C39" s="1988"/>
      <c r="D39" s="1988"/>
      <c r="E39" s="1988"/>
      <c r="F39" s="2009"/>
      <c r="G39" s="2009"/>
      <c r="H39" s="2009"/>
      <c r="I39" s="2009"/>
      <c r="J39" s="2009"/>
      <c r="K39" s="2009"/>
      <c r="L39" s="2009"/>
      <c r="M39" s="2009"/>
      <c r="N39" s="2009"/>
      <c r="O39" s="1988"/>
    </row>
    <row r="40" spans="1:15" x14ac:dyDescent="0.2">
      <c r="A40" s="1988"/>
      <c r="B40" s="1988" t="s">
        <v>2086</v>
      </c>
      <c r="C40" s="1992">
        <v>84.027000000000001</v>
      </c>
      <c r="D40" s="1992" t="s">
        <v>2133</v>
      </c>
      <c r="E40" s="1992" t="s">
        <v>2136</v>
      </c>
      <c r="F40" s="2012">
        <v>38201</v>
      </c>
      <c r="G40" s="2012">
        <v>0</v>
      </c>
      <c r="H40" s="2012">
        <v>38201</v>
      </c>
      <c r="I40" s="2012"/>
      <c r="J40" s="2012">
        <v>0</v>
      </c>
      <c r="K40" s="2012"/>
      <c r="L40" s="2012">
        <v>0</v>
      </c>
      <c r="M40" s="2012">
        <f>+H40+J40+L40</f>
        <v>38201</v>
      </c>
      <c r="N40" s="2012">
        <v>0</v>
      </c>
      <c r="O40" s="2004" t="s">
        <v>2063</v>
      </c>
    </row>
    <row r="41" spans="1:15" x14ac:dyDescent="0.2">
      <c r="A41" s="1988"/>
      <c r="B41" s="1988" t="s">
        <v>2086</v>
      </c>
      <c r="C41" s="1992">
        <v>84.027000000000001</v>
      </c>
      <c r="D41" s="1992" t="s">
        <v>2134</v>
      </c>
      <c r="E41" s="1992" t="s">
        <v>2137</v>
      </c>
      <c r="F41" s="2009">
        <v>7205</v>
      </c>
      <c r="G41" s="2009">
        <v>801</v>
      </c>
      <c r="H41" s="2009">
        <v>7205</v>
      </c>
      <c r="I41" s="2009"/>
      <c r="J41" s="2009">
        <v>801</v>
      </c>
      <c r="K41" s="2009"/>
      <c r="L41" s="2009">
        <v>0</v>
      </c>
      <c r="M41" s="2009">
        <f>+H41+J41+L41</f>
        <v>8006</v>
      </c>
      <c r="N41" s="2009">
        <v>0</v>
      </c>
      <c r="O41" s="1991" t="s">
        <v>2063</v>
      </c>
    </row>
    <row r="42" spans="1:15" x14ac:dyDescent="0.2">
      <c r="A42" s="1988"/>
      <c r="B42" s="1988" t="s">
        <v>2086</v>
      </c>
      <c r="C42" s="1992">
        <v>84.027000000000001</v>
      </c>
      <c r="D42" s="1992" t="s">
        <v>2135</v>
      </c>
      <c r="E42" s="1992" t="s">
        <v>2138</v>
      </c>
      <c r="F42" s="2009">
        <v>0</v>
      </c>
      <c r="G42" s="2009">
        <v>0</v>
      </c>
      <c r="H42" s="2009">
        <v>0</v>
      </c>
      <c r="I42" s="2009"/>
      <c r="J42" s="2009">
        <v>0</v>
      </c>
      <c r="K42" s="2009"/>
      <c r="L42" s="2009">
        <v>0</v>
      </c>
      <c r="M42" s="2009">
        <f>+H42+J42+L42</f>
        <v>0</v>
      </c>
      <c r="N42" s="2009">
        <v>0</v>
      </c>
      <c r="O42" s="1991" t="s">
        <v>2063</v>
      </c>
    </row>
    <row r="43" spans="1:15" x14ac:dyDescent="0.2">
      <c r="A43" s="1998"/>
      <c r="B43" s="1998"/>
      <c r="C43" s="1999"/>
      <c r="D43" s="1999"/>
      <c r="E43" s="1999"/>
      <c r="F43" s="2010">
        <f>SUM(F40:F42)</f>
        <v>45406</v>
      </c>
      <c r="G43" s="2010">
        <f>SUM(G40:G42)</f>
        <v>801</v>
      </c>
      <c r="H43" s="2010">
        <f>SUM(H40:H42)</f>
        <v>45406</v>
      </c>
      <c r="I43" s="2010">
        <v>0</v>
      </c>
      <c r="J43" s="2010">
        <f>SUM(J40:J42)</f>
        <v>801</v>
      </c>
      <c r="K43" s="2010">
        <v>0</v>
      </c>
      <c r="L43" s="2010">
        <v>0</v>
      </c>
      <c r="M43" s="2010">
        <f>SUM(M40:M42)</f>
        <v>46207</v>
      </c>
      <c r="N43" s="2010">
        <f>SUM(N40:N42)</f>
        <v>0</v>
      </c>
      <c r="O43" s="1998"/>
    </row>
    <row r="44" spans="1:15" x14ac:dyDescent="0.2">
      <c r="A44" s="2005"/>
      <c r="B44" s="2005"/>
      <c r="C44" s="1989"/>
      <c r="D44" s="1989"/>
      <c r="E44" s="1989"/>
      <c r="F44" s="2013"/>
      <c r="G44" s="2013"/>
      <c r="H44" s="2013"/>
      <c r="I44" s="2013"/>
      <c r="J44" s="2013"/>
      <c r="K44" s="2013"/>
      <c r="L44" s="2013"/>
      <c r="M44" s="2013"/>
      <c r="N44" s="2013"/>
      <c r="O44" s="2005"/>
    </row>
    <row r="45" spans="1:15" x14ac:dyDescent="0.2">
      <c r="A45" s="1997" t="s">
        <v>2060</v>
      </c>
      <c r="B45" s="1988"/>
      <c r="C45" s="1988"/>
      <c r="D45" s="1988"/>
      <c r="E45" s="1988"/>
      <c r="F45" s="2009"/>
      <c r="G45" s="2009"/>
      <c r="H45" s="2009"/>
      <c r="I45" s="2009"/>
      <c r="J45" s="2009"/>
      <c r="K45" s="2009"/>
      <c r="L45" s="2009"/>
      <c r="M45" s="2009"/>
      <c r="N45" s="2009"/>
      <c r="O45" s="1988"/>
    </row>
    <row r="46" spans="1:15" x14ac:dyDescent="0.2">
      <c r="A46" s="1988"/>
      <c r="B46" s="1988" t="s">
        <v>2116</v>
      </c>
      <c r="C46" s="1992">
        <v>84.424000000000007</v>
      </c>
      <c r="D46" s="1992" t="s">
        <v>2139</v>
      </c>
      <c r="E46" s="1992" t="s">
        <v>2096</v>
      </c>
      <c r="F46" s="2009">
        <v>26227</v>
      </c>
      <c r="G46" s="2009">
        <v>0</v>
      </c>
      <c r="H46" s="2009">
        <v>26227</v>
      </c>
      <c r="I46" s="2009"/>
      <c r="J46" s="2009">
        <v>0</v>
      </c>
      <c r="K46" s="2009"/>
      <c r="L46" s="2009"/>
      <c r="M46" s="2009">
        <f>+H46+J46+L46</f>
        <v>26227</v>
      </c>
      <c r="N46" s="2009">
        <v>0</v>
      </c>
      <c r="O46" s="1988">
        <v>29999</v>
      </c>
    </row>
    <row r="47" spans="1:15" x14ac:dyDescent="0.2">
      <c r="A47" s="1988"/>
      <c r="B47" s="1988" t="s">
        <v>2116</v>
      </c>
      <c r="C47" s="1992">
        <v>84.424000000000007</v>
      </c>
      <c r="D47" s="1992" t="s">
        <v>2140</v>
      </c>
      <c r="E47" s="1992" t="s">
        <v>2098</v>
      </c>
      <c r="F47" s="2009">
        <v>0</v>
      </c>
      <c r="G47" s="2009">
        <v>35774</v>
      </c>
      <c r="H47" s="2009">
        <v>0</v>
      </c>
      <c r="I47" s="2009"/>
      <c r="J47" s="2009">
        <v>35774</v>
      </c>
      <c r="K47" s="2009"/>
      <c r="L47" s="2009"/>
      <c r="M47" s="2009">
        <f>+H47+J47+L47</f>
        <v>35774</v>
      </c>
      <c r="N47" s="2009">
        <v>0</v>
      </c>
      <c r="O47" s="1991">
        <v>53292</v>
      </c>
    </row>
    <row r="48" spans="1:15" x14ac:dyDescent="0.2">
      <c r="A48" s="1998"/>
      <c r="B48" s="1998"/>
      <c r="C48" s="1999"/>
      <c r="D48" s="1999"/>
      <c r="E48" s="1999"/>
      <c r="F48" s="2010">
        <f>SUM(F46:F47)</f>
        <v>26227</v>
      </c>
      <c r="G48" s="2010">
        <f>SUM(G46:G47)</f>
        <v>35774</v>
      </c>
      <c r="H48" s="2010">
        <f>SUM(H46:H47)</f>
        <v>26227</v>
      </c>
      <c r="I48" s="2010">
        <v>0</v>
      </c>
      <c r="J48" s="2010">
        <f>SUM(J46:J47)</f>
        <v>35774</v>
      </c>
      <c r="K48" s="2010">
        <v>0</v>
      </c>
      <c r="L48" s="2010">
        <v>0</v>
      </c>
      <c r="M48" s="2010">
        <f>SUM(M46:M47)</f>
        <v>62001</v>
      </c>
      <c r="N48" s="2010">
        <f>SUM(N46:N47)</f>
        <v>0</v>
      </c>
      <c r="O48" s="1998"/>
    </row>
    <row r="49" spans="1:15" x14ac:dyDescent="0.2">
      <c r="A49" s="1988"/>
      <c r="B49" s="1988"/>
      <c r="C49" s="1988"/>
      <c r="D49" s="1988"/>
      <c r="E49" s="1988"/>
      <c r="F49" s="2009"/>
      <c r="G49" s="2009"/>
      <c r="H49" s="2009"/>
      <c r="I49" s="2009"/>
      <c r="J49" s="2009"/>
      <c r="K49" s="2009"/>
      <c r="L49" s="2009"/>
      <c r="M49" s="2009"/>
      <c r="N49" s="2009"/>
      <c r="O49" s="1988"/>
    </row>
    <row r="50" spans="1:15" x14ac:dyDescent="0.2">
      <c r="A50" s="1988"/>
      <c r="B50" s="1988"/>
      <c r="C50" s="1988"/>
      <c r="D50" s="1988"/>
      <c r="E50" s="1988"/>
      <c r="F50" s="2009"/>
      <c r="G50" s="2009"/>
      <c r="H50" s="2009"/>
      <c r="I50" s="2009"/>
      <c r="J50" s="2009"/>
      <c r="K50" s="2009"/>
      <c r="L50" s="2009"/>
      <c r="M50" s="2009"/>
      <c r="N50" s="2009"/>
      <c r="O50" s="1988"/>
    </row>
    <row r="51" spans="1:15" x14ac:dyDescent="0.2">
      <c r="A51" s="1997" t="s">
        <v>2060</v>
      </c>
      <c r="B51" s="1988"/>
      <c r="C51" s="1988"/>
      <c r="D51" s="1988"/>
      <c r="E51" s="1988"/>
      <c r="F51" s="2009"/>
      <c r="G51" s="2009"/>
      <c r="H51" s="2009"/>
      <c r="I51" s="2009"/>
      <c r="J51" s="2009"/>
      <c r="K51" s="2009"/>
      <c r="L51" s="2009"/>
      <c r="M51" s="2009"/>
      <c r="N51" s="2009"/>
      <c r="O51" s="1988"/>
    </row>
    <row r="52" spans="1:15" x14ac:dyDescent="0.2">
      <c r="A52" s="1988"/>
      <c r="B52" s="1988" t="s">
        <v>2087</v>
      </c>
      <c r="C52" s="1992">
        <v>84.367000000000004</v>
      </c>
      <c r="D52" s="1992" t="s">
        <v>2088</v>
      </c>
      <c r="E52" s="1992" t="s">
        <v>2142</v>
      </c>
      <c r="F52" s="2009">
        <v>0</v>
      </c>
      <c r="G52" s="2009">
        <v>0</v>
      </c>
      <c r="H52" s="2009">
        <v>0</v>
      </c>
      <c r="I52" s="2009"/>
      <c r="J52" s="2009">
        <v>0</v>
      </c>
      <c r="K52" s="2009"/>
      <c r="L52" s="2009">
        <v>0</v>
      </c>
      <c r="M52" s="2009">
        <f>+H52+J52+L52</f>
        <v>0</v>
      </c>
      <c r="N52" s="2009">
        <v>0</v>
      </c>
      <c r="O52" s="1991">
        <v>105667</v>
      </c>
    </row>
    <row r="53" spans="1:15" s="1988" customFormat="1" x14ac:dyDescent="0.2">
      <c r="B53" s="1988" t="s">
        <v>2087</v>
      </c>
      <c r="C53" s="1992">
        <v>84.367000000000004</v>
      </c>
      <c r="D53" s="1992" t="s">
        <v>2089</v>
      </c>
      <c r="E53" s="1992" t="s">
        <v>2096</v>
      </c>
      <c r="F53" s="2009">
        <v>93421</v>
      </c>
      <c r="G53" s="2009">
        <v>23628</v>
      </c>
      <c r="H53" s="2009">
        <v>93421</v>
      </c>
      <c r="I53" s="2009"/>
      <c r="J53" s="2009">
        <v>23628</v>
      </c>
      <c r="K53" s="2009"/>
      <c r="L53" s="2009"/>
      <c r="M53" s="2009">
        <f>+H53+J53+L53</f>
        <v>117049</v>
      </c>
      <c r="N53" s="2009"/>
      <c r="O53" s="1991">
        <v>158743</v>
      </c>
    </row>
    <row r="54" spans="1:15" x14ac:dyDescent="0.2">
      <c r="A54" s="1988"/>
      <c r="B54" s="1988" t="s">
        <v>2087</v>
      </c>
      <c r="C54" s="1992">
        <v>84.367000000000004</v>
      </c>
      <c r="D54" s="1992" t="s">
        <v>2141</v>
      </c>
      <c r="E54" s="1992" t="s">
        <v>2098</v>
      </c>
      <c r="F54" s="2009">
        <v>0</v>
      </c>
      <c r="G54" s="2009">
        <v>111021</v>
      </c>
      <c r="H54" s="2009">
        <v>0</v>
      </c>
      <c r="I54" s="2009"/>
      <c r="J54" s="2009">
        <v>111021</v>
      </c>
      <c r="K54" s="2009"/>
      <c r="L54" s="2009">
        <v>0</v>
      </c>
      <c r="M54" s="2009">
        <f>+H54+J54+L54</f>
        <v>111021</v>
      </c>
      <c r="N54" s="2009">
        <v>0</v>
      </c>
      <c r="O54" s="1991">
        <v>142740</v>
      </c>
    </row>
    <row r="55" spans="1:15" x14ac:dyDescent="0.2">
      <c r="A55" s="1998"/>
      <c r="B55" s="1998"/>
      <c r="C55" s="1999"/>
      <c r="D55" s="1999"/>
      <c r="E55" s="1999"/>
      <c r="F55" s="2010">
        <f>SUM(F52:F54)</f>
        <v>93421</v>
      </c>
      <c r="G55" s="2010">
        <f>SUM(G52:G54)</f>
        <v>134649</v>
      </c>
      <c r="H55" s="2010">
        <f>SUM(H52:H54)</f>
        <v>93421</v>
      </c>
      <c r="I55" s="2010">
        <v>0</v>
      </c>
      <c r="J55" s="2010">
        <f>SUM(J52:J54)</f>
        <v>134649</v>
      </c>
      <c r="K55" s="2010">
        <v>0</v>
      </c>
      <c r="L55" s="2010">
        <f>SUM(L52:L54)</f>
        <v>0</v>
      </c>
      <c r="M55" s="2010">
        <f>SUM(M52:M54)</f>
        <v>228070</v>
      </c>
      <c r="N55" s="2010">
        <f>SUM(N52:N54)</f>
        <v>0</v>
      </c>
      <c r="O55" s="1998"/>
    </row>
    <row r="56" spans="1:15" x14ac:dyDescent="0.2">
      <c r="A56" s="1988"/>
      <c r="B56" s="1988"/>
      <c r="C56" s="1988"/>
      <c r="D56" s="1988"/>
      <c r="E56" s="1988"/>
      <c r="F56" s="2009"/>
      <c r="G56" s="2009"/>
      <c r="H56" s="2009"/>
      <c r="I56" s="2009"/>
      <c r="J56" s="2009"/>
      <c r="K56" s="2009"/>
      <c r="L56" s="2009"/>
      <c r="M56" s="2009"/>
      <c r="N56" s="2009"/>
      <c r="O56" s="1988"/>
    </row>
    <row r="57" spans="1:15" x14ac:dyDescent="0.2">
      <c r="A57" s="2002" t="s">
        <v>2090</v>
      </c>
      <c r="B57" s="2000"/>
      <c r="C57" s="2001"/>
      <c r="D57" s="2001"/>
      <c r="E57" s="2001"/>
      <c r="F57" s="2011">
        <f t="shared" ref="F57:N57" si="3">+F55+F48+F43+F35</f>
        <v>734359</v>
      </c>
      <c r="G57" s="2011">
        <f t="shared" si="3"/>
        <v>1055927</v>
      </c>
      <c r="H57" s="2011">
        <f t="shared" si="3"/>
        <v>734359</v>
      </c>
      <c r="I57" s="2011">
        <f t="shared" si="3"/>
        <v>0</v>
      </c>
      <c r="J57" s="2011">
        <f t="shared" si="3"/>
        <v>1055927</v>
      </c>
      <c r="K57" s="2011">
        <f t="shared" si="3"/>
        <v>0</v>
      </c>
      <c r="L57" s="2011">
        <f t="shared" si="3"/>
        <v>0</v>
      </c>
      <c r="M57" s="2011">
        <f t="shared" si="3"/>
        <v>1790286</v>
      </c>
      <c r="N57" s="2011">
        <f t="shared" si="3"/>
        <v>0</v>
      </c>
      <c r="O57" s="2000"/>
    </row>
    <row r="58" spans="1:15" x14ac:dyDescent="0.2">
      <c r="A58" s="1988"/>
      <c r="B58" s="1988"/>
      <c r="C58" s="1988"/>
      <c r="D58" s="1988"/>
      <c r="E58" s="1988"/>
      <c r="F58" s="2009"/>
      <c r="G58" s="2009"/>
      <c r="H58" s="2009"/>
      <c r="I58" s="2009"/>
      <c r="J58" s="2009"/>
      <c r="K58" s="2009"/>
      <c r="L58" s="2009"/>
      <c r="M58" s="2009"/>
      <c r="N58" s="2009"/>
      <c r="O58" s="1988"/>
    </row>
    <row r="59" spans="1:15" x14ac:dyDescent="0.2">
      <c r="A59" s="1996" t="s">
        <v>2091</v>
      </c>
      <c r="B59" s="1988"/>
      <c r="C59" s="1988"/>
      <c r="D59" s="1988"/>
      <c r="E59" s="1988"/>
      <c r="F59" s="2009"/>
      <c r="G59" s="2009"/>
      <c r="H59" s="2009"/>
      <c r="I59" s="2009"/>
      <c r="J59" s="2009"/>
      <c r="K59" s="2009"/>
      <c r="L59" s="2009"/>
      <c r="M59" s="2009"/>
      <c r="N59" s="2009"/>
      <c r="O59" s="1988"/>
    </row>
    <row r="60" spans="1:15" x14ac:dyDescent="0.2">
      <c r="A60" s="1997" t="s">
        <v>2092</v>
      </c>
      <c r="B60" s="1988"/>
      <c r="C60" s="1988"/>
      <c r="D60" s="1988"/>
      <c r="E60" s="1988"/>
      <c r="F60" s="2009"/>
      <c r="G60" s="2009"/>
      <c r="H60" s="2009"/>
      <c r="I60" s="2009"/>
      <c r="J60" s="2009"/>
      <c r="K60" s="2009"/>
      <c r="L60" s="2009"/>
      <c r="M60" s="2009"/>
      <c r="N60" s="2009"/>
      <c r="O60" s="1988"/>
    </row>
    <row r="61" spans="1:15" x14ac:dyDescent="0.2">
      <c r="A61" s="1988"/>
      <c r="B61" s="1996" t="s">
        <v>2118</v>
      </c>
      <c r="C61" s="1988"/>
      <c r="D61" s="1988"/>
      <c r="E61" s="1988"/>
      <c r="F61" s="2009"/>
      <c r="G61" s="2009"/>
      <c r="H61" s="2009"/>
      <c r="I61" s="2009"/>
      <c r="J61" s="2009"/>
      <c r="K61" s="2009"/>
      <c r="L61" s="2009"/>
      <c r="M61" s="2009"/>
      <c r="N61" s="2009"/>
      <c r="O61" s="1988"/>
    </row>
    <row r="62" spans="1:15" x14ac:dyDescent="0.2">
      <c r="A62" s="1988"/>
      <c r="B62" s="1988" t="s">
        <v>2119</v>
      </c>
      <c r="C62" s="1992">
        <v>93.778000000000006</v>
      </c>
      <c r="D62" s="1992" t="s">
        <v>2093</v>
      </c>
      <c r="E62" s="1992" t="s">
        <v>2094</v>
      </c>
      <c r="F62" s="2009">
        <v>0</v>
      </c>
      <c r="G62" s="2009">
        <v>0</v>
      </c>
      <c r="H62" s="2009">
        <v>0</v>
      </c>
      <c r="I62" s="2009"/>
      <c r="J62" s="2009">
        <v>0</v>
      </c>
      <c r="K62" s="2009"/>
      <c r="L62" s="2009"/>
      <c r="M62" s="2009">
        <f>+H62+J62+L62</f>
        <v>0</v>
      </c>
      <c r="N62" s="2009">
        <v>0</v>
      </c>
      <c r="O62" s="1988" t="s">
        <v>2063</v>
      </c>
    </row>
    <row r="63" spans="1:15" x14ac:dyDescent="0.2">
      <c r="A63" s="1988"/>
      <c r="B63" s="1988" t="s">
        <v>2119</v>
      </c>
      <c r="C63" s="1992">
        <v>93.778000000000006</v>
      </c>
      <c r="D63" s="1992" t="s">
        <v>2095</v>
      </c>
      <c r="E63" s="1992" t="s">
        <v>2096</v>
      </c>
      <c r="F63" s="2009">
        <v>48885</v>
      </c>
      <c r="G63" s="2009">
        <v>0</v>
      </c>
      <c r="H63" s="2009">
        <v>48885</v>
      </c>
      <c r="I63" s="2009"/>
      <c r="J63" s="2009">
        <v>0</v>
      </c>
      <c r="K63" s="2009"/>
      <c r="L63" s="2009"/>
      <c r="M63" s="2009">
        <f>+H63+J63+L63</f>
        <v>48885</v>
      </c>
      <c r="N63" s="2009">
        <v>0</v>
      </c>
      <c r="O63" s="1988" t="s">
        <v>2063</v>
      </c>
    </row>
    <row r="64" spans="1:15" x14ac:dyDescent="0.2">
      <c r="A64" s="1988"/>
      <c r="B64" s="1988" t="s">
        <v>2119</v>
      </c>
      <c r="C64" s="1992">
        <v>93.778000000000006</v>
      </c>
      <c r="D64" s="1992" t="s">
        <v>2097</v>
      </c>
      <c r="E64" s="1992" t="s">
        <v>2098</v>
      </c>
      <c r="F64" s="2009">
        <v>0</v>
      </c>
      <c r="G64" s="2009">
        <v>63177</v>
      </c>
      <c r="H64" s="2009">
        <v>0</v>
      </c>
      <c r="I64" s="2009"/>
      <c r="J64" s="2009">
        <v>63177</v>
      </c>
      <c r="K64" s="2009"/>
      <c r="L64" s="2009"/>
      <c r="M64" s="2009">
        <f>+H64+J64+L64</f>
        <v>63177</v>
      </c>
      <c r="N64" s="2009">
        <v>0</v>
      </c>
      <c r="O64" s="1988" t="s">
        <v>2063</v>
      </c>
    </row>
    <row r="65" spans="1:15" x14ac:dyDescent="0.2">
      <c r="A65" s="1998" t="s">
        <v>2099</v>
      </c>
      <c r="B65" s="1998"/>
      <c r="C65" s="1999"/>
      <c r="D65" s="1999"/>
      <c r="E65" s="1999"/>
      <c r="F65" s="2010">
        <f>SUM(F62:F64)</f>
        <v>48885</v>
      </c>
      <c r="G65" s="2010">
        <f>SUM(G62:G64)</f>
        <v>63177</v>
      </c>
      <c r="H65" s="2010">
        <f>SUM(H62:H64)</f>
        <v>48885</v>
      </c>
      <c r="I65" s="2010">
        <v>0</v>
      </c>
      <c r="J65" s="2010">
        <f>SUM(J62:J64)</f>
        <v>63177</v>
      </c>
      <c r="K65" s="2010">
        <v>0</v>
      </c>
      <c r="L65" s="2010">
        <v>0</v>
      </c>
      <c r="M65" s="2010">
        <f>SUM(M62:M64)</f>
        <v>112062</v>
      </c>
      <c r="N65" s="2010">
        <f>SUM(N62:N64)</f>
        <v>0</v>
      </c>
      <c r="O65" s="1998"/>
    </row>
    <row r="66" spans="1:15" ht="13.5" thickBot="1" x14ac:dyDescent="0.25">
      <c r="A66" s="1988"/>
      <c r="B66" s="1988"/>
      <c r="C66" s="1988"/>
      <c r="D66" s="1988"/>
      <c r="E66" s="1988"/>
      <c r="F66" s="1988"/>
      <c r="G66" s="1988"/>
      <c r="H66" s="1988"/>
      <c r="I66" s="1988"/>
      <c r="J66" s="1988"/>
      <c r="K66" s="1988"/>
      <c r="L66" s="1988"/>
      <c r="M66" s="1988"/>
      <c r="N66" s="1988"/>
      <c r="O66" s="1988"/>
    </row>
    <row r="67" spans="1:15" ht="13.5" thickBot="1" x14ac:dyDescent="0.25">
      <c r="A67" s="1996" t="s">
        <v>2100</v>
      </c>
      <c r="B67" s="1988"/>
      <c r="C67" s="1988"/>
      <c r="D67" s="1988"/>
      <c r="E67" s="1988"/>
      <c r="F67" s="2006">
        <f t="shared" ref="F67:N67" si="4">+F65+F57+F24</f>
        <v>1583399</v>
      </c>
      <c r="G67" s="2007">
        <f t="shared" si="4"/>
        <v>1778100</v>
      </c>
      <c r="H67" s="2007">
        <f t="shared" si="4"/>
        <v>1583399</v>
      </c>
      <c r="I67" s="2007">
        <f t="shared" si="4"/>
        <v>0</v>
      </c>
      <c r="J67" s="2007">
        <f t="shared" si="4"/>
        <v>1778100</v>
      </c>
      <c r="K67" s="2007">
        <f t="shared" si="4"/>
        <v>0</v>
      </c>
      <c r="L67" s="2007">
        <f t="shared" si="4"/>
        <v>0</v>
      </c>
      <c r="M67" s="2007">
        <f t="shared" si="4"/>
        <v>3361499</v>
      </c>
      <c r="N67" s="2008">
        <f t="shared" si="4"/>
        <v>0</v>
      </c>
      <c r="O67" s="1988"/>
    </row>
    <row r="69" spans="1:15" x14ac:dyDescent="0.2">
      <c r="A69" s="1988" t="s">
        <v>2101</v>
      </c>
      <c r="B69" s="1988"/>
      <c r="C69" s="1988"/>
      <c r="D69" s="1988"/>
      <c r="E69" s="1988"/>
      <c r="F69" s="1988"/>
      <c r="G69" s="1988"/>
      <c r="H69" s="1988"/>
      <c r="I69" s="1988"/>
      <c r="J69" s="1988"/>
      <c r="K69" s="1988"/>
      <c r="L69" s="1988"/>
      <c r="M69" s="1988"/>
      <c r="N69" s="1988"/>
      <c r="O69" s="1988"/>
    </row>
  </sheetData>
  <mergeCells count="4">
    <mergeCell ref="A1:O1"/>
    <mergeCell ref="A2:O2"/>
    <mergeCell ref="A3:O3"/>
    <mergeCell ref="A4:O4"/>
  </mergeCells>
  <pageMargins left="0.25" right="0.25" top="0.5" bottom="0.25" header="0" footer="0"/>
  <pageSetup scale="56" fitToHeight="2"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70" sqref="A70"/>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28" t="str">
        <f>'Single Audit Cover'!A7</f>
        <v>Dixon USD 170</v>
      </c>
      <c r="B1" s="2528"/>
      <c r="C1" s="2528"/>
      <c r="D1" s="2528"/>
      <c r="E1" s="2528"/>
      <c r="F1" s="2528"/>
    </row>
    <row r="2" spans="1:7" ht="13.5" customHeight="1" x14ac:dyDescent="0.2">
      <c r="A2" s="2523">
        <f>'Single Audit Cover'!E7</f>
        <v>47052170022</v>
      </c>
      <c r="B2" s="2523"/>
      <c r="C2" s="2523"/>
      <c r="D2" s="2523"/>
      <c r="E2" s="2523"/>
      <c r="F2" s="2523"/>
      <c r="G2" s="1096"/>
    </row>
    <row r="3" spans="1:7" ht="15.75" customHeight="1" x14ac:dyDescent="0.2">
      <c r="A3" s="2529" t="s">
        <v>1262</v>
      </c>
      <c r="B3" s="2529"/>
      <c r="C3" s="2529"/>
      <c r="D3" s="2529"/>
      <c r="E3" s="2529"/>
      <c r="F3" s="2529"/>
    </row>
    <row r="4" spans="1:7" ht="13.5" customHeight="1" x14ac:dyDescent="0.2">
      <c r="A4" s="2530" t="str">
        <f>'Single Audit Cover'!A4</f>
        <v>Year Ending June 30, 2020</v>
      </c>
      <c r="B4" s="2530"/>
      <c r="C4" s="2530"/>
      <c r="D4" s="2530"/>
      <c r="E4" s="2530"/>
      <c r="F4" s="2530"/>
    </row>
    <row r="5" spans="1:7" ht="8.25" customHeight="1" x14ac:dyDescent="0.2">
      <c r="C5" s="295"/>
      <c r="D5" s="295"/>
    </row>
    <row r="6" spans="1:7" ht="13.5" customHeight="1" x14ac:dyDescent="0.2">
      <c r="A6" s="1097" t="s">
        <v>1708</v>
      </c>
      <c r="C6" s="295"/>
      <c r="D6" s="295"/>
    </row>
    <row r="7" spans="1:7" ht="60.95" customHeight="1" x14ac:dyDescent="0.2">
      <c r="A7" s="2527" t="s">
        <v>2144</v>
      </c>
      <c r="B7" s="2527"/>
      <c r="C7" s="2527"/>
      <c r="D7" s="2527"/>
      <c r="E7" s="2527"/>
      <c r="F7" s="2527"/>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2033</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27" t="s">
        <v>2145</v>
      </c>
      <c r="B13" s="2527"/>
      <c r="C13" s="2527"/>
      <c r="D13" s="2527"/>
      <c r="E13" s="2527"/>
      <c r="F13" s="2527"/>
    </row>
    <row r="14" spans="1:7" ht="9.75" customHeight="1" x14ac:dyDescent="0.2">
      <c r="C14" s="1081"/>
      <c r="D14" s="1081"/>
    </row>
    <row r="15" spans="1:7" ht="13.5" customHeight="1" x14ac:dyDescent="0.2">
      <c r="C15" s="1525" t="s">
        <v>1261</v>
      </c>
      <c r="D15" s="2532" t="s">
        <v>1260</v>
      </c>
      <c r="E15" s="2532"/>
      <c r="F15" s="2532"/>
    </row>
    <row r="16" spans="1:7" ht="13.5" customHeight="1" x14ac:dyDescent="0.2">
      <c r="A16" s="1103"/>
      <c r="B16" s="1097" t="s">
        <v>1259</v>
      </c>
      <c r="C16" s="1525" t="s">
        <v>1258</v>
      </c>
      <c r="D16" s="2533" t="s">
        <v>1574</v>
      </c>
      <c r="E16" s="2533"/>
      <c r="F16" s="2533"/>
    </row>
    <row r="17" spans="1:6" ht="20.45" customHeight="1" x14ac:dyDescent="0.2">
      <c r="A17" s="1104"/>
      <c r="B17" s="1105" t="s">
        <v>2146</v>
      </c>
      <c r="C17" s="1106"/>
      <c r="D17" s="2531"/>
      <c r="E17" s="2531"/>
      <c r="F17" s="2531"/>
    </row>
    <row r="18" spans="1:6" ht="20.65" customHeight="1" x14ac:dyDescent="0.2">
      <c r="A18" s="1104"/>
      <c r="B18" s="1105"/>
      <c r="C18" s="1106"/>
      <c r="D18" s="2531"/>
      <c r="E18" s="2531"/>
      <c r="F18" s="2531"/>
    </row>
    <row r="19" spans="1:6" ht="20.65" customHeight="1" x14ac:dyDescent="0.2">
      <c r="A19" s="1104"/>
      <c r="B19" s="1105"/>
      <c r="C19" s="1106"/>
      <c r="D19" s="2531"/>
      <c r="E19" s="2531"/>
      <c r="F19" s="2531"/>
    </row>
    <row r="20" spans="1:6" ht="20.65" customHeight="1" x14ac:dyDescent="0.2">
      <c r="A20" s="1104"/>
      <c r="B20" s="1105"/>
      <c r="C20" s="1106"/>
      <c r="D20" s="2531"/>
      <c r="E20" s="2531"/>
      <c r="F20" s="2531"/>
    </row>
    <row r="21" spans="1:6" ht="20.65" customHeight="1" x14ac:dyDescent="0.2">
      <c r="A21" s="1104"/>
      <c r="B21" s="1105"/>
      <c r="C21" s="1106"/>
      <c r="D21" s="2531"/>
      <c r="E21" s="2531"/>
      <c r="F21" s="2531"/>
    </row>
    <row r="22" spans="1:6" ht="20.65" customHeight="1" x14ac:dyDescent="0.2">
      <c r="A22" s="1104"/>
      <c r="B22" s="1105"/>
      <c r="C22" s="1106"/>
      <c r="D22" s="2531"/>
      <c r="E22" s="2531"/>
      <c r="F22" s="2531"/>
    </row>
    <row r="23" spans="1:6" ht="20.65" customHeight="1" x14ac:dyDescent="0.2">
      <c r="A23" s="1104"/>
      <c r="B23" s="1105"/>
      <c r="C23" s="1106"/>
      <c r="D23" s="2531"/>
      <c r="E23" s="2531"/>
      <c r="F23" s="2531"/>
    </row>
    <row r="24" spans="1:6" ht="20.65" customHeight="1" x14ac:dyDescent="0.2">
      <c r="A24" s="1104"/>
      <c r="B24" s="1105"/>
      <c r="C24" s="1106"/>
      <c r="D24" s="2531"/>
      <c r="E24" s="2531"/>
      <c r="F24" s="2531"/>
    </row>
    <row r="25" spans="1:6" ht="20.65" customHeight="1" x14ac:dyDescent="0.2">
      <c r="A25" s="1104"/>
      <c r="B25" s="1105"/>
      <c r="C25" s="1106"/>
      <c r="D25" s="2531"/>
      <c r="E25" s="2531"/>
      <c r="F25" s="2531"/>
    </row>
    <row r="26" spans="1:6" ht="20.65" customHeight="1" x14ac:dyDescent="0.2">
      <c r="A26" s="1104"/>
      <c r="B26" s="1105"/>
      <c r="C26" s="1106"/>
      <c r="D26" s="2531"/>
      <c r="E26" s="2531"/>
      <c r="F26" s="2531"/>
    </row>
    <row r="27" spans="1:6" ht="20.65" customHeight="1" x14ac:dyDescent="0.2">
      <c r="A27" s="1104"/>
      <c r="B27" s="1105"/>
      <c r="C27" s="1106"/>
      <c r="D27" s="2531"/>
      <c r="E27" s="2531"/>
      <c r="F27" s="2531"/>
    </row>
    <row r="28" spans="1:6" ht="20.65" customHeight="1" x14ac:dyDescent="0.2">
      <c r="A28" s="1104"/>
      <c r="B28" s="1105"/>
      <c r="C28" s="1106"/>
      <c r="D28" s="2531"/>
      <c r="E28" s="2531"/>
      <c r="F28" s="2531"/>
    </row>
    <row r="29" spans="1:6" ht="20.65" customHeight="1" x14ac:dyDescent="0.2">
      <c r="A29" s="1104"/>
      <c r="B29" s="1105"/>
      <c r="C29" s="1106"/>
      <c r="D29" s="2531"/>
      <c r="E29" s="2531"/>
      <c r="F29" s="2531"/>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35" t="s">
        <v>2147</v>
      </c>
      <c r="B32" s="2535"/>
      <c r="C32" s="2535"/>
      <c r="D32" s="2535"/>
      <c r="E32" s="2535"/>
      <c r="F32" s="2535"/>
    </row>
    <row r="33" spans="1:6" ht="13.5" customHeight="1" x14ac:dyDescent="0.2">
      <c r="A33" s="306" t="s">
        <v>1420</v>
      </c>
      <c r="B33" s="306"/>
      <c r="C33" s="1109">
        <v>44752</v>
      </c>
      <c r="D33" s="1576"/>
      <c r="E33" s="1107"/>
    </row>
    <row r="34" spans="1:6" ht="13.5" customHeight="1" x14ac:dyDescent="0.2">
      <c r="A34" s="306" t="s">
        <v>1811</v>
      </c>
      <c r="B34" s="306"/>
      <c r="C34" s="1110">
        <v>19145</v>
      </c>
      <c r="D34" s="1576" t="s">
        <v>1575</v>
      </c>
      <c r="E34" s="2536">
        <f>+C33+C34</f>
        <v>63897</v>
      </c>
      <c r="F34" s="2537"/>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t="s">
        <v>380</v>
      </c>
      <c r="D38" s="1576"/>
      <c r="E38" s="1107"/>
    </row>
    <row r="39" spans="1:6" ht="14.25" customHeight="1" x14ac:dyDescent="0.2">
      <c r="A39" s="306"/>
      <c r="B39" s="306" t="s">
        <v>1422</v>
      </c>
      <c r="C39" s="1113" t="s">
        <v>380</v>
      </c>
      <c r="D39" s="1576"/>
      <c r="E39" s="1107"/>
    </row>
    <row r="40" spans="1:6" ht="14.25" customHeight="1" x14ac:dyDescent="0.2">
      <c r="A40" s="306"/>
      <c r="B40" s="306" t="s">
        <v>1423</v>
      </c>
      <c r="C40" s="1113" t="s">
        <v>380</v>
      </c>
      <c r="D40" s="1576"/>
      <c r="E40" s="1107"/>
    </row>
    <row r="41" spans="1:6" ht="14.25" customHeight="1" x14ac:dyDescent="0.2">
      <c r="A41" s="306"/>
      <c r="B41" s="306" t="s">
        <v>1424</v>
      </c>
      <c r="C41" s="1113" t="s">
        <v>380</v>
      </c>
      <c r="D41" s="1576"/>
      <c r="E41" s="1107"/>
    </row>
    <row r="42" spans="1:6" ht="14.25" customHeight="1" x14ac:dyDescent="0.2">
      <c r="A42" s="306" t="s">
        <v>1425</v>
      </c>
      <c r="B42" s="306"/>
      <c r="C42" s="1574" t="s">
        <v>380</v>
      </c>
      <c r="D42" s="1576"/>
      <c r="E42" s="1107"/>
    </row>
    <row r="43" spans="1:6" ht="14.25" customHeight="1" x14ac:dyDescent="0.2">
      <c r="A43" s="306" t="s">
        <v>1426</v>
      </c>
      <c r="B43" s="306"/>
      <c r="C43" s="1114" t="s">
        <v>380</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38" t="s">
        <v>1576</v>
      </c>
      <c r="C49" s="2538"/>
      <c r="D49" s="2538"/>
      <c r="E49" s="1213"/>
    </row>
    <row r="50" spans="1:5" s="1121" customFormat="1" ht="3.75" customHeight="1" x14ac:dyDescent="0.2">
      <c r="A50" s="1120"/>
      <c r="B50" s="1524"/>
      <c r="C50" s="1524"/>
      <c r="D50" s="1524"/>
      <c r="E50" s="1213"/>
    </row>
    <row r="51" spans="1:5" s="1121" customFormat="1" ht="20.25" customHeight="1" x14ac:dyDescent="0.2">
      <c r="A51" s="1122">
        <v>6</v>
      </c>
      <c r="B51" s="2534" t="s">
        <v>1537</v>
      </c>
      <c r="C51" s="2534"/>
      <c r="D51" s="2534"/>
    </row>
    <row r="52" spans="1:5" ht="14.25" customHeight="1" x14ac:dyDescent="0.2">
      <c r="A52" s="1122"/>
      <c r="B52" s="2534"/>
      <c r="C52" s="2534"/>
      <c r="D52" s="253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13" zoomScale="110" zoomScaleNormal="110" workbookViewId="0">
      <selection activeCell="A70" sqref="A70"/>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3.15" customHeight="1" x14ac:dyDescent="0.2">
      <c r="B1" s="2543" t="str">
        <f>'Single Audit Cover'!A7</f>
        <v>Dixon USD 170</v>
      </c>
      <c r="C1" s="2544"/>
      <c r="D1" s="2544"/>
      <c r="E1" s="2544"/>
      <c r="F1" s="2544"/>
      <c r="G1" s="2544"/>
      <c r="H1" s="2544"/>
      <c r="I1" s="2544"/>
      <c r="J1" s="1223"/>
    </row>
    <row r="2" spans="2:10" s="295" customFormat="1" ht="13.15" customHeight="1" x14ac:dyDescent="0.2">
      <c r="B2" s="2545">
        <f>'Single Audit Cover'!E7</f>
        <v>47052170022</v>
      </c>
      <c r="C2" s="2546"/>
      <c r="D2" s="2546"/>
      <c r="E2" s="2546"/>
      <c r="F2" s="2546"/>
      <c r="G2" s="2546"/>
      <c r="H2" s="2546"/>
      <c r="I2" s="2546"/>
      <c r="J2" s="1223"/>
    </row>
    <row r="3" spans="2:10" s="295" customFormat="1" ht="13.15" customHeight="1" x14ac:dyDescent="0.2">
      <c r="B3" s="2547" t="s">
        <v>1276</v>
      </c>
      <c r="C3" s="2548"/>
      <c r="D3" s="2548"/>
      <c r="E3" s="2548"/>
      <c r="F3" s="2548"/>
      <c r="G3" s="2548"/>
      <c r="H3" s="2548"/>
      <c r="I3" s="2548"/>
      <c r="J3" s="1224"/>
    </row>
    <row r="4" spans="2:10" s="295" customFormat="1" ht="13.15" customHeight="1" x14ac:dyDescent="0.2">
      <c r="B4" s="2547" t="str">
        <f>'Single Audit Cover'!A4</f>
        <v>Year Ending June 30, 2020</v>
      </c>
      <c r="C4" s="2548"/>
      <c r="D4" s="2548"/>
      <c r="E4" s="2548"/>
      <c r="F4" s="2548"/>
      <c r="G4" s="2548"/>
      <c r="H4" s="2548"/>
      <c r="I4" s="2548"/>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47" t="s">
        <v>1275</v>
      </c>
      <c r="C7" s="2548"/>
      <c r="D7" s="2548"/>
      <c r="E7" s="2548"/>
      <c r="F7" s="2548"/>
      <c r="G7" s="2548"/>
      <c r="H7" s="2548"/>
      <c r="I7" s="2548"/>
    </row>
    <row r="8" spans="2:10" s="295" customFormat="1" ht="6.2" customHeight="1" x14ac:dyDescent="0.2">
      <c r="B8" s="1227" t="s">
        <v>1161</v>
      </c>
      <c r="C8" s="1228"/>
      <c r="D8" s="1228"/>
      <c r="E8" s="1229"/>
      <c r="F8" s="1228"/>
      <c r="G8" s="1228"/>
      <c r="H8" s="1228"/>
      <c r="I8" s="1228"/>
    </row>
    <row r="9" spans="2:10" s="295" customFormat="1" ht="9.4" customHeight="1" x14ac:dyDescent="0.2">
      <c r="B9" s="1230"/>
      <c r="C9" s="300"/>
      <c r="D9" s="300"/>
      <c r="E9" s="1198"/>
      <c r="F9" s="300"/>
      <c r="G9" s="300"/>
      <c r="H9" s="300"/>
      <c r="I9" s="300"/>
    </row>
    <row r="10" spans="2:10" s="295" customFormat="1" ht="13.15" customHeight="1" x14ac:dyDescent="0.2">
      <c r="B10" s="1231" t="s">
        <v>1274</v>
      </c>
      <c r="C10" s="1232"/>
      <c r="D10" s="1232"/>
      <c r="E10" s="1079"/>
    </row>
    <row r="11" spans="2:10" s="295" customFormat="1" ht="13.5" customHeight="1" x14ac:dyDescent="0.2">
      <c r="B11" s="1164" t="s">
        <v>1273</v>
      </c>
      <c r="C11" s="2549" t="s">
        <v>2148</v>
      </c>
      <c r="D11" s="2549"/>
      <c r="E11" s="1233"/>
      <c r="F11" s="1233"/>
      <c r="G11" s="1233"/>
    </row>
    <row r="12" spans="2:10" s="295" customFormat="1" ht="11.65" customHeight="1" x14ac:dyDescent="0.2">
      <c r="B12" s="1172"/>
      <c r="C12" s="1234" t="s">
        <v>1428</v>
      </c>
      <c r="D12" s="1235"/>
      <c r="E12" s="1079"/>
    </row>
    <row r="13" spans="2:10" s="295" customFormat="1" ht="13.15" customHeight="1" x14ac:dyDescent="0.2">
      <c r="B13" s="1236"/>
      <c r="C13" s="1201"/>
      <c r="D13" s="1201"/>
      <c r="E13" s="1079"/>
    </row>
    <row r="14" spans="2:10" s="295" customFormat="1" ht="13.15" customHeight="1" x14ac:dyDescent="0.2">
      <c r="B14" s="1183" t="s">
        <v>1272</v>
      </c>
      <c r="C14" s="1103"/>
      <c r="E14" s="1079"/>
    </row>
    <row r="15" spans="2:10" s="295" customFormat="1" ht="13.5" customHeight="1" x14ac:dyDescent="0.2">
      <c r="B15" s="1237" t="s">
        <v>1269</v>
      </c>
      <c r="C15" s="1238"/>
      <c r="D15" s="1212"/>
      <c r="E15" s="1239"/>
      <c r="F15" s="1121" t="s">
        <v>879</v>
      </c>
      <c r="G15" s="1239" t="s">
        <v>2033</v>
      </c>
      <c r="H15" s="1121" t="s">
        <v>1267</v>
      </c>
      <c r="I15" s="1121"/>
    </row>
    <row r="16" spans="2:10" s="295" customFormat="1" ht="8.65"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3.15" customHeight="1" x14ac:dyDescent="0.2">
      <c r="B18" s="1237" t="s">
        <v>1429</v>
      </c>
      <c r="C18" s="1238"/>
      <c r="D18" s="1212"/>
      <c r="E18" s="1239" t="s">
        <v>2033</v>
      </c>
      <c r="F18" s="1121" t="s">
        <v>879</v>
      </c>
      <c r="G18" s="1239"/>
      <c r="H18" s="1121" t="s">
        <v>1267</v>
      </c>
      <c r="I18" s="1121"/>
    </row>
    <row r="19" spans="2:9" s="295" customFormat="1" ht="8.65" customHeight="1" x14ac:dyDescent="0.2">
      <c r="B19" s="1183"/>
      <c r="C19" s="1103"/>
      <c r="E19" s="1198"/>
      <c r="F19" s="1121"/>
      <c r="G19" s="300"/>
      <c r="H19" s="1121"/>
      <c r="I19" s="1121"/>
    </row>
    <row r="20" spans="2:9" s="295" customFormat="1" ht="13.5" customHeight="1" x14ac:dyDescent="0.2">
      <c r="B20" s="1237" t="s">
        <v>1577</v>
      </c>
      <c r="C20" s="1238"/>
      <c r="D20" s="1212"/>
      <c r="E20" s="1239" t="s">
        <v>2033</v>
      </c>
      <c r="F20" s="1121" t="s">
        <v>879</v>
      </c>
      <c r="G20" s="1239"/>
      <c r="H20" s="1121" t="s">
        <v>99</v>
      </c>
      <c r="I20" s="1121"/>
    </row>
    <row r="21" spans="2:9" s="295" customFormat="1" ht="13.15" customHeight="1" x14ac:dyDescent="0.2">
      <c r="B21" s="1183"/>
      <c r="C21" s="1103"/>
      <c r="E21" s="1198"/>
      <c r="F21" s="1121"/>
      <c r="G21" s="300"/>
      <c r="H21" s="1121"/>
      <c r="I21" s="1121"/>
    </row>
    <row r="22" spans="2:9" s="295" customFormat="1" ht="13.15" customHeight="1" x14ac:dyDescent="0.2">
      <c r="B22" s="1231" t="s">
        <v>1271</v>
      </c>
      <c r="C22" s="1241"/>
      <c r="D22" s="1232"/>
      <c r="E22" s="1198"/>
      <c r="F22" s="1121"/>
      <c r="G22" s="300"/>
      <c r="H22" s="1121"/>
      <c r="I22" s="1121"/>
    </row>
    <row r="23" spans="2:9" s="295" customFormat="1" ht="13.1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2033</v>
      </c>
      <c r="H24" s="1121" t="s">
        <v>1267</v>
      </c>
      <c r="I24" s="1121"/>
    </row>
    <row r="25" spans="2:9" s="295" customFormat="1" ht="8.65"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3.15" customHeight="1" x14ac:dyDescent="0.2">
      <c r="B27" s="1237" t="s">
        <v>1429</v>
      </c>
      <c r="C27" s="1238"/>
      <c r="D27" s="1212"/>
      <c r="E27" s="1239"/>
      <c r="F27" s="1121" t="s">
        <v>879</v>
      </c>
      <c r="G27" s="1239" t="s">
        <v>2033</v>
      </c>
      <c r="H27" s="1121" t="s">
        <v>1267</v>
      </c>
      <c r="I27" s="1121"/>
    </row>
    <row r="28" spans="2:9" s="295" customFormat="1" ht="13.15" customHeight="1" x14ac:dyDescent="0.2">
      <c r="B28" s="1183"/>
      <c r="C28" s="1103"/>
      <c r="E28" s="1079"/>
    </row>
    <row r="29" spans="2:9" s="295" customFormat="1" ht="13.15" customHeight="1" x14ac:dyDescent="0.2">
      <c r="B29" s="1183" t="s">
        <v>1266</v>
      </c>
      <c r="C29" s="1103"/>
      <c r="D29" s="2550" t="s">
        <v>2148</v>
      </c>
      <c r="E29" s="2550"/>
      <c r="F29" s="2550"/>
      <c r="G29" s="2550"/>
      <c r="H29" s="2550"/>
      <c r="I29" s="2550"/>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2033</v>
      </c>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551" t="s">
        <v>1728</v>
      </c>
      <c r="D37" s="2552"/>
      <c r="E37" s="2552"/>
      <c r="F37" s="2553"/>
      <c r="G37" s="2551" t="s">
        <v>1578</v>
      </c>
      <c r="H37" s="2552"/>
      <c r="I37" s="2553"/>
    </row>
    <row r="38" spans="2:9" ht="16.7" customHeight="1" x14ac:dyDescent="0.2">
      <c r="B38" s="1245">
        <v>84.01</v>
      </c>
      <c r="C38" s="2539" t="s">
        <v>2149</v>
      </c>
      <c r="D38" s="2540"/>
      <c r="E38" s="2540"/>
      <c r="F38" s="2541"/>
      <c r="G38" s="2554">
        <f>'Wipfli SEFA'!J35</f>
        <v>884703</v>
      </c>
      <c r="H38" s="2555"/>
      <c r="I38" s="2556"/>
    </row>
    <row r="39" spans="2:9" ht="16.7" customHeight="1" x14ac:dyDescent="0.2">
      <c r="B39" s="1245"/>
      <c r="C39" s="2539"/>
      <c r="D39" s="2540"/>
      <c r="E39" s="2540"/>
      <c r="F39" s="2541"/>
      <c r="G39" s="2542"/>
      <c r="H39" s="2542"/>
      <c r="I39" s="2542"/>
    </row>
    <row r="40" spans="2:9" ht="16.7" customHeight="1" x14ac:dyDescent="0.2">
      <c r="B40" s="1245"/>
      <c r="C40" s="2539"/>
      <c r="D40" s="2540"/>
      <c r="E40" s="2540"/>
      <c r="F40" s="2541"/>
      <c r="G40" s="2542"/>
      <c r="H40" s="2542"/>
      <c r="I40" s="2542"/>
    </row>
    <row r="41" spans="2:9" ht="16.7" customHeight="1" x14ac:dyDescent="0.2">
      <c r="B41" s="1245"/>
      <c r="C41" s="2539"/>
      <c r="D41" s="2540"/>
      <c r="E41" s="2540"/>
      <c r="F41" s="2541"/>
      <c r="G41" s="2542"/>
      <c r="H41" s="2542"/>
      <c r="I41" s="2542"/>
    </row>
    <row r="42" spans="2:9" ht="16.7" customHeight="1" x14ac:dyDescent="0.2">
      <c r="B42" s="1245"/>
      <c r="C42" s="2539"/>
      <c r="D42" s="2540"/>
      <c r="E42" s="2540"/>
      <c r="F42" s="2541"/>
      <c r="G42" s="2542"/>
      <c r="H42" s="2542"/>
      <c r="I42" s="2542"/>
    </row>
    <row r="43" spans="2:9" ht="16.7" customHeight="1" x14ac:dyDescent="0.2">
      <c r="B43" s="1245"/>
      <c r="C43" s="2557" t="s">
        <v>1579</v>
      </c>
      <c r="D43" s="2558"/>
      <c r="E43" s="2558"/>
      <c r="F43" s="2559"/>
      <c r="G43" s="2560">
        <f>SUM(G38:I42)</f>
        <v>884703</v>
      </c>
      <c r="H43" s="2560"/>
      <c r="I43" s="2560"/>
    </row>
    <row r="44" spans="2:9" ht="13.15" customHeight="1" x14ac:dyDescent="0.2"/>
    <row r="45" spans="2:9" ht="13.15" customHeight="1" x14ac:dyDescent="0.2">
      <c r="B45" s="1984" t="str">
        <f>"Total Federal Expenditures for 7/1/"&amp;MID('AFR20'!E2,3,2)-1&amp;"-6/30/"&amp;MID('AFR20'!E2,3,2)</f>
        <v>Total Federal Expenditures for 7/1/19-6/30/20</v>
      </c>
      <c r="C45" s="1985"/>
      <c r="D45" s="2561">
        <f>'Wipfli SEFA'!J67</f>
        <v>1778100</v>
      </c>
      <c r="E45" s="2562"/>
    </row>
    <row r="46" spans="2:9" ht="5.25" customHeight="1" x14ac:dyDescent="0.2">
      <c r="B46" s="1246"/>
      <c r="D46" s="1247"/>
      <c r="E46" s="1248"/>
    </row>
    <row r="47" spans="2:9" ht="13.15" customHeight="1" x14ac:dyDescent="0.2">
      <c r="B47" s="1121" t="s">
        <v>1580</v>
      </c>
      <c r="C47" s="1121"/>
      <c r="D47" s="1249">
        <f>+G43/D45</f>
        <v>0.4975552556099207</v>
      </c>
      <c r="E47" s="1250"/>
      <c r="F47" s="1251"/>
      <c r="I47" s="1252"/>
    </row>
    <row r="48" spans="2:9" ht="9.9499999999999993" customHeight="1" x14ac:dyDescent="0.2"/>
    <row r="49" spans="1:9" x14ac:dyDescent="0.2">
      <c r="B49" s="1183" t="s">
        <v>1264</v>
      </c>
      <c r="C49" s="1103"/>
      <c r="D49" s="1103"/>
      <c r="E49" s="2563">
        <v>750000</v>
      </c>
      <c r="F49" s="2563"/>
      <c r="G49" s="2563"/>
      <c r="H49" s="300"/>
    </row>
    <row r="51" spans="1:9" ht="13.5" customHeight="1" x14ac:dyDescent="0.2">
      <c r="B51" s="1183" t="s">
        <v>1263</v>
      </c>
      <c r="C51" s="1103"/>
      <c r="E51" s="1239" t="s">
        <v>2033</v>
      </c>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3.15" customHeight="1" x14ac:dyDescent="0.2">
      <c r="A55" s="1259"/>
      <c r="B55" s="1263" t="s">
        <v>1581</v>
      </c>
      <c r="C55" s="1259"/>
      <c r="D55" s="1259"/>
    </row>
    <row r="56" spans="1:9" s="1262" customFormat="1" ht="13.1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3.15" customHeight="1" x14ac:dyDescent="0.2">
      <c r="A62" s="1259"/>
      <c r="B62" s="1264" t="s">
        <v>1732</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A70" sqref="A7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3" t="str">
        <f>'Single Audit Cover'!A7</f>
        <v>Dixon USD 170</v>
      </c>
      <c r="C1" s="2543"/>
      <c r="D1" s="2543"/>
      <c r="E1" s="2543"/>
      <c r="F1" s="2543"/>
      <c r="G1" s="2543"/>
      <c r="H1" s="2543"/>
      <c r="I1" s="2543"/>
      <c r="J1" s="2543"/>
      <c r="K1" s="2543"/>
      <c r="L1" s="1189"/>
      <c r="M1" s="1189"/>
    </row>
    <row r="2" spans="1:13" ht="12" customHeight="1" x14ac:dyDescent="0.2">
      <c r="B2" s="2545">
        <f>'Single Audit Cover'!E7</f>
        <v>47052170022</v>
      </c>
      <c r="C2" s="2545"/>
      <c r="D2" s="2545"/>
      <c r="E2" s="2545"/>
      <c r="F2" s="2545"/>
      <c r="G2" s="2545"/>
      <c r="H2" s="2545"/>
      <c r="I2" s="2545"/>
      <c r="J2" s="2545"/>
      <c r="K2" s="2545"/>
      <c r="L2" s="1190"/>
      <c r="M2" s="1191"/>
    </row>
    <row r="3" spans="1:13" ht="10.35" customHeight="1" x14ac:dyDescent="0.2">
      <c r="B3" s="2566" t="s">
        <v>1276</v>
      </c>
      <c r="C3" s="2566"/>
      <c r="D3" s="2566"/>
      <c r="E3" s="2566"/>
      <c r="F3" s="2566"/>
      <c r="G3" s="2566"/>
      <c r="H3" s="2566"/>
      <c r="I3" s="2566"/>
      <c r="J3" s="2566"/>
      <c r="K3" s="2566"/>
      <c r="L3" s="1192"/>
      <c r="M3" s="1192"/>
    </row>
    <row r="4" spans="1:13" ht="14.25" customHeight="1" x14ac:dyDescent="0.2">
      <c r="B4" s="2567" t="str">
        <f>'Single Audit Cover'!A4</f>
        <v>Year Ending June 30, 2020</v>
      </c>
      <c r="C4" s="2567"/>
      <c r="D4" s="2567"/>
      <c r="E4" s="2567"/>
      <c r="F4" s="2567"/>
      <c r="G4" s="2567"/>
      <c r="H4" s="2567"/>
      <c r="I4" s="2567"/>
      <c r="J4" s="2567"/>
      <c r="K4" s="2567"/>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3.15" customHeight="1" x14ac:dyDescent="0.2">
      <c r="A7" s="1103"/>
      <c r="B7" s="2567" t="s">
        <v>1287</v>
      </c>
      <c r="C7" s="2567"/>
      <c r="D7" s="2568"/>
      <c r="E7" s="2568"/>
      <c r="F7" s="2568"/>
      <c r="G7" s="2568"/>
      <c r="H7" s="2568"/>
      <c r="I7" s="2568"/>
      <c r="J7" s="2568"/>
      <c r="K7" s="2568"/>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7" customHeight="1" x14ac:dyDescent="0.2">
      <c r="B10" s="1199" t="s">
        <v>1719</v>
      </c>
      <c r="C10" s="1986" t="str">
        <f>'AFR20'!$E$2&amp;"-"</f>
        <v>2020-</v>
      </c>
      <c r="D10" s="1200">
        <v>1</v>
      </c>
      <c r="E10" s="300"/>
      <c r="F10" s="1201" t="s">
        <v>1286</v>
      </c>
      <c r="G10" s="1202"/>
      <c r="H10" s="1203" t="s">
        <v>1285</v>
      </c>
      <c r="I10" s="1202" t="s">
        <v>2033</v>
      </c>
      <c r="J10" s="1204" t="s">
        <v>1284</v>
      </c>
      <c r="K10" s="300"/>
      <c r="L10" s="1196"/>
    </row>
    <row r="11" spans="1:13" ht="13.5" customHeight="1" x14ac:dyDescent="0.2">
      <c r="B11" s="300"/>
      <c r="C11" s="300"/>
      <c r="D11" s="300"/>
      <c r="E11" s="300"/>
      <c r="F11" s="300"/>
      <c r="G11" s="1198"/>
      <c r="H11" s="300"/>
      <c r="I11" s="1205" t="s">
        <v>1283</v>
      </c>
      <c r="J11" s="300"/>
      <c r="K11" s="1206">
        <v>2007</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65" t="s">
        <v>2150</v>
      </c>
      <c r="C14" s="2565"/>
      <c r="D14" s="2565"/>
      <c r="E14" s="2565"/>
      <c r="F14" s="2565"/>
      <c r="G14" s="2565"/>
      <c r="H14" s="2565"/>
      <c r="I14" s="2565"/>
      <c r="J14" s="2565"/>
      <c r="K14" s="2565"/>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65" t="s">
        <v>2151</v>
      </c>
      <c r="C17" s="2565"/>
      <c r="D17" s="2565"/>
      <c r="E17" s="2565"/>
      <c r="F17" s="2565"/>
      <c r="G17" s="2565"/>
      <c r="H17" s="2565"/>
      <c r="I17" s="2565"/>
      <c r="J17" s="2565"/>
      <c r="K17" s="2565"/>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569" t="s">
        <v>2152</v>
      </c>
      <c r="C20" s="2569"/>
      <c r="D20" s="2565"/>
      <c r="E20" s="2565"/>
      <c r="F20" s="2565"/>
      <c r="G20" s="2565"/>
      <c r="H20" s="2565"/>
      <c r="I20" s="2565"/>
      <c r="J20" s="2565"/>
      <c r="K20" s="2565"/>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4" customHeight="1" x14ac:dyDescent="0.2">
      <c r="B23" s="2565" t="s">
        <v>2153</v>
      </c>
      <c r="C23" s="2565"/>
      <c r="D23" s="2565"/>
      <c r="E23" s="2565"/>
      <c r="F23" s="2565"/>
      <c r="G23" s="2565"/>
      <c r="H23" s="2565"/>
      <c r="I23" s="2565"/>
      <c r="J23" s="2565"/>
      <c r="K23" s="2565"/>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65" t="s">
        <v>2154</v>
      </c>
      <c r="C26" s="2565"/>
      <c r="D26" s="2565"/>
      <c r="E26" s="2565"/>
      <c r="F26" s="2565"/>
      <c r="G26" s="2565"/>
      <c r="H26" s="2565"/>
      <c r="I26" s="2565"/>
      <c r="J26" s="2565"/>
      <c r="K26" s="2565"/>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64" t="s">
        <v>2155</v>
      </c>
      <c r="C29" s="2564"/>
      <c r="D29" s="2565"/>
      <c r="E29" s="2565"/>
      <c r="F29" s="2565"/>
      <c r="G29" s="2565"/>
      <c r="H29" s="2565"/>
      <c r="I29" s="2565"/>
      <c r="J29" s="2565"/>
      <c r="K29" s="2565"/>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564" t="s">
        <v>2156</v>
      </c>
      <c r="C32" s="2564"/>
      <c r="D32" s="2565"/>
      <c r="E32" s="2565"/>
      <c r="F32" s="2565"/>
      <c r="G32" s="2565"/>
      <c r="H32" s="2565"/>
      <c r="I32" s="2565"/>
      <c r="J32" s="2565"/>
      <c r="K32" s="2565"/>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95"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88BD6-84E7-4830-A0EF-34F1DF2A8ADE}">
  <dimension ref="A1:M41"/>
  <sheetViews>
    <sheetView showGridLines="0" topLeftCell="A10" zoomScale="110" zoomScaleNormal="110" workbookViewId="0">
      <selection activeCell="A70" sqref="A7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3" t="str">
        <f>'Single Audit Cover'!A7</f>
        <v>Dixon USD 170</v>
      </c>
      <c r="C1" s="2543"/>
      <c r="D1" s="2543"/>
      <c r="E1" s="2543"/>
      <c r="F1" s="2543"/>
      <c r="G1" s="2543"/>
      <c r="H1" s="2543"/>
      <c r="I1" s="2543"/>
      <c r="J1" s="2543"/>
      <c r="K1" s="2543"/>
      <c r="L1" s="1189"/>
      <c r="M1" s="1189"/>
    </row>
    <row r="2" spans="1:13" ht="12" customHeight="1" x14ac:dyDescent="0.2">
      <c r="B2" s="2545">
        <f>'Single Audit Cover'!E7</f>
        <v>47052170022</v>
      </c>
      <c r="C2" s="2545"/>
      <c r="D2" s="2545"/>
      <c r="E2" s="2545"/>
      <c r="F2" s="2545"/>
      <c r="G2" s="2545"/>
      <c r="H2" s="2545"/>
      <c r="I2" s="2545"/>
      <c r="J2" s="2545"/>
      <c r="K2" s="2545"/>
      <c r="L2" s="1190"/>
      <c r="M2" s="1191"/>
    </row>
    <row r="3" spans="1:13" ht="10.35" customHeight="1" x14ac:dyDescent="0.2">
      <c r="B3" s="2566" t="s">
        <v>1276</v>
      </c>
      <c r="C3" s="2566"/>
      <c r="D3" s="2566"/>
      <c r="E3" s="2566"/>
      <c r="F3" s="2566"/>
      <c r="G3" s="2566"/>
      <c r="H3" s="2566"/>
      <c r="I3" s="2566"/>
      <c r="J3" s="2566"/>
      <c r="K3" s="2566"/>
      <c r="L3" s="1987"/>
      <c r="M3" s="1987"/>
    </row>
    <row r="4" spans="1:13" ht="14.25" customHeight="1" x14ac:dyDescent="0.2">
      <c r="B4" s="2567" t="str">
        <f>'Single Audit Cover'!A4</f>
        <v>Year Ending June 30, 2020</v>
      </c>
      <c r="C4" s="2567"/>
      <c r="D4" s="2567"/>
      <c r="E4" s="2567"/>
      <c r="F4" s="2567"/>
      <c r="G4" s="2567"/>
      <c r="H4" s="2567"/>
      <c r="I4" s="2567"/>
      <c r="J4" s="2567"/>
      <c r="K4" s="2567"/>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3.15" customHeight="1" x14ac:dyDescent="0.2">
      <c r="A7" s="1103"/>
      <c r="B7" s="2567" t="s">
        <v>1287</v>
      </c>
      <c r="C7" s="2567"/>
      <c r="D7" s="2568"/>
      <c r="E7" s="2568"/>
      <c r="F7" s="2568"/>
      <c r="G7" s="2568"/>
      <c r="H7" s="2568"/>
      <c r="I7" s="2568"/>
      <c r="J7" s="2568"/>
      <c r="K7" s="2568"/>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7" customHeight="1" x14ac:dyDescent="0.2">
      <c r="B10" s="1199" t="s">
        <v>1719</v>
      </c>
      <c r="C10" s="1986" t="str">
        <f>'AFR20'!$E$2&amp;"-"</f>
        <v>2020-</v>
      </c>
      <c r="D10" s="1200">
        <v>2</v>
      </c>
      <c r="E10" s="300"/>
      <c r="F10" s="1201" t="s">
        <v>1286</v>
      </c>
      <c r="G10" s="1202"/>
      <c r="H10" s="1203" t="s">
        <v>1285</v>
      </c>
      <c r="I10" s="1202" t="s">
        <v>2033</v>
      </c>
      <c r="J10" s="1204" t="s">
        <v>1284</v>
      </c>
      <c r="K10" s="300"/>
      <c r="L10" s="1196"/>
    </row>
    <row r="11" spans="1:13" ht="13.5" customHeight="1" x14ac:dyDescent="0.2">
      <c r="B11" s="300"/>
      <c r="C11" s="300"/>
      <c r="D11" s="300"/>
      <c r="E11" s="300"/>
      <c r="F11" s="300"/>
      <c r="G11" s="1198"/>
      <c r="H11" s="300"/>
      <c r="I11" s="1205" t="s">
        <v>1283</v>
      </c>
      <c r="J11" s="300"/>
      <c r="K11" s="1206">
        <v>2008</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65" t="s">
        <v>2157</v>
      </c>
      <c r="C14" s="2565"/>
      <c r="D14" s="2565"/>
      <c r="E14" s="2565"/>
      <c r="F14" s="2565"/>
      <c r="G14" s="2565"/>
      <c r="H14" s="2565"/>
      <c r="I14" s="2565"/>
      <c r="J14" s="2565"/>
      <c r="K14" s="2565"/>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65" t="s">
        <v>2151</v>
      </c>
      <c r="C17" s="2565"/>
      <c r="D17" s="2565"/>
      <c r="E17" s="2565"/>
      <c r="F17" s="2565"/>
      <c r="G17" s="2565"/>
      <c r="H17" s="2565"/>
      <c r="I17" s="2565"/>
      <c r="J17" s="2565"/>
      <c r="K17" s="2565"/>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569" t="s">
        <v>2158</v>
      </c>
      <c r="C20" s="2569"/>
      <c r="D20" s="2565"/>
      <c r="E20" s="2565"/>
      <c r="F20" s="2565"/>
      <c r="G20" s="2565"/>
      <c r="H20" s="2565"/>
      <c r="I20" s="2565"/>
      <c r="J20" s="2565"/>
      <c r="K20" s="2565"/>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4" customHeight="1" x14ac:dyDescent="0.2">
      <c r="B23" s="2565" t="s">
        <v>2159</v>
      </c>
      <c r="C23" s="2565"/>
      <c r="D23" s="2565"/>
      <c r="E23" s="2565"/>
      <c r="F23" s="2565"/>
      <c r="G23" s="2565"/>
      <c r="H23" s="2565"/>
      <c r="I23" s="2565"/>
      <c r="J23" s="2565"/>
      <c r="K23" s="2565"/>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65" t="s">
        <v>2160</v>
      </c>
      <c r="C26" s="2565"/>
      <c r="D26" s="2565"/>
      <c r="E26" s="2565"/>
      <c r="F26" s="2565"/>
      <c r="G26" s="2565"/>
      <c r="H26" s="2565"/>
      <c r="I26" s="2565"/>
      <c r="J26" s="2565"/>
      <c r="K26" s="2565"/>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64" t="s">
        <v>2161</v>
      </c>
      <c r="C29" s="2564"/>
      <c r="D29" s="2565"/>
      <c r="E29" s="2565"/>
      <c r="F29" s="2565"/>
      <c r="G29" s="2565"/>
      <c r="H29" s="2565"/>
      <c r="I29" s="2565"/>
      <c r="J29" s="2565"/>
      <c r="K29" s="2565"/>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564" t="s">
        <v>2161</v>
      </c>
      <c r="C32" s="2564"/>
      <c r="D32" s="2565"/>
      <c r="E32" s="2565"/>
      <c r="F32" s="2565"/>
      <c r="G32" s="2565"/>
      <c r="H32" s="2565"/>
      <c r="I32" s="2565"/>
      <c r="J32" s="2565"/>
      <c r="K32" s="2565"/>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95"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22C60-2D5E-459C-9C55-F837C1953F3F}">
  <dimension ref="A1:M41"/>
  <sheetViews>
    <sheetView showGridLines="0" zoomScale="110" zoomScaleNormal="110" workbookViewId="0">
      <selection activeCell="A70" sqref="A7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3" t="str">
        <f>'Single Audit Cover'!A7</f>
        <v>Dixon USD 170</v>
      </c>
      <c r="C1" s="2543"/>
      <c r="D1" s="2543"/>
      <c r="E1" s="2543"/>
      <c r="F1" s="2543"/>
      <c r="G1" s="2543"/>
      <c r="H1" s="2543"/>
      <c r="I1" s="2543"/>
      <c r="J1" s="2543"/>
      <c r="K1" s="2543"/>
      <c r="L1" s="1189"/>
      <c r="M1" s="1189"/>
    </row>
    <row r="2" spans="1:13" ht="12" customHeight="1" x14ac:dyDescent="0.2">
      <c r="B2" s="2545">
        <f>'Single Audit Cover'!E7</f>
        <v>47052170022</v>
      </c>
      <c r="C2" s="2545"/>
      <c r="D2" s="2545"/>
      <c r="E2" s="2545"/>
      <c r="F2" s="2545"/>
      <c r="G2" s="2545"/>
      <c r="H2" s="2545"/>
      <c r="I2" s="2545"/>
      <c r="J2" s="2545"/>
      <c r="K2" s="2545"/>
      <c r="L2" s="1190"/>
      <c r="M2" s="1191"/>
    </row>
    <row r="3" spans="1:13" ht="10.35" customHeight="1" x14ac:dyDescent="0.2">
      <c r="B3" s="2566" t="s">
        <v>1276</v>
      </c>
      <c r="C3" s="2566"/>
      <c r="D3" s="2566"/>
      <c r="E3" s="2566"/>
      <c r="F3" s="2566"/>
      <c r="G3" s="2566"/>
      <c r="H3" s="2566"/>
      <c r="I3" s="2566"/>
      <c r="J3" s="2566"/>
      <c r="K3" s="2566"/>
      <c r="L3" s="1987"/>
      <c r="M3" s="1987"/>
    </row>
    <row r="4" spans="1:13" ht="14.25" customHeight="1" x14ac:dyDescent="0.2">
      <c r="B4" s="2567" t="str">
        <f>'Single Audit Cover'!A4</f>
        <v>Year Ending June 30, 2020</v>
      </c>
      <c r="C4" s="2567"/>
      <c r="D4" s="2567"/>
      <c r="E4" s="2567"/>
      <c r="F4" s="2567"/>
      <c r="G4" s="2567"/>
      <c r="H4" s="2567"/>
      <c r="I4" s="2567"/>
      <c r="J4" s="2567"/>
      <c r="K4" s="2567"/>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3.15" customHeight="1" x14ac:dyDescent="0.2">
      <c r="A7" s="1103"/>
      <c r="B7" s="2567" t="s">
        <v>1287</v>
      </c>
      <c r="C7" s="2567"/>
      <c r="D7" s="2568"/>
      <c r="E7" s="2568"/>
      <c r="F7" s="2568"/>
      <c r="G7" s="2568"/>
      <c r="H7" s="2568"/>
      <c r="I7" s="2568"/>
      <c r="J7" s="2568"/>
      <c r="K7" s="2568"/>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7" customHeight="1" x14ac:dyDescent="0.2">
      <c r="B10" s="1199" t="s">
        <v>1719</v>
      </c>
      <c r="C10" s="1986" t="str">
        <f>'AFR20'!$E$2&amp;"-"</f>
        <v>2020-</v>
      </c>
      <c r="D10" s="1200">
        <v>3</v>
      </c>
      <c r="E10" s="300"/>
      <c r="F10" s="1201" t="s">
        <v>1286</v>
      </c>
      <c r="G10" s="1202"/>
      <c r="H10" s="1203" t="s">
        <v>1285</v>
      </c>
      <c r="I10" s="1202" t="s">
        <v>2033</v>
      </c>
      <c r="J10" s="1204" t="s">
        <v>1284</v>
      </c>
      <c r="K10" s="300"/>
      <c r="L10" s="1196"/>
    </row>
    <row r="11" spans="1:13" ht="13.5" customHeight="1" x14ac:dyDescent="0.2">
      <c r="B11" s="300"/>
      <c r="C11" s="300"/>
      <c r="D11" s="300"/>
      <c r="E11" s="300"/>
      <c r="F11" s="300"/>
      <c r="G11" s="1198"/>
      <c r="H11" s="300"/>
      <c r="I11" s="1205" t="s">
        <v>1283</v>
      </c>
      <c r="J11" s="300"/>
      <c r="K11" s="1206">
        <v>2017</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65" t="s">
        <v>2162</v>
      </c>
      <c r="C14" s="2565"/>
      <c r="D14" s="2565"/>
      <c r="E14" s="2565"/>
      <c r="F14" s="2565"/>
      <c r="G14" s="2565"/>
      <c r="H14" s="2565"/>
      <c r="I14" s="2565"/>
      <c r="J14" s="2565"/>
      <c r="K14" s="2565"/>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65" t="s">
        <v>2163</v>
      </c>
      <c r="C17" s="2565"/>
      <c r="D17" s="2565"/>
      <c r="E17" s="2565"/>
      <c r="F17" s="2565"/>
      <c r="G17" s="2565"/>
      <c r="H17" s="2565"/>
      <c r="I17" s="2565"/>
      <c r="J17" s="2565"/>
      <c r="K17" s="2565"/>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569" t="s">
        <v>2163</v>
      </c>
      <c r="C20" s="2569"/>
      <c r="D20" s="2565"/>
      <c r="E20" s="2565"/>
      <c r="F20" s="2565"/>
      <c r="G20" s="2565"/>
      <c r="H20" s="2565"/>
      <c r="I20" s="2565"/>
      <c r="J20" s="2565"/>
      <c r="K20" s="2565"/>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4" customHeight="1" x14ac:dyDescent="0.2">
      <c r="B23" s="2565" t="s">
        <v>2164</v>
      </c>
      <c r="C23" s="2565"/>
      <c r="D23" s="2565"/>
      <c r="E23" s="2565"/>
      <c r="F23" s="2565"/>
      <c r="G23" s="2565"/>
      <c r="H23" s="2565"/>
      <c r="I23" s="2565"/>
      <c r="J23" s="2565"/>
      <c r="K23" s="2565"/>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65" t="s">
        <v>2165</v>
      </c>
      <c r="C26" s="2565"/>
      <c r="D26" s="2565"/>
      <c r="E26" s="2565"/>
      <c r="F26" s="2565"/>
      <c r="G26" s="2565"/>
      <c r="H26" s="2565"/>
      <c r="I26" s="2565"/>
      <c r="J26" s="2565"/>
      <c r="K26" s="2565"/>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64" t="s">
        <v>2166</v>
      </c>
      <c r="C29" s="2564"/>
      <c r="D29" s="2565"/>
      <c r="E29" s="2565"/>
      <c r="F29" s="2565"/>
      <c r="G29" s="2565"/>
      <c r="H29" s="2565"/>
      <c r="I29" s="2565"/>
      <c r="J29" s="2565"/>
      <c r="K29" s="2565"/>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564" t="s">
        <v>2167</v>
      </c>
      <c r="C32" s="2564"/>
      <c r="D32" s="2565"/>
      <c r="E32" s="2565"/>
      <c r="F32" s="2565"/>
      <c r="G32" s="2565"/>
      <c r="H32" s="2565"/>
      <c r="I32" s="2565"/>
      <c r="J32" s="2565"/>
      <c r="K32" s="2565"/>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95"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9" zoomScale="110" zoomScaleNormal="110" workbookViewId="0">
      <selection activeCell="A70" sqref="A7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3.15" customHeight="1" x14ac:dyDescent="0.2">
      <c r="B1" s="2570" t="str">
        <f>'Single Audit Cover'!A7</f>
        <v>Dixon USD 170</v>
      </c>
      <c r="C1" s="2570"/>
      <c r="D1" s="2570"/>
      <c r="E1" s="2570"/>
      <c r="F1" s="2570"/>
      <c r="G1" s="2570"/>
      <c r="H1" s="2570"/>
      <c r="I1" s="2570"/>
      <c r="J1" s="2570"/>
      <c r="K1" s="2570"/>
      <c r="L1" s="1266"/>
    </row>
    <row r="2" spans="1:12" ht="13.15" customHeight="1" x14ac:dyDescent="0.2">
      <c r="B2" s="2571">
        <f>'Single Audit Cover'!E7</f>
        <v>47052170022</v>
      </c>
      <c r="C2" s="2571"/>
      <c r="D2" s="2571"/>
      <c r="E2" s="2571"/>
      <c r="F2" s="2571"/>
      <c r="G2" s="2571"/>
      <c r="H2" s="2571"/>
      <c r="I2" s="2571"/>
      <c r="J2" s="2571"/>
      <c r="K2" s="2571"/>
      <c r="L2" s="1267"/>
    </row>
    <row r="3" spans="1:12" ht="13.15" customHeight="1" x14ac:dyDescent="0.2">
      <c r="B3" s="2566" t="s">
        <v>1276</v>
      </c>
      <c r="C3" s="2566"/>
      <c r="D3" s="2566"/>
      <c r="E3" s="2566"/>
      <c r="F3" s="2566"/>
      <c r="G3" s="2566"/>
      <c r="H3" s="2566"/>
      <c r="I3" s="2566"/>
      <c r="J3" s="2566"/>
      <c r="K3" s="2566"/>
      <c r="L3" s="1192"/>
    </row>
    <row r="4" spans="1:12" ht="13.15" customHeight="1" x14ac:dyDescent="0.2">
      <c r="B4" s="2566" t="str">
        <f>'Single Audit Cover'!A4</f>
        <v>Year Ending June 30, 2020</v>
      </c>
      <c r="C4" s="2566"/>
      <c r="D4" s="2566"/>
      <c r="E4" s="2566"/>
      <c r="F4" s="2566"/>
      <c r="G4" s="2566"/>
      <c r="H4" s="2566"/>
      <c r="I4" s="2566"/>
      <c r="J4" s="2566"/>
      <c r="K4" s="2566"/>
      <c r="L4" s="1192"/>
    </row>
    <row r="5" spans="1:12" ht="5.25" customHeight="1" x14ac:dyDescent="0.2">
      <c r="B5" s="1081" t="s">
        <v>1161</v>
      </c>
      <c r="C5" s="1081"/>
      <c r="L5" s="300"/>
    </row>
    <row r="6" spans="1:12" ht="31.15" customHeight="1" x14ac:dyDescent="0.2">
      <c r="A6" s="300"/>
      <c r="B6" s="2572" t="s">
        <v>1299</v>
      </c>
      <c r="C6" s="2572"/>
      <c r="D6" s="2572"/>
      <c r="E6" s="2572"/>
      <c r="F6" s="2572"/>
      <c r="G6" s="2572"/>
      <c r="H6" s="2572"/>
      <c r="I6" s="2572"/>
      <c r="J6" s="2572"/>
      <c r="K6" s="2572"/>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6"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50"/>
      <c r="G12" s="2550"/>
      <c r="H12" s="2550"/>
      <c r="I12" s="2550"/>
      <c r="J12" s="2550"/>
      <c r="K12" s="2550"/>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73"/>
      <c r="E14" s="2573"/>
      <c r="F14" s="2573"/>
      <c r="H14" s="1275" t="s">
        <v>1294</v>
      </c>
      <c r="I14" s="2574"/>
      <c r="J14" s="2574"/>
      <c r="K14" s="2574"/>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74"/>
      <c r="E16" s="2574"/>
      <c r="F16" s="2574"/>
      <c r="G16" s="2574"/>
      <c r="H16" s="2574"/>
      <c r="I16" s="2574"/>
      <c r="J16" s="2574"/>
      <c r="K16" s="2574"/>
      <c r="L16" s="300"/>
    </row>
    <row r="17" spans="2:12" ht="13.5" customHeight="1" x14ac:dyDescent="0.2">
      <c r="B17" s="1201" t="s">
        <v>1292</v>
      </c>
      <c r="C17" s="1201"/>
      <c r="D17" s="2575"/>
      <c r="E17" s="2575"/>
      <c r="F17" s="2575"/>
      <c r="G17" s="2575"/>
      <c r="H17" s="2575"/>
      <c r="I17" s="2575"/>
      <c r="J17" s="2575"/>
      <c r="K17" s="2575"/>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65"/>
      <c r="C20" s="2565"/>
      <c r="D20" s="2565"/>
      <c r="E20" s="2565"/>
      <c r="F20" s="2565"/>
      <c r="G20" s="2565"/>
      <c r="H20" s="2565"/>
      <c r="I20" s="2565"/>
      <c r="J20" s="2565"/>
      <c r="K20" s="2565"/>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565"/>
      <c r="C23" s="2565"/>
      <c r="D23" s="2565"/>
      <c r="E23" s="2565"/>
      <c r="F23" s="2565"/>
      <c r="G23" s="2565"/>
      <c r="H23" s="2565"/>
      <c r="I23" s="2565"/>
      <c r="J23" s="2565"/>
      <c r="K23" s="2565"/>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565"/>
      <c r="C26" s="2565"/>
      <c r="D26" s="2565"/>
      <c r="E26" s="2565"/>
      <c r="F26" s="2565"/>
      <c r="G26" s="2565"/>
      <c r="H26" s="2565"/>
      <c r="I26" s="2565"/>
      <c r="J26" s="2565"/>
      <c r="K26" s="2565"/>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565"/>
      <c r="C29" s="2565"/>
      <c r="D29" s="2565"/>
      <c r="E29" s="2565"/>
      <c r="F29" s="2565"/>
      <c r="G29" s="2565"/>
      <c r="H29" s="2565"/>
      <c r="I29" s="2565"/>
      <c r="J29" s="2565"/>
      <c r="K29" s="2565"/>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65"/>
      <c r="C32" s="2565"/>
      <c r="D32" s="2565"/>
      <c r="E32" s="2565"/>
      <c r="F32" s="2565"/>
      <c r="G32" s="2565"/>
      <c r="H32" s="2565"/>
      <c r="I32" s="2565"/>
      <c r="J32" s="2565"/>
      <c r="K32" s="2565"/>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65"/>
      <c r="C35" s="2565"/>
      <c r="D35" s="2565"/>
      <c r="E35" s="2565"/>
      <c r="F35" s="2565"/>
      <c r="G35" s="2565"/>
      <c r="H35" s="2565"/>
      <c r="I35" s="2565"/>
      <c r="J35" s="2565"/>
      <c r="K35" s="2565"/>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65"/>
      <c r="C38" s="2565"/>
      <c r="D38" s="2565"/>
      <c r="E38" s="2565"/>
      <c r="F38" s="2565"/>
      <c r="G38" s="2565"/>
      <c r="H38" s="2565"/>
      <c r="I38" s="2565"/>
      <c r="J38" s="2565"/>
      <c r="K38" s="2565"/>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565"/>
      <c r="C41" s="2565"/>
      <c r="D41" s="2565"/>
      <c r="E41" s="2565"/>
      <c r="F41" s="2565"/>
      <c r="G41" s="2565"/>
      <c r="H41" s="2565"/>
      <c r="I41" s="2565"/>
      <c r="J41" s="2565"/>
      <c r="K41" s="2565"/>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16" zoomScale="110" zoomScaleNormal="110" workbookViewId="0">
      <selection activeCell="A70" sqref="A7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3.15" customHeight="1" x14ac:dyDescent="0.2">
      <c r="B1" s="2543" t="str">
        <f>'Single Audit Cover'!A7</f>
        <v>Dixon USD 170</v>
      </c>
      <c r="C1" s="2543"/>
      <c r="D1" s="2543"/>
      <c r="E1" s="1285"/>
    </row>
    <row r="2" spans="2:5" s="1103" customFormat="1" ht="13.15" customHeight="1" x14ac:dyDescent="0.2">
      <c r="B2" s="2545">
        <f>'Single Audit Cover'!E7</f>
        <v>47052170022</v>
      </c>
      <c r="C2" s="2545"/>
      <c r="D2" s="2545"/>
      <c r="E2" s="1286"/>
    </row>
    <row r="3" spans="2:5" ht="13.15" customHeight="1" x14ac:dyDescent="0.2">
      <c r="B3" s="2566" t="s">
        <v>1743</v>
      </c>
      <c r="C3" s="2566"/>
      <c r="D3" s="2566"/>
      <c r="E3" s="1095"/>
    </row>
    <row r="4" spans="2:5" s="1103" customFormat="1" ht="13.15" customHeight="1" x14ac:dyDescent="0.2">
      <c r="B4" s="2576" t="str">
        <f>'Single Audit Cover'!A4</f>
        <v>Year Ending June 30, 2020</v>
      </c>
      <c r="C4" s="2576"/>
      <c r="D4" s="2576"/>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0" t="s">
        <v>2168</v>
      </c>
      <c r="C7" s="302" t="s">
        <v>2169</v>
      </c>
      <c r="D7" s="302" t="s">
        <v>2179</v>
      </c>
      <c r="E7" s="302"/>
    </row>
    <row r="8" spans="2:5" ht="13.5" customHeight="1" x14ac:dyDescent="0.2">
      <c r="B8" s="1290"/>
      <c r="C8" s="302"/>
      <c r="D8" s="302"/>
      <c r="E8" s="302"/>
    </row>
    <row r="9" spans="2:5" ht="13.5" customHeight="1" x14ac:dyDescent="0.2">
      <c r="B9" s="1291" t="s">
        <v>2174</v>
      </c>
      <c r="C9" s="301" t="s">
        <v>2170</v>
      </c>
      <c r="D9" s="301" t="s">
        <v>2179</v>
      </c>
      <c r="E9" s="301"/>
    </row>
    <row r="10" spans="2:5" ht="13.5" customHeight="1" x14ac:dyDescent="0.2">
      <c r="B10" s="1290"/>
      <c r="C10" s="301" t="s">
        <v>2171</v>
      </c>
      <c r="D10" s="301"/>
      <c r="E10" s="301"/>
    </row>
    <row r="11" spans="2:5" ht="13.5" customHeight="1" x14ac:dyDescent="0.2">
      <c r="B11" s="1290"/>
      <c r="C11" s="301"/>
      <c r="D11" s="301"/>
      <c r="E11" s="301"/>
    </row>
    <row r="12" spans="2:5" ht="13.5" customHeight="1" x14ac:dyDescent="0.2">
      <c r="B12" s="1290" t="s">
        <v>2175</v>
      </c>
      <c r="C12" s="301" t="s">
        <v>2172</v>
      </c>
      <c r="D12" s="301" t="s">
        <v>2179</v>
      </c>
      <c r="E12" s="301"/>
    </row>
    <row r="13" spans="2:5" ht="13.5" customHeight="1" x14ac:dyDescent="0.2">
      <c r="B13" s="1290"/>
      <c r="C13" s="301" t="s">
        <v>2173</v>
      </c>
      <c r="D13" s="301"/>
      <c r="E13" s="301"/>
    </row>
    <row r="14" spans="2:5" ht="13.5" customHeight="1" x14ac:dyDescent="0.2">
      <c r="B14" s="1290" t="s">
        <v>2176</v>
      </c>
      <c r="C14" s="301" t="s">
        <v>2169</v>
      </c>
      <c r="D14" s="301" t="s">
        <v>2179</v>
      </c>
      <c r="E14" s="301"/>
    </row>
    <row r="15" spans="2:5" ht="13.5" customHeight="1" x14ac:dyDescent="0.2">
      <c r="B15" s="1290"/>
      <c r="C15" s="301"/>
      <c r="D15" s="301"/>
      <c r="E15" s="301"/>
    </row>
    <row r="16" spans="2:5" ht="13.5" customHeight="1" x14ac:dyDescent="0.2">
      <c r="B16" s="1290" t="s">
        <v>2177</v>
      </c>
      <c r="C16" s="301" t="s">
        <v>2170</v>
      </c>
      <c r="D16" s="301" t="s">
        <v>2179</v>
      </c>
      <c r="E16" s="301"/>
    </row>
    <row r="17" spans="2:5" ht="13.5" customHeight="1" x14ac:dyDescent="0.2">
      <c r="B17" s="1290"/>
      <c r="C17" s="301" t="s">
        <v>2171</v>
      </c>
      <c r="D17" s="301"/>
      <c r="E17" s="301"/>
    </row>
    <row r="18" spans="2:5" ht="13.5" customHeight="1" x14ac:dyDescent="0.2">
      <c r="B18" s="1290"/>
      <c r="C18" s="301"/>
      <c r="D18" s="301"/>
      <c r="E18" s="301"/>
    </row>
    <row r="19" spans="2:5" ht="13.5" customHeight="1" x14ac:dyDescent="0.2">
      <c r="B19" s="1290" t="s">
        <v>2178</v>
      </c>
      <c r="C19" s="301" t="s">
        <v>2172</v>
      </c>
      <c r="D19" s="301" t="s">
        <v>2179</v>
      </c>
      <c r="E19" s="301"/>
    </row>
    <row r="20" spans="2:5" ht="13.5" customHeight="1" x14ac:dyDescent="0.2">
      <c r="B20" s="1290"/>
      <c r="C20" s="301" t="s">
        <v>2173</v>
      </c>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3.15" customHeight="1" x14ac:dyDescent="0.2">
      <c r="B43" s="1297"/>
      <c r="C43" s="1298"/>
      <c r="D43" s="1298"/>
      <c r="E43" s="301"/>
    </row>
    <row r="44" spans="2:5" ht="12.4" customHeight="1" x14ac:dyDescent="0.2">
      <c r="B44" s="1078" t="s">
        <v>1304</v>
      </c>
      <c r="C44" s="300"/>
    </row>
    <row r="45" spans="2:5" ht="12.4" customHeight="1" x14ac:dyDescent="0.2">
      <c r="B45" s="1299" t="s">
        <v>1746</v>
      </c>
    </row>
    <row r="46" spans="2:5" ht="12.4" customHeight="1" x14ac:dyDescent="0.2">
      <c r="B46" s="1299" t="s">
        <v>1747</v>
      </c>
    </row>
    <row r="47" spans="2:5" ht="12.4" customHeight="1" x14ac:dyDescent="0.2">
      <c r="B47" s="1300" t="s">
        <v>1303</v>
      </c>
    </row>
    <row r="48" spans="2:5" ht="12.4" customHeight="1" x14ac:dyDescent="0.2">
      <c r="B48" s="1300" t="s">
        <v>1302</v>
      </c>
    </row>
    <row r="49" spans="2:5" ht="12.4" customHeight="1" x14ac:dyDescent="0.2">
      <c r="B49" s="1300" t="s">
        <v>1301</v>
      </c>
    </row>
    <row r="50" spans="2:5" ht="12.4" customHeight="1" x14ac:dyDescent="0.2">
      <c r="B50" s="1300" t="s">
        <v>1300</v>
      </c>
    </row>
    <row r="53" spans="2:5" ht="13.15" customHeight="1" x14ac:dyDescent="0.2"/>
    <row r="54" spans="2:5" ht="13.15" customHeight="1" x14ac:dyDescent="0.2">
      <c r="B54" s="1088"/>
    </row>
    <row r="55" spans="2:5" ht="13.15" customHeight="1" x14ac:dyDescent="0.2"/>
    <row r="56" spans="2:5" ht="13.15" customHeight="1" x14ac:dyDescent="0.2">
      <c r="B56" s="300"/>
      <c r="C56" s="300"/>
      <c r="D56" s="300"/>
      <c r="E56" s="300"/>
    </row>
    <row r="57" spans="2:5" ht="13.15" customHeight="1" x14ac:dyDescent="0.2">
      <c r="B57" s="300"/>
      <c r="C57" s="300"/>
      <c r="D57" s="300"/>
      <c r="E57" s="300"/>
    </row>
    <row r="58" spans="2:5" ht="13.15" customHeight="1" x14ac:dyDescent="0.2">
      <c r="B58" s="300"/>
      <c r="C58" s="300"/>
      <c r="D58" s="300"/>
      <c r="E58" s="300"/>
    </row>
    <row r="59" spans="2:5" ht="13.15" customHeight="1" x14ac:dyDescent="0.2">
      <c r="B59" s="300"/>
      <c r="C59" s="300"/>
      <c r="D59" s="300"/>
      <c r="E59" s="300"/>
    </row>
    <row r="60" spans="2:5" ht="13.15" customHeight="1" x14ac:dyDescent="0.2">
      <c r="B60" s="300"/>
      <c r="C60" s="300"/>
      <c r="D60" s="300"/>
      <c r="E60" s="300"/>
    </row>
    <row r="61" spans="2:5" ht="13.15" customHeight="1" x14ac:dyDescent="0.2">
      <c r="B61" s="300"/>
      <c r="C61" s="300"/>
      <c r="D61" s="300"/>
      <c r="E61" s="300"/>
    </row>
    <row r="62" spans="2:5" ht="13.15" customHeight="1" x14ac:dyDescent="0.2">
      <c r="B62" s="300"/>
      <c r="C62" s="300"/>
      <c r="D62" s="300"/>
      <c r="E62" s="300"/>
    </row>
    <row r="63" spans="2:5" ht="13.1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C2A5F-F316-4E49-B344-6BB1CE976D41}">
  <dimension ref="A1"/>
  <sheetViews>
    <sheetView topLeftCell="A10" workbookViewId="0"/>
  </sheetViews>
  <sheetFormatPr defaultRowHeight="12.75" x14ac:dyDescent="0.2"/>
  <sheetData/>
  <pageMargins left="0.5" right="0.5" top="0.5" bottom="0.25" header="0" footer="0"/>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M50" sqref="M5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68" t="s">
        <v>383</v>
      </c>
      <c r="B1" s="2168"/>
      <c r="C1" s="2168"/>
      <c r="D1" s="2168"/>
      <c r="E1" s="2168"/>
      <c r="F1" s="2168"/>
      <c r="G1" s="2168"/>
      <c r="H1" s="2168"/>
      <c r="I1" s="2168"/>
      <c r="J1" s="2168"/>
      <c r="K1" s="2168"/>
      <c r="L1" s="2168"/>
      <c r="M1" s="216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377435327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2.9499999999999998E-2</v>
      </c>
      <c r="E10" s="333" t="s">
        <v>998</v>
      </c>
      <c r="F10" s="332">
        <v>5.0000000000000001E-3</v>
      </c>
      <c r="G10" s="333" t="s">
        <v>998</v>
      </c>
      <c r="H10" s="332">
        <v>2E-3</v>
      </c>
      <c r="I10" s="333" t="s">
        <v>999</v>
      </c>
      <c r="J10" s="1473">
        <f>ROUND(D10+F10+H10,5)</f>
        <v>3.6499999999999998E-2</v>
      </c>
      <c r="K10" s="217"/>
      <c r="L10" s="332">
        <v>5.0000000000000001E-4</v>
      </c>
      <c r="M10" s="217"/>
    </row>
    <row r="11" spans="1:14" ht="7.5" customHeight="1" x14ac:dyDescent="0.2">
      <c r="B11" s="217"/>
      <c r="C11" s="217"/>
      <c r="D11" s="2178" t="str">
        <f>IF(SUM(J10)&lt;=0.0999999,"","Enter the Tax Rates by moving the decimal two places to the left.")</f>
        <v/>
      </c>
      <c r="E11" s="2179"/>
      <c r="F11" s="2179"/>
      <c r="G11" s="2179"/>
      <c r="H11" s="2179"/>
      <c r="I11" s="2179"/>
      <c r="J11" s="217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26920870</v>
      </c>
      <c r="E16" s="1597"/>
      <c r="F16" s="1596">
        <f>SUM('Acct Summary 7-8'!C17,'Acct Summary 7-8'!D17,'Acct Summary 7-8'!F17)</f>
        <v>27481334</v>
      </c>
      <c r="G16" s="1597"/>
      <c r="H16" s="1596">
        <f>SUM(D16-F16)</f>
        <v>-560464</v>
      </c>
      <c r="I16" s="1598"/>
      <c r="J16" s="1596">
        <f>SUM('Acct Summary 7-8'!C81,'Acct Summary 7-8'!D81,'Acct Summary 7-8'!F81,'Acct Summary 7-8'!I81)</f>
        <v>3114392</v>
      </c>
      <c r="K16" s="217"/>
      <c r="L16" s="217"/>
      <c r="M16" s="217"/>
    </row>
    <row r="17" spans="1:13" ht="12.4" customHeight="1" x14ac:dyDescent="0.2">
      <c r="A17" s="327"/>
      <c r="B17" s="255" t="s">
        <v>8</v>
      </c>
      <c r="C17" s="232" t="s">
        <v>1382</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3.1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4"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3.1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52086075.126000002</v>
      </c>
      <c r="I31" s="345"/>
      <c r="J31" s="217"/>
      <c r="K31" s="217"/>
      <c r="L31" s="217"/>
      <c r="M31" s="217"/>
    </row>
    <row r="32" spans="1:13" ht="13.35" customHeight="1" x14ac:dyDescent="0.2">
      <c r="B32" s="346" t="s">
        <v>2033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41230000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3.1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69"/>
      <c r="C54" s="2170"/>
      <c r="D54" s="2170"/>
      <c r="E54" s="2170"/>
      <c r="F54" s="2170"/>
      <c r="G54" s="2170"/>
      <c r="H54" s="2170"/>
      <c r="I54" s="2170"/>
      <c r="J54" s="2170"/>
      <c r="K54" s="2170"/>
      <c r="L54" s="2171"/>
      <c r="M54" s="357"/>
    </row>
    <row r="55" spans="1:13" ht="13.15" customHeight="1" x14ac:dyDescent="0.2">
      <c r="B55" s="2172"/>
      <c r="C55" s="2173"/>
      <c r="D55" s="2173"/>
      <c r="E55" s="2173"/>
      <c r="F55" s="2173"/>
      <c r="G55" s="2173"/>
      <c r="H55" s="2173"/>
      <c r="I55" s="2173"/>
      <c r="J55" s="2173"/>
      <c r="K55" s="2173"/>
      <c r="L55" s="2174"/>
      <c r="M55" s="357"/>
    </row>
    <row r="56" spans="1:13" ht="13.15" customHeight="1" x14ac:dyDescent="0.2">
      <c r="B56" s="2172"/>
      <c r="C56" s="2173"/>
      <c r="D56" s="2173"/>
      <c r="E56" s="2173"/>
      <c r="F56" s="2173"/>
      <c r="G56" s="2173"/>
      <c r="H56" s="2173"/>
      <c r="I56" s="2173"/>
      <c r="J56" s="2173"/>
      <c r="K56" s="2173"/>
      <c r="L56" s="2174"/>
      <c r="M56" s="217"/>
    </row>
    <row r="57" spans="1:13" ht="13.15" customHeight="1" x14ac:dyDescent="0.2">
      <c r="B57" s="2172"/>
      <c r="C57" s="2173"/>
      <c r="D57" s="2173"/>
      <c r="E57" s="2173"/>
      <c r="F57" s="2173"/>
      <c r="G57" s="2173"/>
      <c r="H57" s="2173"/>
      <c r="I57" s="2173"/>
      <c r="J57" s="2173"/>
      <c r="K57" s="2173"/>
      <c r="L57" s="2174"/>
      <c r="M57" s="217"/>
    </row>
    <row r="58" spans="1:13" x14ac:dyDescent="0.2">
      <c r="B58" s="2175"/>
      <c r="C58" s="2176"/>
      <c r="D58" s="2176"/>
      <c r="E58" s="2176"/>
      <c r="F58" s="2176"/>
      <c r="G58" s="2176"/>
      <c r="H58" s="2176"/>
      <c r="I58" s="2176"/>
      <c r="J58" s="2176"/>
      <c r="K58" s="2176"/>
      <c r="L58" s="2177"/>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3.15" customHeight="1" x14ac:dyDescent="0.15">
      <c r="A61" s="242"/>
      <c r="B61" s="358"/>
      <c r="C61" s="2180"/>
      <c r="D61" s="218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7" sqref="B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3"/>
      <c r="B1" s="2184"/>
      <c r="C1" s="2184"/>
      <c r="D1" s="361"/>
      <c r="E1" s="361"/>
      <c r="F1" s="361"/>
      <c r="G1" s="361"/>
      <c r="H1" s="361"/>
      <c r="I1" s="361"/>
      <c r="J1" s="361"/>
      <c r="K1" s="361"/>
      <c r="L1" s="361"/>
      <c r="M1" s="361"/>
      <c r="N1" s="361"/>
      <c r="O1" s="2183"/>
      <c r="P1" s="2184"/>
      <c r="Q1" s="2184"/>
    </row>
    <row r="2" spans="1:18" ht="15" x14ac:dyDescent="0.2">
      <c r="A2" s="2187" t="s">
        <v>552</v>
      </c>
      <c r="B2" s="2187"/>
      <c r="C2" s="2187"/>
      <c r="D2" s="2187"/>
      <c r="E2" s="2187"/>
      <c r="F2" s="2187"/>
      <c r="G2" s="2187"/>
      <c r="H2" s="2187"/>
      <c r="I2" s="2187"/>
      <c r="J2" s="2187"/>
      <c r="K2" s="2187"/>
      <c r="L2" s="2187"/>
      <c r="M2" s="2187"/>
      <c r="N2" s="2187"/>
      <c r="O2" s="2187"/>
      <c r="P2" s="2187"/>
      <c r="Q2" s="2187"/>
      <c r="R2" s="2187"/>
    </row>
    <row r="3" spans="1:18" ht="12.75" x14ac:dyDescent="0.2">
      <c r="A3" s="2188" t="s">
        <v>1399</v>
      </c>
      <c r="B3" s="2188"/>
      <c r="C3" s="2188"/>
      <c r="D3" s="2188"/>
      <c r="E3" s="2188"/>
      <c r="F3" s="2188"/>
      <c r="G3" s="2188"/>
      <c r="H3" s="2188"/>
      <c r="I3" s="2188"/>
      <c r="J3" s="2188"/>
      <c r="K3" s="2188"/>
      <c r="L3" s="2188"/>
      <c r="M3" s="2188"/>
      <c r="N3" s="2188"/>
      <c r="O3" s="2188"/>
      <c r="P3" s="2188"/>
      <c r="Q3" s="2188"/>
      <c r="R3" s="2188"/>
    </row>
    <row r="4" spans="1:18" x14ac:dyDescent="0.2">
      <c r="A4" s="2189" t="s">
        <v>1540</v>
      </c>
      <c r="B4" s="2189"/>
      <c r="C4" s="2189"/>
      <c r="D4" s="2189"/>
      <c r="E4" s="2189"/>
      <c r="F4" s="2189"/>
      <c r="G4" s="2189"/>
      <c r="H4" s="2189"/>
      <c r="I4" s="2189"/>
      <c r="J4" s="2189"/>
      <c r="K4" s="2189"/>
      <c r="L4" s="2189"/>
      <c r="M4" s="2189"/>
      <c r="N4" s="2189"/>
      <c r="O4" s="2189"/>
      <c r="P4" s="2189"/>
      <c r="Q4" s="2189"/>
      <c r="R4" s="218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Dixon USD 170</v>
      </c>
      <c r="E7" s="368"/>
      <c r="G7" s="247"/>
      <c r="H7" s="364"/>
      <c r="I7" s="364"/>
      <c r="J7" s="364"/>
      <c r="K7" s="364"/>
      <c r="L7" s="307"/>
      <c r="M7" s="307"/>
      <c r="N7" s="307"/>
      <c r="O7" s="307"/>
      <c r="P7" s="307"/>
    </row>
    <row r="8" spans="1:18" ht="12.75" x14ac:dyDescent="0.2">
      <c r="A8" s="307"/>
      <c r="B8" s="307"/>
      <c r="C8" s="366" t="s">
        <v>1117</v>
      </c>
      <c r="D8" s="369">
        <f>COVER!A13</f>
        <v>47052170022</v>
      </c>
      <c r="E8" s="370"/>
      <c r="G8" s="307"/>
      <c r="H8" s="307"/>
      <c r="I8" s="307"/>
      <c r="J8" s="307"/>
      <c r="K8" s="307"/>
      <c r="L8" s="307"/>
      <c r="M8" s="307"/>
      <c r="N8" s="307"/>
      <c r="O8" s="307"/>
      <c r="P8" s="307"/>
    </row>
    <row r="9" spans="1:18" ht="12.75" x14ac:dyDescent="0.2">
      <c r="A9" s="307"/>
      <c r="B9" s="307"/>
      <c r="C9" s="366" t="s">
        <v>708</v>
      </c>
      <c r="D9" s="371" t="str">
        <f>COVER!A15</f>
        <v>Lee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3</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3114392</v>
      </c>
      <c r="I12" s="380"/>
      <c r="J12" s="380"/>
      <c r="K12" s="1609">
        <f>TRUNC((H12/H13*100000),5)/100000</f>
        <v>0.1156869001</v>
      </c>
      <c r="L12" s="381"/>
      <c r="M12" s="337" t="s">
        <v>1136</v>
      </c>
      <c r="N12" s="337"/>
      <c r="O12" s="1612">
        <v>0.35</v>
      </c>
      <c r="P12" s="213"/>
      <c r="Q12" s="213"/>
    </row>
    <row r="13" spans="1:18" s="382" customFormat="1" ht="12.75" x14ac:dyDescent="0.2">
      <c r="A13" s="213"/>
      <c r="B13" s="377"/>
      <c r="C13" s="2185" t="s">
        <v>1315</v>
      </c>
      <c r="D13" s="2186"/>
      <c r="E13" s="213"/>
      <c r="F13" s="383" t="s">
        <v>788</v>
      </c>
      <c r="G13" s="378"/>
      <c r="H13" s="1601">
        <f>SUM('Acct Summary 7-8'!C8+'Acct Summary 7-8'!D8+'Acct Summary 7-8'!F8+'Acct Summary 7-8'!I8)+H14</f>
        <v>26920870</v>
      </c>
      <c r="I13" s="380"/>
      <c r="J13" s="380"/>
      <c r="K13" s="1608"/>
      <c r="L13" s="213"/>
      <c r="M13" s="337" t="s">
        <v>1137</v>
      </c>
      <c r="N13" s="337"/>
      <c r="O13" s="1613">
        <f>(O11*O12)</f>
        <v>1.0499999999999998</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6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27481334</v>
      </c>
      <c r="I17" s="380"/>
      <c r="J17" s="389"/>
      <c r="K17" s="1609">
        <f>TRUNC((H17/H18*100000),5)/100000</f>
        <v>1.0208189407999999</v>
      </c>
      <c r="L17" s="381"/>
      <c r="M17" s="390" t="s">
        <v>1163</v>
      </c>
      <c r="O17" s="1615" t="str">
        <f>IF(AND(O16="2", J20 &gt; 2),"1",IF(AND(O16 = "1", J20 &gt; 2),"2",IF(AND(O16="1", J20 &gt;1),"1","0")))</f>
        <v>0</v>
      </c>
      <c r="P17" s="213"/>
    </row>
    <row r="18" spans="1:18" s="382" customFormat="1" ht="11.25" x14ac:dyDescent="0.2">
      <c r="A18" s="213"/>
      <c r="B18" s="377"/>
      <c r="C18" s="2185" t="s">
        <v>1308</v>
      </c>
      <c r="D18" s="2186"/>
      <c r="E18" s="213"/>
      <c r="F18" s="391" t="s">
        <v>789</v>
      </c>
      <c r="G18" s="378"/>
      <c r="H18" s="1601">
        <f>SUM('Acct Summary 7-8'!C8+'Acct Summary 7-8'!D8+'Acct Summary 7-8'!F8+'Acct Summary 7-8'!I8)+H19</f>
        <v>26920870</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0.75349169999999999</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65" customHeight="1" x14ac:dyDescent="0.2">
      <c r="A21" s="211"/>
      <c r="B21" s="373"/>
      <c r="C21" s="213" t="s">
        <v>472</v>
      </c>
      <c r="D21" s="211"/>
      <c r="E21" s="211"/>
      <c r="F21" s="211"/>
      <c r="G21" s="387"/>
      <c r="H21" s="1602"/>
      <c r="I21" s="211"/>
      <c r="J21" s="211"/>
      <c r="K21" s="1602"/>
      <c r="L21" s="211"/>
      <c r="M21" s="388"/>
      <c r="N21" s="388"/>
      <c r="O21" s="1614"/>
      <c r="P21" s="211"/>
      <c r="R21" s="361"/>
    </row>
    <row r="22" spans="1:18" ht="11.6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2</v>
      </c>
      <c r="P23" s="211"/>
      <c r="R23" s="361"/>
    </row>
    <row r="24" spans="1:18" s="382" customFormat="1" ht="11.25" x14ac:dyDescent="0.2">
      <c r="A24" s="213"/>
      <c r="B24" s="377"/>
      <c r="C24" s="2182" t="s">
        <v>1398</v>
      </c>
      <c r="D24" s="2182"/>
      <c r="E24" s="213"/>
      <c r="F24" s="213" t="s">
        <v>442</v>
      </c>
      <c r="G24" s="378"/>
      <c r="H24" s="1601">
        <f>SUM('Assets-Liab 5-6'!C4+'Assets-Liab 5-6'!D4+'Assets-Liab 5-6'!F4+'Assets-Liab 5-6'!I4+'Assets-Liab 5-6'!C5+'Assets-Liab 5-6'!D5+'Assets-Liab 5-6'!F5+'Assets-Liab 5-6'!I5)</f>
        <v>4951440</v>
      </c>
      <c r="I24" s="394"/>
      <c r="J24" s="394"/>
      <c r="K24" s="1605">
        <f>TRUNC(((H24/H25*100000)/100000),2)</f>
        <v>64.86</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76337.038889999996</v>
      </c>
      <c r="I25" s="396"/>
      <c r="J25" s="396"/>
      <c r="K25" s="1608"/>
      <c r="L25" s="213"/>
      <c r="M25" s="337" t="s">
        <v>1137</v>
      </c>
      <c r="N25" s="337"/>
      <c r="O25" s="1613">
        <f>O23*O24</f>
        <v>0.2</v>
      </c>
      <c r="P25" s="213"/>
      <c r="R25" s="385"/>
    </row>
    <row r="26" spans="1:18" ht="12.4"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1893</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11709931.02018</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f>IF(K32&gt;=75,"4",IF(K32&gt;=50,"3",IF(K32&gt;=25,"2",1)))</f>
        <v>1</v>
      </c>
      <c r="P31" s="211"/>
    </row>
    <row r="32" spans="1:18" s="382" customFormat="1" ht="11.25" x14ac:dyDescent="0.2">
      <c r="A32" s="213"/>
      <c r="B32" s="377"/>
      <c r="C32" s="213" t="s">
        <v>842</v>
      </c>
      <c r="D32" s="213"/>
      <c r="E32" s="213"/>
      <c r="F32" s="213"/>
      <c r="G32" s="378"/>
      <c r="H32" s="1601">
        <f>'FP Info 3'!H37</f>
        <v>41230000</v>
      </c>
      <c r="I32" s="392"/>
      <c r="J32" s="392"/>
      <c r="K32" s="1605">
        <f>TRUNC(100-((((H32/H33*100))*100)/100),2)</f>
        <v>20.84</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52086075.126000002</v>
      </c>
      <c r="I33" s="392"/>
      <c r="J33" s="392"/>
      <c r="K33" s="379"/>
      <c r="L33" s="213"/>
      <c r="M33" s="401" t="s">
        <v>1137</v>
      </c>
      <c r="N33" s="401"/>
      <c r="O33" s="1618">
        <f>(O31*O32)</f>
        <v>0.1</v>
      </c>
    </row>
    <row r="34" spans="1:17" ht="12.4"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2.8</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WARNING</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2" activePane="bottomLeft" state="frozen"/>
      <selection activeCell="B7" sqref="B7"/>
      <selection pane="bottomLeft" activeCell="C41" sqref="C41:K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2" t="s">
        <v>967</v>
      </c>
      <c r="B3" s="2193"/>
      <c r="C3" s="1351"/>
      <c r="D3" s="1352"/>
      <c r="E3" s="1352"/>
      <c r="F3" s="1352"/>
      <c r="G3" s="1352"/>
      <c r="H3" s="1352"/>
      <c r="I3" s="1352"/>
      <c r="J3" s="1352"/>
      <c r="K3" s="1352"/>
      <c r="L3" s="1352"/>
      <c r="M3" s="1353"/>
      <c r="N3" s="1354"/>
    </row>
    <row r="4" spans="1:14" ht="13.5" customHeight="1" x14ac:dyDescent="0.2">
      <c r="A4" s="427" t="s">
        <v>1635</v>
      </c>
      <c r="B4" s="428"/>
      <c r="C4" s="1622"/>
      <c r="D4" s="1623">
        <v>286844</v>
      </c>
      <c r="E4" s="1623">
        <f>1337951-E5</f>
        <v>811584</v>
      </c>
      <c r="F4" s="1623"/>
      <c r="G4" s="1623">
        <f>611455-G5</f>
        <v>489597</v>
      </c>
      <c r="H4" s="1623">
        <f>839904-H5</f>
        <v>839159</v>
      </c>
      <c r="I4" s="1623">
        <f>2490632-I5</f>
        <v>1244084</v>
      </c>
      <c r="J4" s="1624">
        <v>561948</v>
      </c>
      <c r="K4" s="1623">
        <v>162218</v>
      </c>
      <c r="L4" s="1623">
        <v>435020</v>
      </c>
      <c r="M4" s="1625"/>
      <c r="N4" s="1626"/>
    </row>
    <row r="5" spans="1:14" x14ac:dyDescent="0.2">
      <c r="A5" s="427" t="s">
        <v>985</v>
      </c>
      <c r="B5" s="429">
        <v>120</v>
      </c>
      <c r="C5" s="1622">
        <v>1852201</v>
      </c>
      <c r="D5" s="1623"/>
      <c r="E5" s="1623">
        <v>526367</v>
      </c>
      <c r="F5" s="1623">
        <v>321763</v>
      </c>
      <c r="G5" s="1623">
        <v>121858</v>
      </c>
      <c r="H5" s="1623">
        <v>745</v>
      </c>
      <c r="I5" s="1623">
        <v>1246548</v>
      </c>
      <c r="J5" s="1624"/>
      <c r="K5" s="1627"/>
      <c r="L5" s="1628"/>
      <c r="M5" s="1625"/>
      <c r="N5" s="1626"/>
    </row>
    <row r="6" spans="1:14" ht="13.5" customHeight="1" x14ac:dyDescent="0.2">
      <c r="A6" s="430" t="s">
        <v>414</v>
      </c>
      <c r="B6" s="429">
        <v>130</v>
      </c>
      <c r="C6" s="1622">
        <v>11175598</v>
      </c>
      <c r="D6" s="1623">
        <v>1837725</v>
      </c>
      <c r="E6" s="1623">
        <v>2280546</v>
      </c>
      <c r="F6" s="1623">
        <v>735090</v>
      </c>
      <c r="G6" s="1627">
        <v>601748</v>
      </c>
      <c r="H6" s="1627"/>
      <c r="I6" s="1623">
        <v>183773</v>
      </c>
      <c r="J6" s="1629">
        <v>1238381</v>
      </c>
      <c r="K6" s="1627">
        <v>183773</v>
      </c>
      <c r="L6" s="1630"/>
      <c r="M6" s="1625"/>
      <c r="N6" s="1626"/>
    </row>
    <row r="7" spans="1:14" ht="13.5" customHeight="1" x14ac:dyDescent="0.2">
      <c r="A7" s="430" t="s">
        <v>415</v>
      </c>
      <c r="B7" s="429">
        <v>140</v>
      </c>
      <c r="C7" s="1631"/>
      <c r="D7" s="1624"/>
      <c r="E7" s="1624"/>
      <c r="F7" s="1624"/>
      <c r="G7" s="1624"/>
      <c r="H7" s="1624"/>
      <c r="I7" s="1624">
        <v>669614</v>
      </c>
      <c r="J7" s="1624"/>
      <c r="K7" s="1624"/>
      <c r="L7" s="1632"/>
      <c r="M7" s="1625"/>
      <c r="N7" s="1626"/>
    </row>
    <row r="8" spans="1:14" ht="13.5" customHeight="1" x14ac:dyDescent="0.2">
      <c r="A8" s="430" t="s">
        <v>267</v>
      </c>
      <c r="B8" s="429">
        <v>150</v>
      </c>
      <c r="C8" s="1631">
        <v>351329</v>
      </c>
      <c r="D8" s="1624"/>
      <c r="E8" s="1624"/>
      <c r="F8" s="1624">
        <v>351146</v>
      </c>
      <c r="G8" s="1633"/>
      <c r="H8" s="1624"/>
      <c r="I8" s="1629"/>
      <c r="J8" s="1629"/>
      <c r="K8" s="1634"/>
      <c r="L8" s="1635"/>
      <c r="M8" s="1625"/>
      <c r="N8" s="1626"/>
    </row>
    <row r="9" spans="1:14" ht="13.5" customHeight="1" x14ac:dyDescent="0.2">
      <c r="A9" s="430" t="s">
        <v>268</v>
      </c>
      <c r="B9" s="429">
        <v>160</v>
      </c>
      <c r="C9" s="1631">
        <v>428397</v>
      </c>
      <c r="D9" s="1624">
        <v>667</v>
      </c>
      <c r="E9" s="1624">
        <v>181393</v>
      </c>
      <c r="F9" s="1624">
        <v>51962</v>
      </c>
      <c r="G9" s="1624">
        <v>1297</v>
      </c>
      <c r="H9" s="1633">
        <v>229963</v>
      </c>
      <c r="I9" s="1624">
        <v>1621</v>
      </c>
      <c r="J9" s="1624">
        <v>359</v>
      </c>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13807525</v>
      </c>
      <c r="D13" s="1637">
        <f t="shared" ref="D13:L13" si="0">SUM(D4:D12)</f>
        <v>2125236</v>
      </c>
      <c r="E13" s="1637">
        <f t="shared" si="0"/>
        <v>3799890</v>
      </c>
      <c r="F13" s="1637">
        <f t="shared" si="0"/>
        <v>1459961</v>
      </c>
      <c r="G13" s="1637">
        <f t="shared" si="0"/>
        <v>1214500</v>
      </c>
      <c r="H13" s="1637">
        <f t="shared" si="0"/>
        <v>1069867</v>
      </c>
      <c r="I13" s="1637">
        <f t="shared" si="0"/>
        <v>3345640</v>
      </c>
      <c r="J13" s="1637">
        <f t="shared" si="0"/>
        <v>1800688</v>
      </c>
      <c r="K13" s="1637">
        <f t="shared" si="0"/>
        <v>345991</v>
      </c>
      <c r="L13" s="1637">
        <f t="shared" si="0"/>
        <v>435020</v>
      </c>
      <c r="M13" s="1625"/>
      <c r="N13" s="1626"/>
    </row>
    <row r="14" spans="1:14" ht="18" customHeight="1" thickTop="1" x14ac:dyDescent="0.2">
      <c r="A14" s="2194" t="s">
        <v>146</v>
      </c>
      <c r="B14" s="2195"/>
      <c r="C14" s="1638"/>
      <c r="D14" s="1639"/>
      <c r="E14" s="1639"/>
      <c r="F14" s="1639"/>
      <c r="G14" s="1639"/>
      <c r="H14" s="1639"/>
      <c r="I14" s="1639"/>
      <c r="J14" s="1639"/>
      <c r="K14" s="1639"/>
      <c r="L14" s="1639"/>
      <c r="M14" s="1640"/>
      <c r="N14" s="1641"/>
    </row>
    <row r="15" spans="1:14" s="433" customFormat="1" ht="13.15" customHeight="1" x14ac:dyDescent="0.2">
      <c r="A15" s="431" t="s">
        <v>1387</v>
      </c>
      <c r="B15" s="432">
        <v>210</v>
      </c>
      <c r="C15" s="1632"/>
      <c r="D15" s="1632"/>
      <c r="E15" s="1632"/>
      <c r="F15" s="1632"/>
      <c r="G15" s="1632"/>
      <c r="H15" s="1632"/>
      <c r="I15" s="1632"/>
      <c r="J15" s="1632"/>
      <c r="K15" s="1632"/>
      <c r="L15" s="1632"/>
      <c r="M15" s="1633"/>
      <c r="N15" s="1642"/>
    </row>
    <row r="16" spans="1:14" s="433" customFormat="1" ht="13.15" customHeight="1" x14ac:dyDescent="0.2">
      <c r="A16" s="431" t="s">
        <v>1388</v>
      </c>
      <c r="B16" s="432">
        <v>220</v>
      </c>
      <c r="C16" s="1632"/>
      <c r="D16" s="1632"/>
      <c r="E16" s="1632"/>
      <c r="F16" s="1632"/>
      <c r="G16" s="1632"/>
      <c r="H16" s="1632"/>
      <c r="I16" s="1632"/>
      <c r="J16" s="1632"/>
      <c r="K16" s="1632"/>
      <c r="L16" s="1632"/>
      <c r="M16" s="1624">
        <v>1191208</v>
      </c>
      <c r="N16" s="1642"/>
    </row>
    <row r="17" spans="1:14" s="433" customFormat="1" ht="13.15" customHeight="1" x14ac:dyDescent="0.2">
      <c r="A17" s="431" t="s">
        <v>1389</v>
      </c>
      <c r="B17" s="432">
        <v>230</v>
      </c>
      <c r="C17" s="1632"/>
      <c r="D17" s="1632"/>
      <c r="E17" s="1632"/>
      <c r="F17" s="1632"/>
      <c r="G17" s="1632"/>
      <c r="H17" s="1632"/>
      <c r="I17" s="1632"/>
      <c r="J17" s="1632"/>
      <c r="K17" s="1632"/>
      <c r="L17" s="1632"/>
      <c r="M17" s="1624">
        <v>35563032</v>
      </c>
      <c r="N17" s="1642"/>
    </row>
    <row r="18" spans="1:14" s="433" customFormat="1" ht="13.15" customHeight="1" x14ac:dyDescent="0.2">
      <c r="A18" s="431" t="s">
        <v>1390</v>
      </c>
      <c r="B18" s="432">
        <v>240</v>
      </c>
      <c r="C18" s="1632"/>
      <c r="D18" s="1632"/>
      <c r="E18" s="1632"/>
      <c r="F18" s="1632"/>
      <c r="G18" s="1632"/>
      <c r="H18" s="1632"/>
      <c r="I18" s="1632"/>
      <c r="J18" s="1632"/>
      <c r="K18" s="1632"/>
      <c r="L18" s="1632"/>
      <c r="M18" s="1624">
        <v>4926399</v>
      </c>
      <c r="N18" s="1642"/>
    </row>
    <row r="19" spans="1:14" s="433" customFormat="1" ht="13.15" customHeight="1" x14ac:dyDescent="0.2">
      <c r="A19" s="431" t="s">
        <v>1391</v>
      </c>
      <c r="B19" s="432">
        <v>250</v>
      </c>
      <c r="C19" s="1632"/>
      <c r="D19" s="1632"/>
      <c r="E19" s="1632"/>
      <c r="F19" s="1632"/>
      <c r="G19" s="1632"/>
      <c r="H19" s="1632"/>
      <c r="I19" s="1632"/>
      <c r="J19" s="1632"/>
      <c r="K19" s="1632"/>
      <c r="L19" s="1632"/>
      <c r="M19" s="1624">
        <v>678097</v>
      </c>
      <c r="N19" s="1642"/>
    </row>
    <row r="20" spans="1:14" s="433" customFormat="1" ht="13.15" customHeight="1" x14ac:dyDescent="0.2">
      <c r="A20" s="431" t="s">
        <v>1392</v>
      </c>
      <c r="B20" s="432">
        <v>260</v>
      </c>
      <c r="C20" s="1632"/>
      <c r="D20" s="1632"/>
      <c r="E20" s="1632"/>
      <c r="F20" s="1632"/>
      <c r="G20" s="1632"/>
      <c r="H20" s="1632"/>
      <c r="I20" s="1632"/>
      <c r="J20" s="1632"/>
      <c r="K20" s="1632"/>
      <c r="L20" s="1632"/>
      <c r="M20" s="1624">
        <v>10105412</v>
      </c>
      <c r="N20" s="1642"/>
    </row>
    <row r="21" spans="1:14" s="433" customFormat="1" ht="13.15" customHeight="1" x14ac:dyDescent="0.2">
      <c r="A21" s="431" t="s">
        <v>1393</v>
      </c>
      <c r="B21" s="432">
        <v>340</v>
      </c>
      <c r="C21" s="1632"/>
      <c r="D21" s="1632"/>
      <c r="E21" s="1632"/>
      <c r="F21" s="1632"/>
      <c r="G21" s="1632"/>
      <c r="H21" s="1632"/>
      <c r="I21" s="1632"/>
      <c r="J21" s="1632"/>
      <c r="K21" s="1632"/>
      <c r="L21" s="1632"/>
      <c r="M21" s="1643"/>
      <c r="N21" s="1624">
        <f>E39</f>
        <v>836650</v>
      </c>
    </row>
    <row r="22" spans="1:14" s="433" customFormat="1" ht="13.15" customHeight="1" x14ac:dyDescent="0.2">
      <c r="A22" s="431" t="s">
        <v>1394</v>
      </c>
      <c r="B22" s="432">
        <v>350</v>
      </c>
      <c r="C22" s="1632"/>
      <c r="D22" s="1632"/>
      <c r="E22" s="1632"/>
      <c r="F22" s="1632"/>
      <c r="G22" s="1632"/>
      <c r="H22" s="1632"/>
      <c r="I22" s="1632"/>
      <c r="J22" s="1632"/>
      <c r="K22" s="1632"/>
      <c r="L22" s="1632"/>
      <c r="M22" s="1643"/>
      <c r="N22" s="1657">
        <f>'Short-Term Long-Term Debt 24'!J49</f>
        <v>40393350</v>
      </c>
    </row>
    <row r="23" spans="1:14" ht="13.5" customHeight="1" thickBot="1" x14ac:dyDescent="0.25">
      <c r="A23" s="1475" t="s">
        <v>638</v>
      </c>
      <c r="B23" s="1478"/>
      <c r="C23" s="1625"/>
      <c r="D23" s="1625"/>
      <c r="E23" s="1625"/>
      <c r="F23" s="1625"/>
      <c r="G23" s="1625"/>
      <c r="H23" s="1625"/>
      <c r="I23" s="1625"/>
      <c r="J23" s="1625"/>
      <c r="K23" s="1625"/>
      <c r="L23" s="1625"/>
      <c r="M23" s="1644">
        <f>SUM(M15:M22)</f>
        <v>52464148</v>
      </c>
      <c r="N23" s="1644">
        <f>SUM(N21:N22)</f>
        <v>41230000</v>
      </c>
    </row>
    <row r="24" spans="1:14" ht="18" customHeight="1" thickTop="1" x14ac:dyDescent="0.2">
      <c r="A24" s="2196" t="s">
        <v>594</v>
      </c>
      <c r="B24" s="2197"/>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v>669614</v>
      </c>
      <c r="G25" s="1633"/>
      <c r="H25" s="1634"/>
      <c r="I25" s="1625"/>
      <c r="J25" s="1633"/>
      <c r="K25" s="1633"/>
      <c r="L25" s="1625"/>
      <c r="M25" s="1625"/>
      <c r="N25" s="1625"/>
    </row>
    <row r="26" spans="1:14" x14ac:dyDescent="0.2">
      <c r="A26" s="430" t="s">
        <v>641</v>
      </c>
      <c r="B26" s="429">
        <v>420</v>
      </c>
      <c r="C26" s="1624">
        <v>150620</v>
      </c>
      <c r="D26" s="1624">
        <v>17174</v>
      </c>
      <c r="E26" s="1624"/>
      <c r="F26" s="1624"/>
      <c r="G26" s="1624"/>
      <c r="H26" s="1624">
        <v>949480</v>
      </c>
      <c r="I26" s="1624"/>
      <c r="J26" s="1629"/>
      <c r="K26" s="1624">
        <v>1321015</v>
      </c>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v>2481762</v>
      </c>
      <c r="D30" s="1629">
        <v>1887177</v>
      </c>
      <c r="E30" s="1624">
        <v>2342741</v>
      </c>
      <c r="F30" s="1624"/>
      <c r="G30" s="1624">
        <v>71901</v>
      </c>
      <c r="H30" s="1624"/>
      <c r="I30" s="1624"/>
      <c r="J30" s="1624">
        <v>45989</v>
      </c>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v>11474034</v>
      </c>
      <c r="D32" s="1649"/>
      <c r="E32" s="1629"/>
      <c r="F32" s="1629">
        <v>754871</v>
      </c>
      <c r="G32" s="1629">
        <v>618239</v>
      </c>
      <c r="H32" s="1629"/>
      <c r="I32" s="1629">
        <v>188718</v>
      </c>
      <c r="J32" s="1629">
        <v>1272334</v>
      </c>
      <c r="K32" s="1634">
        <v>188718</v>
      </c>
      <c r="L32" s="1625"/>
      <c r="M32" s="1625"/>
      <c r="N32" s="1625"/>
    </row>
    <row r="33" spans="1:14" ht="13.5" customHeight="1" x14ac:dyDescent="0.2">
      <c r="A33" s="436" t="s">
        <v>300</v>
      </c>
      <c r="B33" s="435">
        <v>493</v>
      </c>
      <c r="C33" s="1624"/>
      <c r="D33" s="1624"/>
      <c r="E33" s="1624"/>
      <c r="F33" s="1624"/>
      <c r="G33" s="1624"/>
      <c r="H33" s="1624"/>
      <c r="I33" s="1624"/>
      <c r="J33" s="1624"/>
      <c r="K33" s="1624"/>
      <c r="L33" s="1624">
        <v>435020</v>
      </c>
      <c r="M33" s="1625"/>
      <c r="N33" s="1626"/>
    </row>
    <row r="34" spans="1:14" ht="13.5" customHeight="1" thickBot="1" x14ac:dyDescent="0.25">
      <c r="A34" s="1476" t="s">
        <v>649</v>
      </c>
      <c r="B34" s="1477"/>
      <c r="C34" s="1650">
        <f>SUM(C25:C33)</f>
        <v>14106416</v>
      </c>
      <c r="D34" s="1650">
        <f t="shared" ref="D34:K34" si="1">SUM(D25:D33)</f>
        <v>1904351</v>
      </c>
      <c r="E34" s="1650">
        <f t="shared" si="1"/>
        <v>2342741</v>
      </c>
      <c r="F34" s="1650">
        <f t="shared" si="1"/>
        <v>1424485</v>
      </c>
      <c r="G34" s="1650">
        <f t="shared" si="1"/>
        <v>690140</v>
      </c>
      <c r="H34" s="1650">
        <f t="shared" si="1"/>
        <v>949480</v>
      </c>
      <c r="I34" s="1650">
        <f t="shared" si="1"/>
        <v>188718</v>
      </c>
      <c r="J34" s="1650">
        <f t="shared" si="1"/>
        <v>1318323</v>
      </c>
      <c r="K34" s="1650">
        <f t="shared" si="1"/>
        <v>1509733</v>
      </c>
      <c r="L34" s="1651">
        <f>SUM(L33)</f>
        <v>435020</v>
      </c>
      <c r="M34" s="1625"/>
      <c r="N34" s="1635"/>
    </row>
    <row r="35" spans="1:14" ht="18" customHeight="1" thickTop="1" x14ac:dyDescent="0.2">
      <c r="A35" s="2198" t="s">
        <v>526</v>
      </c>
      <c r="B35" s="219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41230000</v>
      </c>
    </row>
    <row r="37" spans="1:14" ht="13.5" thickBot="1" x14ac:dyDescent="0.25">
      <c r="A37" s="1475" t="s">
        <v>648</v>
      </c>
      <c r="B37" s="1478"/>
      <c r="C37" s="1632"/>
      <c r="D37" s="1632"/>
      <c r="E37" s="1632"/>
      <c r="F37" s="1632"/>
      <c r="G37" s="1632"/>
      <c r="H37" s="1632"/>
      <c r="I37" s="1632"/>
      <c r="J37" s="1632"/>
      <c r="K37" s="1632"/>
      <c r="L37" s="1635"/>
      <c r="M37" s="1625"/>
      <c r="N37" s="1644">
        <f>SUM(N36:N36)</f>
        <v>41230000</v>
      </c>
    </row>
    <row r="38" spans="1:14" s="307" customFormat="1" ht="13.5" customHeight="1" thickTop="1" x14ac:dyDescent="0.2">
      <c r="A38" s="438" t="s">
        <v>417</v>
      </c>
      <c r="B38" s="432">
        <v>714</v>
      </c>
      <c r="C38" s="1623"/>
      <c r="D38" s="1623"/>
      <c r="E38" s="1623">
        <v>620499</v>
      </c>
      <c r="F38" s="1623"/>
      <c r="G38" s="1623"/>
      <c r="H38" s="1623">
        <v>603328</v>
      </c>
      <c r="I38" s="1623"/>
      <c r="J38" s="1624"/>
      <c r="K38" s="1623"/>
      <c r="L38" s="1636"/>
      <c r="M38" s="1654"/>
      <c r="N38" s="1654"/>
    </row>
    <row r="39" spans="1:14" s="307" customFormat="1" ht="13.5" customHeight="1" x14ac:dyDescent="0.2">
      <c r="A39" s="438" t="s">
        <v>339</v>
      </c>
      <c r="B39" s="432">
        <v>730</v>
      </c>
      <c r="C39" s="1623">
        <f>'Acct Summary 7-8'!C81</f>
        <v>-298891</v>
      </c>
      <c r="D39" s="1623">
        <f>'Acct Summary 7-8'!D81</f>
        <v>220885</v>
      </c>
      <c r="E39" s="1623">
        <f>'Acct Summary 7-8'!E81-E38</f>
        <v>836650</v>
      </c>
      <c r="F39" s="1623">
        <f>'Acct Summary 7-8'!F81</f>
        <v>35476</v>
      </c>
      <c r="G39" s="1623">
        <f>'Acct Summary 7-8'!G81</f>
        <v>524360</v>
      </c>
      <c r="H39" s="1623">
        <f>'Acct Summary 7-8'!H81-'Assets-Liab 5-6'!H38</f>
        <v>-482941</v>
      </c>
      <c r="I39" s="1623">
        <f>'Acct Summary 7-8'!I81</f>
        <v>3156922</v>
      </c>
      <c r="J39" s="1624">
        <f>'Acct Summary 7-8'!J81</f>
        <v>482365</v>
      </c>
      <c r="K39" s="1623">
        <f>'Acct Summary 7-8'!K81</f>
        <v>-1163742</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52464148</v>
      </c>
      <c r="N40" s="1654"/>
    </row>
    <row r="41" spans="1:14" ht="13.5" customHeight="1" thickBot="1" x14ac:dyDescent="0.25">
      <c r="A41" s="1475" t="s">
        <v>650</v>
      </c>
      <c r="B41" s="1454"/>
      <c r="C41" s="1644">
        <f>(SUM(C34,C37,C38,C39))</f>
        <v>13807525</v>
      </c>
      <c r="D41" s="1644">
        <f t="shared" ref="D41:L41" si="2">SUM(D34,D37,D38:D39)</f>
        <v>2125236</v>
      </c>
      <c r="E41" s="1644">
        <f t="shared" si="2"/>
        <v>3799890</v>
      </c>
      <c r="F41" s="1644">
        <f t="shared" si="2"/>
        <v>1459961</v>
      </c>
      <c r="G41" s="1644">
        <f t="shared" si="2"/>
        <v>1214500</v>
      </c>
      <c r="H41" s="1644">
        <f t="shared" si="2"/>
        <v>1069867</v>
      </c>
      <c r="I41" s="1644">
        <f t="shared" si="2"/>
        <v>3345640</v>
      </c>
      <c r="J41" s="1644">
        <f t="shared" si="2"/>
        <v>1800688</v>
      </c>
      <c r="K41" s="1644">
        <f t="shared" si="2"/>
        <v>345991</v>
      </c>
      <c r="L41" s="1644">
        <f t="shared" si="2"/>
        <v>435020</v>
      </c>
      <c r="M41" s="1644">
        <f>SUM(M40)</f>
        <v>52464148</v>
      </c>
      <c r="N41" s="1644">
        <f>SUM(N37)</f>
        <v>41230000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activeCell="B7" sqref="B7"/>
      <selection pane="bottomLeft" activeCell="C78" sqref="C78:K7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3.15" customHeight="1" x14ac:dyDescent="0.2">
      <c r="A1" s="220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0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20" t="s">
        <v>1167</v>
      </c>
      <c r="B3" s="2221"/>
      <c r="C3" s="1356"/>
      <c r="D3" s="1357"/>
      <c r="E3" s="1357"/>
      <c r="F3" s="1357"/>
      <c r="G3" s="1357"/>
      <c r="H3" s="1357"/>
      <c r="I3" s="1357"/>
      <c r="J3" s="1357"/>
      <c r="K3" s="1358"/>
      <c r="L3" s="446"/>
    </row>
    <row r="4" spans="1:13" ht="15.75" customHeight="1" x14ac:dyDescent="0.2">
      <c r="A4" s="1587" t="s">
        <v>1485</v>
      </c>
      <c r="B4" s="1588">
        <v>1000</v>
      </c>
      <c r="C4" s="1656">
        <f>'Revenues 9-14'!C109</f>
        <v>13550316</v>
      </c>
      <c r="D4" s="1656">
        <f>'Revenues 9-14'!D109</f>
        <v>2140399</v>
      </c>
      <c r="E4" s="1656">
        <f>'Revenues 9-14'!E109</f>
        <v>3123812</v>
      </c>
      <c r="F4" s="1656">
        <f>'Revenues 9-14'!F109</f>
        <v>1087442</v>
      </c>
      <c r="G4" s="1656">
        <f>'Revenues 9-14'!G109</f>
        <v>731931</v>
      </c>
      <c r="H4" s="1656">
        <f>'Revenues 9-14'!H109</f>
        <v>251936</v>
      </c>
      <c r="I4" s="1656">
        <f>'Revenues 9-14'!I109</f>
        <v>216606</v>
      </c>
      <c r="J4" s="1656">
        <f>'Revenues 9-14'!J109</f>
        <v>1247060</v>
      </c>
      <c r="K4" s="1656">
        <f>'Revenues 9-14'!K109</f>
        <v>196352</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6569642</v>
      </c>
      <c r="D6" s="1657">
        <f>'Revenues 9-14'!D170</f>
        <v>0</v>
      </c>
      <c r="E6" s="1657">
        <f>'Revenues 9-14'!E170</f>
        <v>0</v>
      </c>
      <c r="F6" s="1657">
        <f>'Revenues 9-14'!F170</f>
        <v>1411813</v>
      </c>
      <c r="G6" s="1657">
        <f>'Revenues 9-14'!G170</f>
        <v>0</v>
      </c>
      <c r="H6" s="1657">
        <f>'Revenues 9-14'!H170</f>
        <v>0</v>
      </c>
      <c r="I6" s="1657">
        <f>'Revenues 9-14'!I170</f>
        <v>0</v>
      </c>
      <c r="J6" s="1657">
        <f>'Revenues 9-14'!J170</f>
        <v>0</v>
      </c>
      <c r="K6" s="1657">
        <f>'Revenues 9-14'!K170</f>
        <v>50000</v>
      </c>
      <c r="L6" s="325"/>
      <c r="M6" s="448"/>
    </row>
    <row r="7" spans="1:13" ht="15.75" customHeight="1" x14ac:dyDescent="0.2">
      <c r="A7" s="1359" t="s">
        <v>1488</v>
      </c>
      <c r="B7" s="1361">
        <v>4000</v>
      </c>
      <c r="C7" s="1657">
        <f>'Revenues 9-14'!C267</f>
        <v>1944652</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22064610</v>
      </c>
      <c r="D8" s="1644">
        <f t="shared" ref="D8:K8" si="0">SUM(D4:D7)</f>
        <v>2140399</v>
      </c>
      <c r="E8" s="1644">
        <f t="shared" si="0"/>
        <v>3123812</v>
      </c>
      <c r="F8" s="1644">
        <f t="shared" si="0"/>
        <v>2499255</v>
      </c>
      <c r="G8" s="1644">
        <f t="shared" si="0"/>
        <v>731931</v>
      </c>
      <c r="H8" s="1644">
        <f t="shared" si="0"/>
        <v>251936</v>
      </c>
      <c r="I8" s="1644">
        <f t="shared" si="0"/>
        <v>216606</v>
      </c>
      <c r="J8" s="1644">
        <f t="shared" si="0"/>
        <v>1247060</v>
      </c>
      <c r="K8" s="1644">
        <f t="shared" si="0"/>
        <v>246352</v>
      </c>
      <c r="L8" s="325"/>
    </row>
    <row r="9" spans="1:13" ht="15.75" thickTop="1" x14ac:dyDescent="0.2">
      <c r="A9" s="449" t="s">
        <v>1637</v>
      </c>
      <c r="B9" s="450">
        <v>3998</v>
      </c>
      <c r="C9" s="1636">
        <v>10415028</v>
      </c>
      <c r="D9" s="1663"/>
      <c r="E9" s="1636"/>
      <c r="F9" s="1636"/>
      <c r="G9" s="1664"/>
      <c r="H9" s="1636"/>
      <c r="I9" s="1659" t="s">
        <v>1161</v>
      </c>
      <c r="J9" s="1633"/>
      <c r="K9" s="1636"/>
      <c r="L9" s="325"/>
    </row>
    <row r="10" spans="1:13" s="452" customFormat="1" ht="13.5" thickBot="1" x14ac:dyDescent="0.25">
      <c r="A10" s="1475" t="s">
        <v>1165</v>
      </c>
      <c r="B10" s="1456"/>
      <c r="C10" s="1644">
        <f>SUM(C8:C9)</f>
        <v>32479638</v>
      </c>
      <c r="D10" s="1644">
        <f t="shared" ref="D10:K10" si="1">SUM(D8:D9)</f>
        <v>2140399</v>
      </c>
      <c r="E10" s="1644">
        <f t="shared" si="1"/>
        <v>3123812</v>
      </c>
      <c r="F10" s="1644">
        <f t="shared" si="1"/>
        <v>2499255</v>
      </c>
      <c r="G10" s="1644">
        <f t="shared" si="1"/>
        <v>731931</v>
      </c>
      <c r="H10" s="1644">
        <f t="shared" si="1"/>
        <v>251936</v>
      </c>
      <c r="I10" s="1644">
        <f t="shared" si="1"/>
        <v>216606</v>
      </c>
      <c r="J10" s="1644">
        <f t="shared" si="1"/>
        <v>1247060</v>
      </c>
      <c r="K10" s="1644">
        <f t="shared" si="1"/>
        <v>246352</v>
      </c>
      <c r="L10" s="451"/>
    </row>
    <row r="11" spans="1:13" s="452" customFormat="1" ht="16.7" customHeight="1" thickTop="1" x14ac:dyDescent="0.2">
      <c r="A11" s="2194" t="s">
        <v>1168</v>
      </c>
      <c r="B11" s="2195"/>
      <c r="C11" s="1652"/>
      <c r="D11" s="1653"/>
      <c r="E11" s="1653"/>
      <c r="F11" s="1653"/>
      <c r="G11" s="1653"/>
      <c r="H11" s="1653"/>
      <c r="I11" s="1653"/>
      <c r="J11" s="1653"/>
      <c r="K11" s="1665"/>
      <c r="L11" s="451"/>
    </row>
    <row r="12" spans="1:13" ht="15.75" customHeight="1" x14ac:dyDescent="0.2">
      <c r="A12" s="1359" t="s">
        <v>453</v>
      </c>
      <c r="B12" s="1361">
        <v>1000</v>
      </c>
      <c r="C12" s="1656">
        <f>'Expenditures 15-22'!K33</f>
        <v>16205532</v>
      </c>
      <c r="D12" s="1666" t="s">
        <v>1161</v>
      </c>
      <c r="E12" s="1625" t="s">
        <v>1161</v>
      </c>
      <c r="F12" s="1625" t="s">
        <v>1161</v>
      </c>
      <c r="G12" s="1656">
        <f>'Expenditures 15-22'!K229</f>
        <v>344068</v>
      </c>
      <c r="H12" s="1667"/>
      <c r="I12" s="1625" t="s">
        <v>1161</v>
      </c>
      <c r="J12" s="1625" t="s">
        <v>1161</v>
      </c>
      <c r="K12" s="1667" t="s">
        <v>1161</v>
      </c>
      <c r="L12" s="325"/>
    </row>
    <row r="13" spans="1:13" ht="15.75" customHeight="1" x14ac:dyDescent="0.2">
      <c r="A13" s="1359" t="s">
        <v>454</v>
      </c>
      <c r="B13" s="1361">
        <v>2000</v>
      </c>
      <c r="C13" s="1657">
        <f>'Expenditures 15-22'!K74</f>
        <v>4540210</v>
      </c>
      <c r="D13" s="1657">
        <f>'Expenditures 15-22'!K129</f>
        <v>1894547</v>
      </c>
      <c r="E13" s="1626" t="s">
        <v>1161</v>
      </c>
      <c r="F13" s="1657">
        <f>'Expenditures 15-22'!K184</f>
        <v>2284702</v>
      </c>
      <c r="G13" s="1657">
        <f>'Expenditures 15-22'!K279</f>
        <v>376053</v>
      </c>
      <c r="H13" s="1657">
        <f>'Expenditures 15-22'!K303</f>
        <v>5571265</v>
      </c>
      <c r="I13" s="1625" t="s">
        <v>1161</v>
      </c>
      <c r="J13" s="1657">
        <f>'Expenditures 15-22'!K330</f>
        <v>987837</v>
      </c>
      <c r="K13" s="1668">
        <f>'Expenditures 15-22'!K352</f>
        <v>3737970</v>
      </c>
      <c r="L13" s="325"/>
    </row>
    <row r="14" spans="1:13" ht="15.75" customHeight="1" x14ac:dyDescent="0.2">
      <c r="A14" s="1359" t="s">
        <v>446</v>
      </c>
      <c r="B14" s="1361">
        <v>3000</v>
      </c>
      <c r="C14" s="1657">
        <f>'Expenditures 15-22'!K75</f>
        <v>56875</v>
      </c>
      <c r="D14" s="1657">
        <f>'Expenditures 15-22'!K130</f>
        <v>0</v>
      </c>
      <c r="E14" s="1666" t="s">
        <v>1161</v>
      </c>
      <c r="F14" s="1657">
        <f>'Expenditures 15-22'!K185</f>
        <v>0</v>
      </c>
      <c r="G14" s="1657">
        <f>'Expenditures 15-22'!K280</f>
        <v>4781</v>
      </c>
      <c r="H14" s="1662"/>
      <c r="I14" s="1625" t="s">
        <v>1161</v>
      </c>
      <c r="J14" s="1625" t="s">
        <v>1161</v>
      </c>
      <c r="K14" s="1662" t="s">
        <v>1161</v>
      </c>
      <c r="L14" s="325"/>
    </row>
    <row r="15" spans="1:13" ht="15.75" customHeight="1" x14ac:dyDescent="0.2">
      <c r="A15" s="1359" t="s">
        <v>107</v>
      </c>
      <c r="B15" s="1361">
        <v>4000</v>
      </c>
      <c r="C15" s="1657">
        <f>'Expenditures 15-22'!K102</f>
        <v>2476052</v>
      </c>
      <c r="D15" s="1657">
        <f>'Expenditures 15-22'!K139</f>
        <v>23416</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3173035</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23278669</v>
      </c>
      <c r="D17" s="1644">
        <f t="shared" si="2"/>
        <v>1917963</v>
      </c>
      <c r="E17" s="1644">
        <f t="shared" si="2"/>
        <v>3173035</v>
      </c>
      <c r="F17" s="1644">
        <f t="shared" si="2"/>
        <v>2284702</v>
      </c>
      <c r="G17" s="1644">
        <f t="shared" si="2"/>
        <v>724902</v>
      </c>
      <c r="H17" s="1644">
        <f t="shared" si="2"/>
        <v>5571265</v>
      </c>
      <c r="I17" s="1625"/>
      <c r="J17" s="1644">
        <f>SUM(J12:J16)</f>
        <v>987837</v>
      </c>
      <c r="K17" s="1644">
        <f>SUM(K12:K16)</f>
        <v>3737970</v>
      </c>
      <c r="L17" s="325"/>
    </row>
    <row r="18" spans="1:12" ht="15" customHeight="1" thickTop="1" x14ac:dyDescent="0.2">
      <c r="A18" s="1479" t="s">
        <v>1638</v>
      </c>
      <c r="B18" s="1480">
        <v>4180</v>
      </c>
      <c r="C18" s="1656">
        <f t="shared" ref="C18:H18" si="3">C9</f>
        <v>10415028</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33693697</v>
      </c>
      <c r="D19" s="1644">
        <f t="shared" si="4"/>
        <v>1917963</v>
      </c>
      <c r="E19" s="1644">
        <f t="shared" si="4"/>
        <v>3173035</v>
      </c>
      <c r="F19" s="1644">
        <f t="shared" si="4"/>
        <v>2284702</v>
      </c>
      <c r="G19" s="1644">
        <f t="shared" si="4"/>
        <v>724902</v>
      </c>
      <c r="H19" s="1644">
        <f t="shared" si="4"/>
        <v>5571265</v>
      </c>
      <c r="I19" s="1625"/>
      <c r="J19" s="1644">
        <f>SUM(J17:J18)</f>
        <v>987837</v>
      </c>
      <c r="K19" s="1644">
        <f>SUM(K17:K18)</f>
        <v>3737970</v>
      </c>
      <c r="L19" s="325"/>
    </row>
    <row r="20" spans="1:12" ht="16.5" thickTop="1" thickBot="1" x14ac:dyDescent="0.25">
      <c r="A20" s="2210" t="s">
        <v>1639</v>
      </c>
      <c r="B20" s="2211"/>
      <c r="C20" s="1672">
        <f>C8-C17</f>
        <v>-1214059</v>
      </c>
      <c r="D20" s="1672">
        <f t="shared" ref="D20:K20" si="5">D8-D17</f>
        <v>222436</v>
      </c>
      <c r="E20" s="1672">
        <f t="shared" si="5"/>
        <v>-49223</v>
      </c>
      <c r="F20" s="1672">
        <f t="shared" si="5"/>
        <v>214553</v>
      </c>
      <c r="G20" s="1672">
        <f t="shared" si="5"/>
        <v>7029</v>
      </c>
      <c r="H20" s="1672">
        <f t="shared" si="5"/>
        <v>-5319329</v>
      </c>
      <c r="I20" s="1672">
        <f t="shared" si="5"/>
        <v>216606</v>
      </c>
      <c r="J20" s="1672">
        <f t="shared" si="5"/>
        <v>259223</v>
      </c>
      <c r="K20" s="1672">
        <f t="shared" si="5"/>
        <v>-3491618</v>
      </c>
      <c r="L20" s="325"/>
    </row>
    <row r="21" spans="1:12" ht="16.7" customHeight="1" thickTop="1" x14ac:dyDescent="0.2">
      <c r="A21" s="2222" t="s">
        <v>591</v>
      </c>
      <c r="B21" s="2223"/>
      <c r="C21" s="1652"/>
      <c r="D21" s="1653"/>
      <c r="E21" s="1653"/>
      <c r="F21" s="1653"/>
      <c r="G21" s="1653"/>
      <c r="H21" s="1653"/>
      <c r="I21" s="1653"/>
      <c r="J21" s="1653"/>
      <c r="K21" s="1665"/>
      <c r="L21" s="453"/>
    </row>
    <row r="22" spans="1:12" ht="15.75" customHeight="1" collapsed="1" x14ac:dyDescent="0.2">
      <c r="A22" s="2218" t="s">
        <v>592</v>
      </c>
      <c r="B22" s="2219"/>
      <c r="C22" s="1632"/>
      <c r="D22" s="1632"/>
      <c r="E22" s="1632"/>
      <c r="F22" s="1632"/>
      <c r="G22" s="1632"/>
      <c r="H22" s="1632"/>
      <c r="I22" s="1632"/>
      <c r="J22" s="1632"/>
      <c r="K22" s="1632"/>
      <c r="L22" s="325"/>
    </row>
    <row r="23" spans="1:12" s="433" customFormat="1" ht="15.75" customHeight="1" x14ac:dyDescent="0.2">
      <c r="A23" s="2214" t="s">
        <v>290</v>
      </c>
      <c r="B23" s="2215"/>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v>311234</v>
      </c>
      <c r="D25" s="1624"/>
      <c r="E25" s="1624"/>
      <c r="F25" s="1624"/>
      <c r="G25" s="1624"/>
      <c r="H25" s="1624"/>
      <c r="I25" s="1632"/>
      <c r="J25" s="1624"/>
      <c r="K25" s="1624"/>
      <c r="L25" s="453"/>
    </row>
    <row r="26" spans="1:12" s="433" customFormat="1" ht="13.5" customHeight="1" x14ac:dyDescent="0.2">
      <c r="A26" s="1305" t="s">
        <v>183</v>
      </c>
      <c r="B26" s="432">
        <v>7120</v>
      </c>
      <c r="C26" s="1624">
        <v>32371</v>
      </c>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1771</v>
      </c>
      <c r="B30" s="455">
        <v>7160</v>
      </c>
      <c r="C30" s="1632"/>
      <c r="D30" s="1624"/>
      <c r="E30" s="1632"/>
      <c r="F30" s="1632"/>
      <c r="G30" s="1632"/>
      <c r="H30" s="1632"/>
      <c r="I30" s="1632"/>
      <c r="J30" s="1632"/>
      <c r="K30" s="1632"/>
      <c r="L30" s="453"/>
    </row>
    <row r="31" spans="1:12" s="433" customFormat="1" ht="26.25" x14ac:dyDescent="0.2">
      <c r="A31" s="1305" t="s">
        <v>1775</v>
      </c>
      <c r="B31" s="455">
        <v>7170</v>
      </c>
      <c r="C31" s="1632"/>
      <c r="D31" s="1632"/>
      <c r="E31" s="1629"/>
      <c r="F31" s="1632"/>
      <c r="G31" s="1632"/>
      <c r="H31" s="1632"/>
      <c r="I31" s="1632"/>
      <c r="J31" s="1632"/>
      <c r="K31" s="1632"/>
      <c r="L31" s="453"/>
    </row>
    <row r="32" spans="1:12" s="433" customFormat="1" ht="15.75" customHeight="1" x14ac:dyDescent="0.2">
      <c r="A32" s="2216" t="s">
        <v>974</v>
      </c>
      <c r="B32" s="2217"/>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224" t="s">
        <v>371</v>
      </c>
      <c r="B44" s="2225"/>
      <c r="C44" s="1674">
        <f>SUM(C24:C43)</f>
        <v>343605</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218" t="s">
        <v>108</v>
      </c>
      <c r="B45" s="2219"/>
      <c r="C45" s="1675"/>
      <c r="D45" s="1675"/>
      <c r="E45" s="1675"/>
      <c r="F45" s="1675"/>
      <c r="G45" s="1675"/>
      <c r="H45" s="1675"/>
      <c r="I45" s="1675"/>
      <c r="J45" s="1675"/>
      <c r="K45" s="1675"/>
      <c r="L45" s="325"/>
    </row>
    <row r="46" spans="1:12" s="433" customFormat="1" ht="15.75" customHeight="1" x14ac:dyDescent="0.2">
      <c r="A46" s="2226" t="s">
        <v>109</v>
      </c>
      <c r="B46" s="222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311234</v>
      </c>
      <c r="J47" s="1632"/>
      <c r="K47" s="1632"/>
      <c r="L47" s="456"/>
    </row>
    <row r="48" spans="1:12" s="433" customFormat="1" ht="15" x14ac:dyDescent="0.2">
      <c r="A48" s="1306" t="s">
        <v>1644</v>
      </c>
      <c r="B48" s="432">
        <v>8120</v>
      </c>
      <c r="C48" s="1635"/>
      <c r="D48" s="1635"/>
      <c r="E48" s="1632"/>
      <c r="F48" s="1635"/>
      <c r="G48" s="1632"/>
      <c r="H48" s="1632"/>
      <c r="I48" s="1657">
        <f>SUM(C26:H26,J26,K26)</f>
        <v>32371</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1774</v>
      </c>
      <c r="B52" s="432">
        <v>8160</v>
      </c>
      <c r="C52" s="1632"/>
      <c r="D52" s="1632"/>
      <c r="E52" s="1632"/>
      <c r="F52" s="1632"/>
      <c r="G52" s="1632"/>
      <c r="H52" s="1632"/>
      <c r="I52" s="1632"/>
      <c r="J52" s="1632"/>
      <c r="K52" s="1657">
        <f>D30</f>
        <v>0</v>
      </c>
      <c r="L52" s="453"/>
    </row>
    <row r="53" spans="1:12" s="433" customFormat="1" ht="26.25" x14ac:dyDescent="0.2">
      <c r="A53" s="1306" t="s">
        <v>1773</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00" t="s">
        <v>437</v>
      </c>
      <c r="B76" s="2201"/>
      <c r="C76" s="1674">
        <f t="shared" ref="C76:K76" si="7">SUM(C47:C75)</f>
        <v>0</v>
      </c>
      <c r="D76" s="1674">
        <f t="shared" si="7"/>
        <v>0</v>
      </c>
      <c r="E76" s="1674">
        <f t="shared" si="7"/>
        <v>0</v>
      </c>
      <c r="F76" s="1674">
        <f t="shared" si="7"/>
        <v>0</v>
      </c>
      <c r="G76" s="1674">
        <f t="shared" si="7"/>
        <v>0</v>
      </c>
      <c r="H76" s="1674">
        <f t="shared" si="7"/>
        <v>0</v>
      </c>
      <c r="I76" s="1674">
        <f t="shared" si="7"/>
        <v>343605</v>
      </c>
      <c r="J76" s="1674">
        <f t="shared" si="7"/>
        <v>0</v>
      </c>
      <c r="K76" s="1674">
        <f t="shared" si="7"/>
        <v>0</v>
      </c>
      <c r="L76" s="453"/>
    </row>
    <row r="77" spans="1:12" ht="14.25" thickTop="1" thickBot="1" x14ac:dyDescent="0.25">
      <c r="A77" s="2202" t="s">
        <v>1169</v>
      </c>
      <c r="B77" s="2203"/>
      <c r="C77" s="1674">
        <f t="shared" ref="C77:K77" si="8">C44-C76</f>
        <v>343605</v>
      </c>
      <c r="D77" s="1674">
        <f t="shared" si="8"/>
        <v>0</v>
      </c>
      <c r="E77" s="1674">
        <f t="shared" si="8"/>
        <v>0</v>
      </c>
      <c r="F77" s="1674">
        <f t="shared" si="8"/>
        <v>0</v>
      </c>
      <c r="G77" s="1674">
        <f t="shared" si="8"/>
        <v>0</v>
      </c>
      <c r="H77" s="1674">
        <f t="shared" si="8"/>
        <v>0</v>
      </c>
      <c r="I77" s="1674">
        <f t="shared" si="8"/>
        <v>-343605</v>
      </c>
      <c r="J77" s="1674">
        <f t="shared" si="8"/>
        <v>0</v>
      </c>
      <c r="K77" s="1674">
        <f t="shared" si="8"/>
        <v>0</v>
      </c>
      <c r="L77" s="325"/>
    </row>
    <row r="78" spans="1:12" ht="21.75" customHeight="1" thickTop="1" thickBot="1" x14ac:dyDescent="0.25">
      <c r="A78" s="2206" t="s">
        <v>593</v>
      </c>
      <c r="B78" s="2207"/>
      <c r="C78" s="1679">
        <f t="shared" ref="C78:K78" si="9">C20+C77</f>
        <v>-870454</v>
      </c>
      <c r="D78" s="1679">
        <f t="shared" si="9"/>
        <v>222436</v>
      </c>
      <c r="E78" s="1679">
        <f t="shared" si="9"/>
        <v>-49223</v>
      </c>
      <c r="F78" s="1679">
        <f t="shared" si="9"/>
        <v>214553</v>
      </c>
      <c r="G78" s="1679">
        <f t="shared" si="9"/>
        <v>7029</v>
      </c>
      <c r="H78" s="1679">
        <f t="shared" si="9"/>
        <v>-5319329</v>
      </c>
      <c r="I78" s="1679">
        <f t="shared" si="9"/>
        <v>-126999</v>
      </c>
      <c r="J78" s="1679">
        <f t="shared" si="9"/>
        <v>259223</v>
      </c>
      <c r="K78" s="1679">
        <f t="shared" si="9"/>
        <v>-3491618</v>
      </c>
      <c r="L78" s="457"/>
    </row>
    <row r="79" spans="1:12" ht="13.5" thickTop="1" x14ac:dyDescent="0.2">
      <c r="A79" s="1902" t="str">
        <f>"Fund Balances - July 1, "&amp;'AFR20'!E2-1</f>
        <v>Fund Balances - July 1, 2019</v>
      </c>
      <c r="B79" s="458"/>
      <c r="C79" s="1633">
        <v>571563</v>
      </c>
      <c r="D79" s="1680">
        <v>-1551</v>
      </c>
      <c r="E79" s="1680">
        <v>1506372</v>
      </c>
      <c r="F79" s="1680">
        <v>-179077</v>
      </c>
      <c r="G79" s="1680">
        <v>517331</v>
      </c>
      <c r="H79" s="1680">
        <v>5439716</v>
      </c>
      <c r="I79" s="1680">
        <v>3283921</v>
      </c>
      <c r="J79" s="1680">
        <v>223142</v>
      </c>
      <c r="K79" s="1680">
        <v>2327876</v>
      </c>
      <c r="L79" s="325"/>
    </row>
    <row r="80" spans="1:12" x14ac:dyDescent="0.2">
      <c r="A80" s="2212" t="s">
        <v>1772</v>
      </c>
      <c r="B80" s="2213"/>
      <c r="C80" s="1624"/>
      <c r="D80" s="1624"/>
      <c r="E80" s="1624"/>
      <c r="F80" s="1624"/>
      <c r="G80" s="1624"/>
      <c r="H80" s="1624"/>
      <c r="I80" s="1624"/>
      <c r="J80" s="1624"/>
      <c r="K80" s="1624"/>
      <c r="L80" s="325"/>
    </row>
    <row r="81" spans="1:12" ht="13.5" thickBot="1" x14ac:dyDescent="0.25">
      <c r="A81" s="2204" t="str">
        <f>"Fund Balances - June 30, "&amp;'AFR20'!E2</f>
        <v>Fund Balances - June 30, 2020</v>
      </c>
      <c r="B81" s="2205"/>
      <c r="C81" s="1644">
        <f>(SUM(C78:C80))</f>
        <v>-298891</v>
      </c>
      <c r="D81" s="1644">
        <f>SUM(D78:D80)</f>
        <v>220885</v>
      </c>
      <c r="E81" s="1644">
        <f t="shared" ref="E81:K81" si="10">SUM(E78:E80)</f>
        <v>1457149</v>
      </c>
      <c r="F81" s="1644">
        <f t="shared" si="10"/>
        <v>35476</v>
      </c>
      <c r="G81" s="1644">
        <f t="shared" si="10"/>
        <v>524360</v>
      </c>
      <c r="H81" s="1644">
        <f t="shared" si="10"/>
        <v>120387</v>
      </c>
      <c r="I81" s="1644">
        <f t="shared" si="10"/>
        <v>3156922</v>
      </c>
      <c r="J81" s="1644">
        <f t="shared" si="10"/>
        <v>482365</v>
      </c>
      <c r="K81" s="1644">
        <f t="shared" si="10"/>
        <v>-1163742</v>
      </c>
      <c r="L81" s="325"/>
    </row>
    <row r="82" spans="1:12" ht="0.75" customHeight="1" thickTop="1" thickBot="1" x14ac:dyDescent="0.25">
      <c r="A82" s="459" t="s">
        <v>340</v>
      </c>
      <c r="B82" s="460"/>
      <c r="C82" s="461">
        <f>(C81-C79)</f>
        <v>-870454</v>
      </c>
      <c r="D82" s="461">
        <f t="shared" ref="D82:K82" si="11">(D81-D79)</f>
        <v>222436</v>
      </c>
      <c r="E82" s="461">
        <f t="shared" si="11"/>
        <v>-49223</v>
      </c>
      <c r="F82" s="461">
        <f t="shared" si="11"/>
        <v>214553</v>
      </c>
      <c r="G82" s="461">
        <f t="shared" si="11"/>
        <v>7029</v>
      </c>
      <c r="H82" s="461">
        <f t="shared" si="11"/>
        <v>-5319329</v>
      </c>
      <c r="I82" s="461">
        <f t="shared" si="11"/>
        <v>-126999</v>
      </c>
      <c r="J82" s="461">
        <f t="shared" si="11"/>
        <v>259223</v>
      </c>
      <c r="K82" s="461">
        <f t="shared" si="11"/>
        <v>-3491618</v>
      </c>
    </row>
    <row r="83" spans="1:12" ht="14.25" hidden="1" thickTop="1" thickBot="1" x14ac:dyDescent="0.25">
      <c r="A83" s="462" t="s">
        <v>341</v>
      </c>
      <c r="B83" s="428"/>
      <c r="C83" s="463">
        <f>C82/C81</f>
        <v>2.9122790582520048</v>
      </c>
      <c r="D83" s="463">
        <f t="shared" ref="D83:K83" si="12">D82/D81</f>
        <v>1.007021753401091</v>
      </c>
      <c r="E83" s="463">
        <f t="shared" si="12"/>
        <v>-3.378034778872991E-2</v>
      </c>
      <c r="F83" s="463">
        <f t="shared" si="12"/>
        <v>6.0478351561619119</v>
      </c>
      <c r="G83" s="463">
        <f t="shared" si="12"/>
        <v>1.340491265542757E-2</v>
      </c>
      <c r="H83" s="463">
        <f t="shared" si="12"/>
        <v>-44.185244253947687</v>
      </c>
      <c r="I83" s="463">
        <f t="shared" si="12"/>
        <v>-4.0228741793430438E-2</v>
      </c>
      <c r="J83" s="463">
        <f t="shared" si="12"/>
        <v>0.53740010158282625</v>
      </c>
      <c r="K83" s="463">
        <f t="shared" si="12"/>
        <v>3.0003368444208425</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8" activePane="bottomLeft" state="frozen"/>
      <selection activeCell="B7" sqref="B7"/>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08" t="s">
        <v>1779</v>
      </c>
      <c r="B1" s="416"/>
      <c r="C1" s="417" t="s">
        <v>422</v>
      </c>
      <c r="D1" s="417" t="s">
        <v>423</v>
      </c>
      <c r="E1" s="417" t="s">
        <v>424</v>
      </c>
      <c r="F1" s="417" t="s">
        <v>425</v>
      </c>
      <c r="G1" s="417" t="s">
        <v>426</v>
      </c>
      <c r="H1" s="417" t="s">
        <v>427</v>
      </c>
      <c r="I1" s="417" t="s">
        <v>428</v>
      </c>
      <c r="J1" s="417" t="s">
        <v>429</v>
      </c>
      <c r="K1" s="417" t="s">
        <v>751</v>
      </c>
    </row>
    <row r="2" spans="1:12" ht="36" x14ac:dyDescent="0.2">
      <c r="A2" s="220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10874323</v>
      </c>
      <c r="D5" s="1636">
        <v>1844122</v>
      </c>
      <c r="E5" s="1623">
        <v>2010270</v>
      </c>
      <c r="F5" s="1681">
        <v>737659</v>
      </c>
      <c r="G5" s="1623">
        <v>284928</v>
      </c>
      <c r="H5" s="1623"/>
      <c r="I5" s="1623">
        <v>184417</v>
      </c>
      <c r="J5" s="1624">
        <v>1238073</v>
      </c>
      <c r="K5" s="1623">
        <v>184417</v>
      </c>
    </row>
    <row r="6" spans="1:12" ht="15" x14ac:dyDescent="0.2">
      <c r="A6" s="427" t="s">
        <v>1646</v>
      </c>
      <c r="B6" s="429">
        <v>1130</v>
      </c>
      <c r="C6" s="1623">
        <v>184316</v>
      </c>
      <c r="D6" s="1623"/>
      <c r="E6" s="1630"/>
      <c r="F6" s="1630"/>
      <c r="G6" s="1625"/>
      <c r="H6" s="1625"/>
      <c r="I6" s="1625"/>
      <c r="J6" s="1625"/>
      <c r="K6" s="1625"/>
    </row>
    <row r="7" spans="1:12" x14ac:dyDescent="0.2">
      <c r="A7" s="427" t="s">
        <v>110</v>
      </c>
      <c r="B7" s="471">
        <v>1140</v>
      </c>
      <c r="C7" s="1623">
        <v>147444</v>
      </c>
      <c r="D7" s="1623"/>
      <c r="E7" s="1625"/>
      <c r="F7" s="1624"/>
      <c r="G7" s="1624"/>
      <c r="H7" s="1624"/>
      <c r="I7" s="1625"/>
      <c r="J7" s="1625"/>
      <c r="K7" s="1625"/>
    </row>
    <row r="8" spans="1:12" x14ac:dyDescent="0.2">
      <c r="A8" s="427" t="s">
        <v>410</v>
      </c>
      <c r="B8" s="429">
        <v>1150</v>
      </c>
      <c r="C8" s="1630"/>
      <c r="D8" s="1630"/>
      <c r="E8" s="1632"/>
      <c r="F8" s="1632"/>
      <c r="G8" s="1636">
        <v>334479</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3.15" customHeight="1" thickBot="1" x14ac:dyDescent="0.25">
      <c r="A12" s="1453" t="s">
        <v>29</v>
      </c>
      <c r="B12" s="1454"/>
      <c r="C12" s="1683">
        <f t="shared" ref="C12:K12" si="0">SUM(C5:C11)</f>
        <v>11206083</v>
      </c>
      <c r="D12" s="1683">
        <f t="shared" si="0"/>
        <v>1844122</v>
      </c>
      <c r="E12" s="1683">
        <f t="shared" si="0"/>
        <v>2010270</v>
      </c>
      <c r="F12" s="1683">
        <f t="shared" si="0"/>
        <v>737659</v>
      </c>
      <c r="G12" s="1683">
        <f t="shared" si="0"/>
        <v>619407</v>
      </c>
      <c r="H12" s="1683">
        <f t="shared" si="0"/>
        <v>0</v>
      </c>
      <c r="I12" s="1683">
        <f t="shared" si="0"/>
        <v>184417</v>
      </c>
      <c r="J12" s="1683">
        <f t="shared" si="0"/>
        <v>1238073</v>
      </c>
      <c r="K12" s="1644">
        <f t="shared" si="0"/>
        <v>184417</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3.1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1657304</v>
      </c>
      <c r="D16" s="1623"/>
      <c r="E16" s="1623"/>
      <c r="F16" s="1623">
        <v>340000</v>
      </c>
      <c r="G16" s="1623">
        <v>101500</v>
      </c>
      <c r="H16" s="1623"/>
      <c r="I16" s="1623"/>
      <c r="J16" s="1624"/>
      <c r="K16" s="1623"/>
    </row>
    <row r="17" spans="1:11" ht="13.15" customHeight="1" x14ac:dyDescent="0.2">
      <c r="A17" s="427" t="s">
        <v>802</v>
      </c>
      <c r="B17" s="429">
        <v>1290</v>
      </c>
      <c r="C17" s="1682"/>
      <c r="D17" s="1623"/>
      <c r="E17" s="1623"/>
      <c r="F17" s="1623"/>
      <c r="G17" s="1623"/>
      <c r="H17" s="1623"/>
      <c r="I17" s="1623"/>
      <c r="J17" s="1624"/>
      <c r="K17" s="1623"/>
    </row>
    <row r="18" spans="1:11" ht="13.15" customHeight="1" thickBot="1" x14ac:dyDescent="0.25">
      <c r="A18" s="1455" t="s">
        <v>534</v>
      </c>
      <c r="B18" s="1456"/>
      <c r="C18" s="1685">
        <f>SUM(C14:C17)</f>
        <v>1657304</v>
      </c>
      <c r="D18" s="1685">
        <f t="shared" ref="D18:K18" si="1">SUM(D14:D17)</f>
        <v>0</v>
      </c>
      <c r="E18" s="1685">
        <f t="shared" si="1"/>
        <v>0</v>
      </c>
      <c r="F18" s="1685">
        <f t="shared" si="1"/>
        <v>340000</v>
      </c>
      <c r="G18" s="1685">
        <f t="shared" si="1"/>
        <v>101500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3.15" customHeight="1" x14ac:dyDescent="0.2">
      <c r="A21" s="427" t="s">
        <v>827</v>
      </c>
      <c r="B21" s="429">
        <v>1312</v>
      </c>
      <c r="C21" s="1682"/>
      <c r="D21" s="1625"/>
      <c r="E21" s="1625"/>
      <c r="F21" s="1625"/>
      <c r="G21" s="1625"/>
      <c r="H21" s="1625"/>
      <c r="I21" s="1625"/>
      <c r="J21" s="1625"/>
      <c r="K21" s="1625"/>
    </row>
    <row r="22" spans="1:11" ht="13.15" customHeight="1" x14ac:dyDescent="0.2">
      <c r="A22" s="427" t="s">
        <v>1067</v>
      </c>
      <c r="B22" s="429">
        <v>1313</v>
      </c>
      <c r="C22" s="1682"/>
      <c r="D22" s="1625"/>
      <c r="E22" s="1625"/>
      <c r="F22" s="1625"/>
      <c r="G22" s="1625"/>
      <c r="H22" s="1625"/>
      <c r="I22" s="1625"/>
      <c r="J22" s="1625"/>
      <c r="K22" s="1625"/>
    </row>
    <row r="23" spans="1:11" ht="13.15" customHeight="1" x14ac:dyDescent="0.2">
      <c r="A23" s="427" t="s">
        <v>1068</v>
      </c>
      <c r="B23" s="429">
        <v>1314</v>
      </c>
      <c r="C23" s="1648"/>
      <c r="D23" s="1625"/>
      <c r="E23" s="1625"/>
      <c r="F23" s="1625"/>
      <c r="G23" s="1625"/>
      <c r="H23" s="1625"/>
      <c r="I23" s="1625"/>
      <c r="J23" s="1625"/>
      <c r="K23" s="1625"/>
    </row>
    <row r="24" spans="1:11" ht="13.15" customHeight="1" x14ac:dyDescent="0.2">
      <c r="A24" s="427" t="s">
        <v>1020</v>
      </c>
      <c r="B24" s="429">
        <v>1321</v>
      </c>
      <c r="C24" s="1682"/>
      <c r="D24" s="1625"/>
      <c r="E24" s="1625"/>
      <c r="F24" s="1625"/>
      <c r="G24" s="1625"/>
      <c r="H24" s="1625"/>
      <c r="I24" s="1625"/>
      <c r="J24" s="1625"/>
      <c r="K24" s="1625"/>
    </row>
    <row r="25" spans="1:11" ht="13.15" customHeight="1" x14ac:dyDescent="0.2">
      <c r="A25" s="427" t="s">
        <v>828</v>
      </c>
      <c r="B25" s="429">
        <v>1322</v>
      </c>
      <c r="C25" s="1682"/>
      <c r="D25" s="1625"/>
      <c r="E25" s="1625"/>
      <c r="F25" s="1625"/>
      <c r="G25" s="1625"/>
      <c r="H25" s="1625"/>
      <c r="I25" s="1625"/>
      <c r="J25" s="1625"/>
      <c r="K25" s="1625"/>
    </row>
    <row r="26" spans="1:11" ht="13.15" customHeight="1" x14ac:dyDescent="0.2">
      <c r="A26" s="427" t="s">
        <v>1094</v>
      </c>
      <c r="B26" s="429">
        <v>1323</v>
      </c>
      <c r="C26" s="1682"/>
      <c r="D26" s="1625"/>
      <c r="E26" s="1625"/>
      <c r="F26" s="1625"/>
      <c r="G26" s="1625"/>
      <c r="H26" s="1625"/>
      <c r="I26" s="1625"/>
      <c r="J26" s="1625"/>
      <c r="K26" s="1625"/>
    </row>
    <row r="27" spans="1:11" ht="13.15" customHeight="1" x14ac:dyDescent="0.2">
      <c r="A27" s="427" t="s">
        <v>1016</v>
      </c>
      <c r="B27" s="429">
        <v>1324</v>
      </c>
      <c r="C27" s="1648"/>
      <c r="D27" s="1625"/>
      <c r="E27" s="1625"/>
      <c r="F27" s="1625"/>
      <c r="G27" s="1625"/>
      <c r="H27" s="1625"/>
      <c r="I27" s="1625"/>
      <c r="J27" s="1625"/>
      <c r="K27" s="1625"/>
    </row>
    <row r="28" spans="1:11" ht="13.15" customHeight="1" x14ac:dyDescent="0.2">
      <c r="A28" s="427" t="s">
        <v>1017</v>
      </c>
      <c r="B28" s="429">
        <v>1331</v>
      </c>
      <c r="C28" s="1682"/>
      <c r="D28" s="1625"/>
      <c r="E28" s="1625"/>
      <c r="F28" s="1625"/>
      <c r="G28" s="1625"/>
      <c r="H28" s="1625"/>
      <c r="I28" s="1625"/>
      <c r="J28" s="1625"/>
      <c r="K28" s="1625"/>
    </row>
    <row r="29" spans="1:11" ht="13.15" customHeight="1" x14ac:dyDescent="0.2">
      <c r="A29" s="427" t="s">
        <v>829</v>
      </c>
      <c r="B29" s="429">
        <v>1332</v>
      </c>
      <c r="C29" s="1682"/>
      <c r="D29" s="1625"/>
      <c r="E29" s="1625"/>
      <c r="F29" s="1625"/>
      <c r="G29" s="1625"/>
      <c r="H29" s="1625"/>
      <c r="I29" s="1625"/>
      <c r="J29" s="1625"/>
      <c r="K29" s="1625"/>
    </row>
    <row r="30" spans="1:11" ht="13.15" customHeight="1" x14ac:dyDescent="0.2">
      <c r="A30" s="427" t="s">
        <v>1019</v>
      </c>
      <c r="B30" s="429">
        <v>1333</v>
      </c>
      <c r="C30" s="1682"/>
      <c r="D30" s="1625"/>
      <c r="E30" s="1625"/>
      <c r="F30" s="1625"/>
      <c r="G30" s="1625"/>
      <c r="H30" s="1625"/>
      <c r="I30" s="1625"/>
      <c r="J30" s="1625"/>
      <c r="K30" s="1625"/>
    </row>
    <row r="31" spans="1:11" ht="13.15" customHeight="1" x14ac:dyDescent="0.2">
      <c r="A31" s="427" t="s">
        <v>1018</v>
      </c>
      <c r="B31" s="429">
        <v>1334</v>
      </c>
      <c r="C31" s="1648"/>
      <c r="D31" s="1625"/>
      <c r="E31" s="1625"/>
      <c r="F31" s="1625"/>
      <c r="G31" s="1625"/>
      <c r="H31" s="1625"/>
      <c r="I31" s="1625"/>
      <c r="J31" s="1625"/>
      <c r="K31" s="1625"/>
    </row>
    <row r="32" spans="1:11" ht="13.15" customHeight="1" x14ac:dyDescent="0.2">
      <c r="A32" s="427" t="s">
        <v>491</v>
      </c>
      <c r="B32" s="429">
        <v>1341</v>
      </c>
      <c r="C32" s="1682"/>
      <c r="D32" s="1625"/>
      <c r="E32" s="1625"/>
      <c r="F32" s="1625"/>
      <c r="G32" s="1625"/>
      <c r="H32" s="1625"/>
      <c r="I32" s="1625"/>
      <c r="J32" s="1625"/>
      <c r="K32" s="1625"/>
    </row>
    <row r="33" spans="1:11" ht="13.15" customHeight="1" x14ac:dyDescent="0.2">
      <c r="A33" s="427" t="s">
        <v>830</v>
      </c>
      <c r="B33" s="429">
        <v>1342</v>
      </c>
      <c r="C33" s="1682"/>
      <c r="D33" s="1625"/>
      <c r="E33" s="1625"/>
      <c r="F33" s="1625"/>
      <c r="G33" s="1625"/>
      <c r="H33" s="1625"/>
      <c r="I33" s="1625"/>
      <c r="J33" s="1625"/>
      <c r="K33" s="1625"/>
    </row>
    <row r="34" spans="1:11" ht="13.15" customHeight="1" x14ac:dyDescent="0.2">
      <c r="A34" s="427" t="s">
        <v>492</v>
      </c>
      <c r="B34" s="429">
        <v>1343</v>
      </c>
      <c r="C34" s="1682"/>
      <c r="D34" s="1625"/>
      <c r="E34" s="1625"/>
      <c r="F34" s="1625"/>
      <c r="G34" s="1625"/>
      <c r="H34" s="1625"/>
      <c r="I34" s="1625"/>
      <c r="J34" s="1625"/>
      <c r="K34" s="1625"/>
    </row>
    <row r="35" spans="1:11" ht="13.15" customHeight="1" x14ac:dyDescent="0.2">
      <c r="A35" s="427" t="s">
        <v>490</v>
      </c>
      <c r="B35" s="429">
        <v>1344</v>
      </c>
      <c r="C35" s="1648"/>
      <c r="D35" s="1625"/>
      <c r="E35" s="1625"/>
      <c r="F35" s="1625"/>
      <c r="G35" s="1625"/>
      <c r="H35" s="1625"/>
      <c r="I35" s="1625"/>
      <c r="J35" s="1625"/>
      <c r="K35" s="1625"/>
    </row>
    <row r="36" spans="1:11" ht="13.15" customHeight="1" x14ac:dyDescent="0.2">
      <c r="A36" s="427" t="s">
        <v>826</v>
      </c>
      <c r="B36" s="429">
        <v>1351</v>
      </c>
      <c r="C36" s="1682"/>
      <c r="D36" s="1625"/>
      <c r="E36" s="1625"/>
      <c r="F36" s="1625"/>
      <c r="G36" s="1625"/>
      <c r="H36" s="1625"/>
      <c r="I36" s="1625"/>
      <c r="J36" s="1625"/>
      <c r="K36" s="1625"/>
    </row>
    <row r="37" spans="1:11" ht="13.15" customHeight="1" x14ac:dyDescent="0.2">
      <c r="A37" s="427" t="s">
        <v>831</v>
      </c>
      <c r="B37" s="429">
        <v>1352</v>
      </c>
      <c r="C37" s="1682"/>
      <c r="D37" s="1625"/>
      <c r="E37" s="1625"/>
      <c r="F37" s="1625"/>
      <c r="G37" s="1625"/>
      <c r="H37" s="1625"/>
      <c r="I37" s="1625"/>
      <c r="J37" s="1625"/>
      <c r="K37" s="1625"/>
    </row>
    <row r="38" spans="1:11" ht="13.15" customHeight="1" x14ac:dyDescent="0.2">
      <c r="A38" s="427" t="s">
        <v>589</v>
      </c>
      <c r="B38" s="429">
        <v>1353</v>
      </c>
      <c r="C38" s="1682"/>
      <c r="D38" s="1625"/>
      <c r="E38" s="1625"/>
      <c r="F38" s="1625"/>
      <c r="G38" s="1625"/>
      <c r="H38" s="1625"/>
      <c r="I38" s="1625"/>
      <c r="J38" s="1625"/>
      <c r="K38" s="1625"/>
    </row>
    <row r="39" spans="1:11" ht="13.15" customHeight="1" x14ac:dyDescent="0.2">
      <c r="A39" s="1310" t="s">
        <v>590</v>
      </c>
      <c r="B39" s="474">
        <v>1354</v>
      </c>
      <c r="C39" s="1648"/>
      <c r="D39" s="1625"/>
      <c r="E39" s="1625"/>
      <c r="F39" s="1625"/>
      <c r="G39" s="1625"/>
      <c r="H39" s="1625"/>
      <c r="I39" s="1625"/>
      <c r="J39" s="1625"/>
      <c r="K39" s="1625"/>
    </row>
    <row r="40" spans="1:11" ht="13.1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3.15" customHeight="1" x14ac:dyDescent="0.2">
      <c r="A42" s="427" t="s">
        <v>1069</v>
      </c>
      <c r="B42" s="429">
        <v>1411</v>
      </c>
      <c r="C42" s="1625"/>
      <c r="D42" s="1625"/>
      <c r="E42" s="1625"/>
      <c r="F42" s="1636"/>
      <c r="G42" s="1625"/>
      <c r="H42" s="1625"/>
      <c r="I42" s="1625"/>
      <c r="J42" s="1625"/>
      <c r="K42" s="1625"/>
    </row>
    <row r="43" spans="1:11" ht="13.15" customHeight="1" x14ac:dyDescent="0.2">
      <c r="A43" s="427" t="s">
        <v>832</v>
      </c>
      <c r="B43" s="429">
        <v>1412</v>
      </c>
      <c r="C43" s="1625"/>
      <c r="D43" s="1625"/>
      <c r="E43" s="1625"/>
      <c r="F43" s="1623"/>
      <c r="G43" s="1625"/>
      <c r="H43" s="1625"/>
      <c r="I43" s="1625"/>
      <c r="J43" s="1625"/>
      <c r="K43" s="1625"/>
    </row>
    <row r="44" spans="1:11" ht="13.15" customHeight="1" x14ac:dyDescent="0.2">
      <c r="A44" s="427" t="s">
        <v>381</v>
      </c>
      <c r="B44" s="429">
        <v>1413</v>
      </c>
      <c r="C44" s="1625"/>
      <c r="D44" s="1625"/>
      <c r="E44" s="1625"/>
      <c r="F44" s="1623"/>
      <c r="G44" s="1625"/>
      <c r="H44" s="1625"/>
      <c r="I44" s="1625"/>
      <c r="J44" s="1625"/>
      <c r="K44" s="1625"/>
    </row>
    <row r="45" spans="1:11" ht="13.15" customHeight="1" x14ac:dyDescent="0.2">
      <c r="A45" s="427" t="s">
        <v>238</v>
      </c>
      <c r="B45" s="429">
        <v>1415</v>
      </c>
      <c r="C45" s="1625"/>
      <c r="D45" s="1625"/>
      <c r="E45" s="1625"/>
      <c r="F45" s="1623"/>
      <c r="G45" s="1625"/>
      <c r="H45" s="1625"/>
      <c r="I45" s="1625"/>
      <c r="J45" s="1625"/>
      <c r="K45" s="1625"/>
    </row>
    <row r="46" spans="1:11" ht="13.15" customHeight="1" x14ac:dyDescent="0.2">
      <c r="A46" s="427" t="s">
        <v>1166</v>
      </c>
      <c r="B46" s="429">
        <v>1416</v>
      </c>
      <c r="C46" s="1625"/>
      <c r="D46" s="1625"/>
      <c r="E46" s="1625"/>
      <c r="F46" s="1624"/>
      <c r="G46" s="1625"/>
      <c r="H46" s="1625"/>
      <c r="I46" s="1625"/>
      <c r="J46" s="1625"/>
      <c r="K46" s="1625"/>
    </row>
    <row r="47" spans="1:11" ht="13.15" customHeight="1" x14ac:dyDescent="0.2">
      <c r="A47" s="427" t="s">
        <v>57</v>
      </c>
      <c r="B47" s="429">
        <v>1421</v>
      </c>
      <c r="C47" s="1625"/>
      <c r="D47" s="1625"/>
      <c r="E47" s="1625"/>
      <c r="F47" s="1623"/>
      <c r="G47" s="1625"/>
      <c r="H47" s="1625"/>
      <c r="I47" s="1625"/>
      <c r="J47" s="1625"/>
      <c r="K47" s="1625"/>
    </row>
    <row r="48" spans="1:11" ht="13.15" customHeight="1" x14ac:dyDescent="0.2">
      <c r="A48" s="427" t="s">
        <v>833</v>
      </c>
      <c r="B48" s="429">
        <v>1422</v>
      </c>
      <c r="C48" s="1625"/>
      <c r="D48" s="1625"/>
      <c r="E48" s="1625"/>
      <c r="F48" s="1623"/>
      <c r="G48" s="1625"/>
      <c r="H48" s="1625"/>
      <c r="I48" s="1625"/>
      <c r="J48" s="1625"/>
      <c r="K48" s="1625"/>
    </row>
    <row r="49" spans="1:11" ht="13.15" customHeight="1" x14ac:dyDescent="0.2">
      <c r="A49" s="427" t="s">
        <v>58</v>
      </c>
      <c r="B49" s="429">
        <v>1423</v>
      </c>
      <c r="C49" s="1625"/>
      <c r="D49" s="1625"/>
      <c r="E49" s="1625"/>
      <c r="F49" s="1623"/>
      <c r="G49" s="1625"/>
      <c r="H49" s="1625"/>
      <c r="I49" s="1625"/>
      <c r="J49" s="1625"/>
      <c r="K49" s="1625"/>
    </row>
    <row r="50" spans="1:11" ht="13.15" customHeight="1" x14ac:dyDescent="0.2">
      <c r="A50" s="427" t="s">
        <v>59</v>
      </c>
      <c r="B50" s="429">
        <v>1424</v>
      </c>
      <c r="C50" s="1625"/>
      <c r="D50" s="1625"/>
      <c r="E50" s="1625"/>
      <c r="F50" s="1624"/>
      <c r="G50" s="1625"/>
      <c r="H50" s="1625"/>
      <c r="I50" s="1625"/>
      <c r="J50" s="1625"/>
      <c r="K50" s="1625"/>
    </row>
    <row r="51" spans="1:11" ht="13.15" customHeight="1" x14ac:dyDescent="0.2">
      <c r="A51" s="1311" t="s">
        <v>60</v>
      </c>
      <c r="B51" s="475">
        <v>1431</v>
      </c>
      <c r="C51" s="1625"/>
      <c r="D51" s="1625"/>
      <c r="E51" s="1625"/>
      <c r="F51" s="1623"/>
      <c r="G51" s="1625"/>
      <c r="H51" s="1625"/>
      <c r="I51" s="1625"/>
      <c r="J51" s="1625"/>
      <c r="K51" s="1625"/>
    </row>
    <row r="52" spans="1:11" ht="13.15" customHeight="1" x14ac:dyDescent="0.2">
      <c r="A52" s="1311" t="s">
        <v>1099</v>
      </c>
      <c r="B52" s="475">
        <v>1432</v>
      </c>
      <c r="C52" s="1625"/>
      <c r="D52" s="1625"/>
      <c r="E52" s="1625"/>
      <c r="F52" s="1623"/>
      <c r="G52" s="1625"/>
      <c r="H52" s="1625"/>
      <c r="I52" s="1625"/>
      <c r="J52" s="1625"/>
      <c r="K52" s="1625"/>
    </row>
    <row r="53" spans="1:11" ht="13.15" customHeight="1" x14ac:dyDescent="0.2">
      <c r="A53" s="1311" t="s">
        <v>61</v>
      </c>
      <c r="B53" s="475">
        <v>1433</v>
      </c>
      <c r="C53" s="1625"/>
      <c r="D53" s="1625"/>
      <c r="E53" s="1625"/>
      <c r="F53" s="1623"/>
      <c r="G53" s="1625"/>
      <c r="H53" s="1625"/>
      <c r="I53" s="1625"/>
      <c r="J53" s="1625"/>
      <c r="K53" s="1625"/>
    </row>
    <row r="54" spans="1:11" ht="13.15" customHeight="1" x14ac:dyDescent="0.2">
      <c r="A54" s="1311" t="s">
        <v>62</v>
      </c>
      <c r="B54" s="475">
        <v>1434</v>
      </c>
      <c r="C54" s="1625"/>
      <c r="D54" s="1625"/>
      <c r="E54" s="1625"/>
      <c r="F54" s="1624"/>
      <c r="G54" s="1625"/>
      <c r="H54" s="1625"/>
      <c r="I54" s="1625"/>
      <c r="J54" s="1625"/>
      <c r="K54" s="1625"/>
    </row>
    <row r="55" spans="1:11" ht="13.15" customHeight="1" x14ac:dyDescent="0.2">
      <c r="A55" s="1311" t="s">
        <v>63</v>
      </c>
      <c r="B55" s="475">
        <v>1441</v>
      </c>
      <c r="C55" s="1625"/>
      <c r="D55" s="1625"/>
      <c r="E55" s="1625"/>
      <c r="F55" s="1623"/>
      <c r="G55" s="1625"/>
      <c r="H55" s="1625"/>
      <c r="I55" s="1625"/>
      <c r="J55" s="1625"/>
      <c r="K55" s="1625"/>
    </row>
    <row r="56" spans="1:11" ht="13.15" customHeight="1" x14ac:dyDescent="0.2">
      <c r="A56" s="1311" t="s">
        <v>1100</v>
      </c>
      <c r="B56" s="475">
        <v>1442</v>
      </c>
      <c r="C56" s="1625"/>
      <c r="D56" s="1625"/>
      <c r="E56" s="1625"/>
      <c r="F56" s="1623"/>
      <c r="G56" s="1625"/>
      <c r="H56" s="1625"/>
      <c r="I56" s="1625"/>
      <c r="J56" s="1625"/>
      <c r="K56" s="1625"/>
    </row>
    <row r="57" spans="1:11" ht="13.15" customHeight="1" x14ac:dyDescent="0.2">
      <c r="A57" s="1311" t="s">
        <v>486</v>
      </c>
      <c r="B57" s="475">
        <v>1443</v>
      </c>
      <c r="C57" s="1625"/>
      <c r="D57" s="1625"/>
      <c r="E57" s="1625"/>
      <c r="F57" s="1623"/>
      <c r="G57" s="1625"/>
      <c r="H57" s="1625"/>
      <c r="I57" s="1625"/>
      <c r="J57" s="1625"/>
      <c r="K57" s="1625"/>
    </row>
    <row r="58" spans="1:11" ht="13.15" customHeight="1" x14ac:dyDescent="0.2">
      <c r="A58" s="1311" t="s">
        <v>65</v>
      </c>
      <c r="B58" s="475">
        <v>1444</v>
      </c>
      <c r="C58" s="1625"/>
      <c r="D58" s="1625"/>
      <c r="E58" s="1625"/>
      <c r="F58" s="1623"/>
      <c r="G58" s="1625"/>
      <c r="H58" s="1625"/>
      <c r="I58" s="1625"/>
      <c r="J58" s="1625"/>
      <c r="K58" s="1625"/>
    </row>
    <row r="59" spans="1:11" ht="13.15" customHeight="1" x14ac:dyDescent="0.2">
      <c r="A59" s="1311" t="s">
        <v>873</v>
      </c>
      <c r="B59" s="475">
        <v>1451</v>
      </c>
      <c r="C59" s="1625"/>
      <c r="D59" s="1625"/>
      <c r="E59" s="1625"/>
      <c r="F59" s="1623"/>
      <c r="G59" s="1625"/>
      <c r="H59" s="1625"/>
      <c r="I59" s="1625"/>
      <c r="J59" s="1625"/>
      <c r="K59" s="1625"/>
    </row>
    <row r="60" spans="1:11" ht="13.15" customHeight="1" x14ac:dyDescent="0.2">
      <c r="A60" s="1311" t="s">
        <v>1101</v>
      </c>
      <c r="B60" s="475">
        <v>1452</v>
      </c>
      <c r="C60" s="1625"/>
      <c r="D60" s="1625"/>
      <c r="E60" s="1625"/>
      <c r="F60" s="1623"/>
      <c r="G60" s="1625"/>
      <c r="H60" s="1625"/>
      <c r="I60" s="1625"/>
      <c r="J60" s="1625"/>
      <c r="K60" s="1625"/>
    </row>
    <row r="61" spans="1:11" ht="13.15" customHeight="1" x14ac:dyDescent="0.2">
      <c r="A61" s="479" t="s">
        <v>874</v>
      </c>
      <c r="B61" s="475">
        <v>1453</v>
      </c>
      <c r="C61" s="1625"/>
      <c r="D61" s="1625"/>
      <c r="E61" s="1625"/>
      <c r="F61" s="1623"/>
      <c r="G61" s="1625"/>
      <c r="H61" s="1625"/>
      <c r="I61" s="1625"/>
      <c r="J61" s="1625"/>
      <c r="K61" s="1625"/>
    </row>
    <row r="62" spans="1:11" ht="13.15" customHeight="1" x14ac:dyDescent="0.2">
      <c r="A62" s="1312" t="s">
        <v>875</v>
      </c>
      <c r="B62" s="476">
        <v>1454</v>
      </c>
      <c r="C62" s="1625"/>
      <c r="D62" s="1625"/>
      <c r="E62" s="1625"/>
      <c r="F62" s="1624"/>
      <c r="G62" s="1625"/>
      <c r="H62" s="1625"/>
      <c r="I62" s="1625"/>
      <c r="J62" s="1625"/>
      <c r="K62" s="1625"/>
    </row>
    <row r="63" spans="1:11" ht="13.1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3.15" customHeight="1" x14ac:dyDescent="0.2">
      <c r="A65" s="427" t="s">
        <v>543</v>
      </c>
      <c r="B65" s="429">
        <v>1510</v>
      </c>
      <c r="C65" s="1623">
        <v>83448</v>
      </c>
      <c r="D65" s="1623">
        <v>10698</v>
      </c>
      <c r="E65" s="1623">
        <v>24955</v>
      </c>
      <c r="F65" s="1624">
        <v>5309</v>
      </c>
      <c r="G65" s="1623">
        <v>11024</v>
      </c>
      <c r="H65" s="1623">
        <v>26303</v>
      </c>
      <c r="I65" s="1623">
        <v>32189</v>
      </c>
      <c r="J65" s="1624">
        <v>8987</v>
      </c>
      <c r="K65" s="1623">
        <v>11935</v>
      </c>
    </row>
    <row r="66" spans="1:11" ht="13.15" customHeight="1" x14ac:dyDescent="0.2">
      <c r="A66" s="427" t="s">
        <v>674</v>
      </c>
      <c r="B66" s="429">
        <v>1520</v>
      </c>
      <c r="C66" s="1623"/>
      <c r="D66" s="1623"/>
      <c r="E66" s="1623"/>
      <c r="F66" s="1623"/>
      <c r="G66" s="1623"/>
      <c r="H66" s="1623"/>
      <c r="I66" s="1623"/>
      <c r="J66" s="1624"/>
      <c r="K66" s="1623"/>
    </row>
    <row r="67" spans="1:11" ht="13.15" customHeight="1" thickBot="1" x14ac:dyDescent="0.25">
      <c r="A67" s="1455" t="s">
        <v>483</v>
      </c>
      <c r="B67" s="1456"/>
      <c r="C67" s="1644">
        <f>SUM(C65:C66)</f>
        <v>83448</v>
      </c>
      <c r="D67" s="1644">
        <f t="shared" ref="D67:K67" si="2">SUM(D65:D66)</f>
        <v>10698</v>
      </c>
      <c r="E67" s="1644">
        <f t="shared" si="2"/>
        <v>24955</v>
      </c>
      <c r="F67" s="1644">
        <f t="shared" si="2"/>
        <v>5309</v>
      </c>
      <c r="G67" s="1644">
        <f t="shared" si="2"/>
        <v>11024</v>
      </c>
      <c r="H67" s="1644">
        <f t="shared" si="2"/>
        <v>26303</v>
      </c>
      <c r="I67" s="1644">
        <f t="shared" si="2"/>
        <v>32189</v>
      </c>
      <c r="J67" s="1644">
        <f t="shared" si="2"/>
        <v>8987</v>
      </c>
      <c r="K67" s="1644">
        <f t="shared" si="2"/>
        <v>11935</v>
      </c>
    </row>
    <row r="68" spans="1:11" ht="15.75" customHeight="1" thickTop="1" x14ac:dyDescent="0.2">
      <c r="A68" s="1375" t="s">
        <v>452</v>
      </c>
      <c r="B68" s="1377">
        <v>1600</v>
      </c>
      <c r="C68" s="1684"/>
      <c r="D68" s="1625"/>
      <c r="E68" s="1625"/>
      <c r="F68" s="1625"/>
      <c r="G68" s="1625"/>
      <c r="H68" s="1625"/>
      <c r="I68" s="1625"/>
      <c r="J68" s="1625"/>
      <c r="K68" s="1625"/>
    </row>
    <row r="69" spans="1:11" ht="13.15" customHeight="1" x14ac:dyDescent="0.2">
      <c r="A69" s="427" t="s">
        <v>661</v>
      </c>
      <c r="B69" s="429">
        <v>1611</v>
      </c>
      <c r="C69" s="1623">
        <v>166513</v>
      </c>
      <c r="D69" s="1625"/>
      <c r="E69" s="1625"/>
      <c r="F69" s="1625"/>
      <c r="G69" s="1625"/>
      <c r="H69" s="1625"/>
      <c r="I69" s="1625"/>
      <c r="J69" s="1625"/>
      <c r="K69" s="1625"/>
    </row>
    <row r="70" spans="1:11" ht="13.15" customHeight="1" x14ac:dyDescent="0.2">
      <c r="A70" s="427" t="s">
        <v>990</v>
      </c>
      <c r="B70" s="429">
        <v>1612</v>
      </c>
      <c r="C70" s="1682"/>
      <c r="D70" s="1625"/>
      <c r="E70" s="1625"/>
      <c r="F70" s="1625"/>
      <c r="G70" s="1625"/>
      <c r="H70" s="1625"/>
      <c r="I70" s="1625"/>
      <c r="J70" s="1625"/>
      <c r="K70" s="1625"/>
    </row>
    <row r="71" spans="1:11" ht="13.15" customHeight="1" x14ac:dyDescent="0.2">
      <c r="A71" s="427" t="s">
        <v>271</v>
      </c>
      <c r="B71" s="429">
        <v>1613</v>
      </c>
      <c r="C71" s="1682"/>
      <c r="D71" s="1625"/>
      <c r="E71" s="1625"/>
      <c r="F71" s="1625"/>
      <c r="G71" s="1625"/>
      <c r="H71" s="1625"/>
      <c r="I71" s="1625"/>
      <c r="J71" s="1625"/>
      <c r="K71" s="1625"/>
    </row>
    <row r="72" spans="1:11" ht="13.15" customHeight="1" x14ac:dyDescent="0.2">
      <c r="A72" s="427" t="s">
        <v>24</v>
      </c>
      <c r="B72" s="429">
        <v>1614</v>
      </c>
      <c r="C72" s="1682"/>
      <c r="D72" s="1625"/>
      <c r="E72" s="1625"/>
      <c r="F72" s="1625"/>
      <c r="G72" s="1625"/>
      <c r="H72" s="1625"/>
      <c r="I72" s="1625"/>
      <c r="J72" s="1625"/>
      <c r="K72" s="1625"/>
    </row>
    <row r="73" spans="1:11" ht="13.15" customHeight="1" x14ac:dyDescent="0.2">
      <c r="A73" s="427" t="s">
        <v>991</v>
      </c>
      <c r="B73" s="429">
        <v>1620</v>
      </c>
      <c r="C73" s="1682"/>
      <c r="D73" s="1625"/>
      <c r="E73" s="1625"/>
      <c r="F73" s="1625"/>
      <c r="G73" s="1625"/>
      <c r="H73" s="1625"/>
      <c r="I73" s="1625"/>
      <c r="J73" s="1625"/>
      <c r="K73" s="1625"/>
    </row>
    <row r="74" spans="1:11" ht="13.15" customHeight="1" x14ac:dyDescent="0.2">
      <c r="A74" s="427" t="s">
        <v>25</v>
      </c>
      <c r="B74" s="429">
        <v>1690</v>
      </c>
      <c r="C74" s="1682">
        <v>8158</v>
      </c>
      <c r="D74" s="1625"/>
      <c r="E74" s="1625"/>
      <c r="F74" s="1625"/>
      <c r="G74" s="1625"/>
      <c r="H74" s="1625"/>
      <c r="I74" s="1625"/>
      <c r="J74" s="1625"/>
      <c r="K74" s="1625"/>
    </row>
    <row r="75" spans="1:11" ht="13.15" customHeight="1" thickBot="1" x14ac:dyDescent="0.25">
      <c r="A75" s="1455" t="s">
        <v>544</v>
      </c>
      <c r="B75" s="1456"/>
      <c r="C75" s="1644">
        <f>SUM(C69:C74)</f>
        <v>174671</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3.15" customHeight="1" x14ac:dyDescent="0.2">
      <c r="A77" s="427" t="s">
        <v>545</v>
      </c>
      <c r="B77" s="429">
        <v>1711</v>
      </c>
      <c r="C77" s="1663">
        <v>54700</v>
      </c>
      <c r="D77" s="1623"/>
      <c r="E77" s="1625"/>
      <c r="F77" s="1625"/>
      <c r="G77" s="1625"/>
      <c r="H77" s="1625"/>
      <c r="I77" s="1625"/>
      <c r="J77" s="1625"/>
      <c r="K77" s="1625"/>
    </row>
    <row r="78" spans="1:11" ht="13.15" customHeight="1" x14ac:dyDescent="0.2">
      <c r="A78" s="427" t="s">
        <v>76</v>
      </c>
      <c r="B78" s="429">
        <v>1719</v>
      </c>
      <c r="C78" s="1682"/>
      <c r="D78" s="1623"/>
      <c r="E78" s="1625"/>
      <c r="F78" s="1625"/>
      <c r="G78" s="1625"/>
      <c r="H78" s="1625"/>
      <c r="I78" s="1625"/>
      <c r="J78" s="1625"/>
      <c r="K78" s="1625"/>
    </row>
    <row r="79" spans="1:11" ht="13.15" customHeight="1" x14ac:dyDescent="0.2">
      <c r="A79" s="427" t="s">
        <v>546</v>
      </c>
      <c r="B79" s="429">
        <v>1720</v>
      </c>
      <c r="C79" s="1682">
        <v>69771</v>
      </c>
      <c r="D79" s="1623"/>
      <c r="E79" s="1625"/>
      <c r="F79" s="1625"/>
      <c r="G79" s="1625"/>
      <c r="H79" s="1625"/>
      <c r="I79" s="1625"/>
      <c r="J79" s="1625"/>
      <c r="K79" s="1625"/>
    </row>
    <row r="80" spans="1:11" ht="13.15" customHeight="1" x14ac:dyDescent="0.2">
      <c r="A80" s="427" t="s">
        <v>547</v>
      </c>
      <c r="B80" s="429">
        <v>1730</v>
      </c>
      <c r="C80" s="1682"/>
      <c r="D80" s="1623"/>
      <c r="E80" s="1625"/>
      <c r="F80" s="1625"/>
      <c r="G80" s="1625"/>
      <c r="H80" s="1625"/>
      <c r="I80" s="1625"/>
      <c r="J80" s="1625"/>
      <c r="K80" s="1625"/>
    </row>
    <row r="81" spans="1:11" ht="13.15" customHeight="1" x14ac:dyDescent="0.2">
      <c r="A81" s="427" t="s">
        <v>26</v>
      </c>
      <c r="B81" s="429">
        <v>1790</v>
      </c>
      <c r="C81" s="1682"/>
      <c r="D81" s="1623"/>
      <c r="E81" s="1625"/>
      <c r="F81" s="1625"/>
      <c r="G81" s="1625"/>
      <c r="H81" s="1625"/>
      <c r="I81" s="1625"/>
      <c r="J81" s="1625"/>
      <c r="K81" s="1625"/>
    </row>
    <row r="82" spans="1:11" ht="13.15" customHeight="1" thickBot="1" x14ac:dyDescent="0.25">
      <c r="A82" s="1455" t="s">
        <v>239</v>
      </c>
      <c r="B82" s="1456"/>
      <c r="C82" s="1683">
        <f>SUM(C77:C81)</f>
        <v>124471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3.15" customHeight="1" x14ac:dyDescent="0.2">
      <c r="A84" s="427" t="s">
        <v>548</v>
      </c>
      <c r="B84" s="429">
        <v>1811</v>
      </c>
      <c r="C84" s="1623">
        <v>133209</v>
      </c>
      <c r="D84" s="1625"/>
      <c r="E84" s="1625"/>
      <c r="F84" s="1625"/>
      <c r="G84" s="1625"/>
      <c r="H84" s="1625"/>
      <c r="I84" s="1625"/>
      <c r="J84" s="1625"/>
      <c r="K84" s="1625"/>
    </row>
    <row r="85" spans="1:11" ht="13.15" customHeight="1" x14ac:dyDescent="0.2">
      <c r="A85" s="427" t="s">
        <v>549</v>
      </c>
      <c r="B85" s="429">
        <v>1812</v>
      </c>
      <c r="C85" s="1682"/>
      <c r="D85" s="1625"/>
      <c r="E85" s="1625"/>
      <c r="F85" s="1625"/>
      <c r="G85" s="1625"/>
      <c r="H85" s="1625"/>
      <c r="I85" s="1625"/>
      <c r="J85" s="1625"/>
      <c r="K85" s="1625"/>
    </row>
    <row r="86" spans="1:11" ht="13.15" customHeight="1" x14ac:dyDescent="0.2">
      <c r="A86" s="427" t="s">
        <v>992</v>
      </c>
      <c r="B86" s="429">
        <v>1813</v>
      </c>
      <c r="C86" s="1682"/>
      <c r="D86" s="1625"/>
      <c r="E86" s="1625"/>
      <c r="F86" s="1625"/>
      <c r="G86" s="1625"/>
      <c r="H86" s="1625"/>
      <c r="I86" s="1625"/>
      <c r="J86" s="1625"/>
      <c r="K86" s="1625"/>
    </row>
    <row r="87" spans="1:11" ht="13.15" customHeight="1" x14ac:dyDescent="0.2">
      <c r="A87" s="427" t="s">
        <v>77</v>
      </c>
      <c r="B87" s="429">
        <v>1819</v>
      </c>
      <c r="C87" s="1682"/>
      <c r="D87" s="1625"/>
      <c r="E87" s="1625"/>
      <c r="F87" s="1625"/>
      <c r="G87" s="1625"/>
      <c r="H87" s="1625"/>
      <c r="I87" s="1625"/>
      <c r="J87" s="1625"/>
      <c r="K87" s="1625"/>
    </row>
    <row r="88" spans="1:11" ht="13.15" customHeight="1" x14ac:dyDescent="0.2">
      <c r="A88" s="427" t="s">
        <v>550</v>
      </c>
      <c r="B88" s="429">
        <v>1821</v>
      </c>
      <c r="C88" s="1682"/>
      <c r="D88" s="1625"/>
      <c r="E88" s="1625"/>
      <c r="F88" s="1625"/>
      <c r="G88" s="1625"/>
      <c r="H88" s="1625"/>
      <c r="I88" s="1625"/>
      <c r="J88" s="1625"/>
      <c r="K88" s="1625"/>
    </row>
    <row r="89" spans="1:11" ht="13.15" customHeight="1" x14ac:dyDescent="0.2">
      <c r="A89" s="427" t="s">
        <v>709</v>
      </c>
      <c r="B89" s="429">
        <v>1822</v>
      </c>
      <c r="C89" s="1682"/>
      <c r="D89" s="1625"/>
      <c r="E89" s="1625"/>
      <c r="F89" s="1625"/>
      <c r="G89" s="1625"/>
      <c r="H89" s="1625"/>
      <c r="I89" s="1625"/>
      <c r="J89" s="1625"/>
      <c r="K89" s="1625"/>
    </row>
    <row r="90" spans="1:11" ht="13.15" customHeight="1" x14ac:dyDescent="0.2">
      <c r="A90" s="427" t="s">
        <v>138</v>
      </c>
      <c r="B90" s="429">
        <v>1823</v>
      </c>
      <c r="C90" s="1682"/>
      <c r="D90" s="1625"/>
      <c r="E90" s="1625"/>
      <c r="F90" s="1625"/>
      <c r="G90" s="1625"/>
      <c r="H90" s="1625"/>
      <c r="I90" s="1625"/>
      <c r="J90" s="1625"/>
      <c r="K90" s="1625"/>
    </row>
    <row r="91" spans="1:11" ht="13.15" customHeight="1" x14ac:dyDescent="0.2">
      <c r="A91" s="427" t="s">
        <v>27</v>
      </c>
      <c r="B91" s="429">
        <v>1829</v>
      </c>
      <c r="C91" s="1682"/>
      <c r="D91" s="1625"/>
      <c r="E91" s="1625"/>
      <c r="F91" s="1625"/>
      <c r="G91" s="1625"/>
      <c r="H91" s="1625"/>
      <c r="I91" s="1625"/>
      <c r="J91" s="1625"/>
      <c r="K91" s="1625"/>
    </row>
    <row r="92" spans="1:11" ht="13.15" customHeight="1" x14ac:dyDescent="0.2">
      <c r="A92" s="427" t="s">
        <v>757</v>
      </c>
      <c r="B92" s="429">
        <v>1890</v>
      </c>
      <c r="C92" s="1682"/>
      <c r="D92" s="1625"/>
      <c r="E92" s="1625"/>
      <c r="F92" s="1625"/>
      <c r="G92" s="1625"/>
      <c r="H92" s="1625"/>
      <c r="I92" s="1625"/>
      <c r="J92" s="1625"/>
      <c r="K92" s="1625"/>
    </row>
    <row r="93" spans="1:11" ht="13.15" customHeight="1" thickBot="1" x14ac:dyDescent="0.25">
      <c r="A93" s="1455" t="s">
        <v>241</v>
      </c>
      <c r="B93" s="1456"/>
      <c r="C93" s="1644">
        <f>SUM(C84:C92)</f>
        <v>133209</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3.15" customHeight="1" x14ac:dyDescent="0.2">
      <c r="A95" s="427" t="s">
        <v>1057</v>
      </c>
      <c r="B95" s="429">
        <v>1910</v>
      </c>
      <c r="C95" s="1623"/>
      <c r="D95" s="1682">
        <v>103064</v>
      </c>
      <c r="E95" s="1667"/>
      <c r="F95" s="1667"/>
      <c r="G95" s="1667"/>
      <c r="H95" s="1667"/>
      <c r="I95" s="1667"/>
      <c r="J95" s="1667"/>
      <c r="K95" s="1667"/>
    </row>
    <row r="96" spans="1:11" ht="13.15" customHeight="1" x14ac:dyDescent="0.2">
      <c r="A96" s="427" t="s">
        <v>388</v>
      </c>
      <c r="B96" s="429">
        <v>1920</v>
      </c>
      <c r="C96" s="1682">
        <v>9306</v>
      </c>
      <c r="D96" s="1682"/>
      <c r="E96" s="1634"/>
      <c r="F96" s="1633"/>
      <c r="G96" s="1633"/>
      <c r="H96" s="1633"/>
      <c r="I96" s="1633"/>
      <c r="J96" s="1633"/>
      <c r="K96" s="1633"/>
    </row>
    <row r="97" spans="1:12" ht="13.15" customHeight="1" x14ac:dyDescent="0.2">
      <c r="A97" s="1310" t="s">
        <v>242</v>
      </c>
      <c r="B97" s="477">
        <v>1930</v>
      </c>
      <c r="C97" s="1648"/>
      <c r="D97" s="1624"/>
      <c r="E97" s="1629"/>
      <c r="F97" s="1624"/>
      <c r="G97" s="1624"/>
      <c r="H97" s="1624"/>
      <c r="I97" s="1624"/>
      <c r="J97" s="1624"/>
      <c r="K97" s="1624"/>
    </row>
    <row r="98" spans="1:12" ht="13.15" customHeight="1" x14ac:dyDescent="0.2">
      <c r="A98" s="427" t="s">
        <v>188</v>
      </c>
      <c r="B98" s="429">
        <v>1940</v>
      </c>
      <c r="C98" s="1648">
        <v>29071</v>
      </c>
      <c r="D98" s="1623"/>
      <c r="E98" s="1662"/>
      <c r="F98" s="1623"/>
      <c r="G98" s="1662"/>
      <c r="H98" s="1662"/>
      <c r="I98" s="1660"/>
      <c r="J98" s="1662"/>
      <c r="K98" s="1662"/>
    </row>
    <row r="99" spans="1:12" ht="13.15" customHeight="1" x14ac:dyDescent="0.2">
      <c r="A99" s="427" t="s">
        <v>816</v>
      </c>
      <c r="B99" s="429">
        <v>1950</v>
      </c>
      <c r="C99" s="1648"/>
      <c r="D99" s="1623"/>
      <c r="E99" s="1623"/>
      <c r="F99" s="1623"/>
      <c r="G99" s="1623"/>
      <c r="H99" s="1623"/>
      <c r="I99" s="1625"/>
      <c r="J99" s="1624"/>
      <c r="K99" s="1623"/>
    </row>
    <row r="100" spans="1:12" ht="13.15" customHeight="1" x14ac:dyDescent="0.2">
      <c r="A100" s="427" t="s">
        <v>243</v>
      </c>
      <c r="B100" s="429">
        <v>1960</v>
      </c>
      <c r="C100" s="1648"/>
      <c r="D100" s="1648"/>
      <c r="E100" s="1648"/>
      <c r="F100" s="1648"/>
      <c r="G100" s="1648"/>
      <c r="H100" s="1648"/>
      <c r="I100" s="1624"/>
      <c r="J100" s="1648"/>
      <c r="K100" s="1624"/>
    </row>
    <row r="101" spans="1:12" ht="13.15" customHeight="1" x14ac:dyDescent="0.2">
      <c r="A101" s="427" t="s">
        <v>244</v>
      </c>
      <c r="B101" s="429">
        <v>1970</v>
      </c>
      <c r="C101" s="1648">
        <v>16125</v>
      </c>
      <c r="D101" s="1673"/>
      <c r="E101" s="1635"/>
      <c r="F101" s="1673"/>
      <c r="G101" s="1630"/>
      <c r="H101" s="1673"/>
      <c r="I101" s="1625"/>
      <c r="J101" s="1630"/>
      <c r="K101" s="1630"/>
    </row>
    <row r="102" spans="1:12" ht="13.15" customHeight="1" x14ac:dyDescent="0.2">
      <c r="A102" s="427" t="s">
        <v>245</v>
      </c>
      <c r="B102" s="429">
        <v>1980</v>
      </c>
      <c r="C102" s="1648"/>
      <c r="D102" s="1648"/>
      <c r="E102" s="1648"/>
      <c r="F102" s="1648"/>
      <c r="G102" s="1648"/>
      <c r="H102" s="1648"/>
      <c r="I102" s="1624"/>
      <c r="J102" s="1648"/>
      <c r="K102" s="1624"/>
    </row>
    <row r="103" spans="1:12" ht="13.15" customHeight="1" x14ac:dyDescent="0.2">
      <c r="A103" s="427" t="s">
        <v>342</v>
      </c>
      <c r="B103" s="429">
        <v>1983</v>
      </c>
      <c r="C103" s="1625"/>
      <c r="D103" s="1625"/>
      <c r="E103" s="1689">
        <v>1088587</v>
      </c>
      <c r="F103" s="1625"/>
      <c r="G103" s="1625"/>
      <c r="H103" s="1648">
        <v>225633</v>
      </c>
      <c r="I103" s="1625"/>
      <c r="J103" s="1660"/>
      <c r="K103" s="1660"/>
    </row>
    <row r="104" spans="1:12" ht="13.15" customHeight="1" x14ac:dyDescent="0.2">
      <c r="A104" s="427" t="s">
        <v>825</v>
      </c>
      <c r="B104" s="429">
        <v>1991</v>
      </c>
      <c r="C104" s="1648"/>
      <c r="D104" s="1623"/>
      <c r="E104" s="1636"/>
      <c r="F104" s="1624"/>
      <c r="G104" s="1624"/>
      <c r="H104" s="1623"/>
      <c r="I104" s="1625"/>
      <c r="J104" s="1625"/>
      <c r="K104" s="1625"/>
    </row>
    <row r="105" spans="1:12" ht="13.15" customHeight="1" x14ac:dyDescent="0.2">
      <c r="A105" s="427" t="s">
        <v>817</v>
      </c>
      <c r="B105" s="429">
        <v>1992</v>
      </c>
      <c r="C105" s="1623"/>
      <c r="D105" s="1690"/>
      <c r="E105" s="1625"/>
      <c r="F105" s="1625"/>
      <c r="G105" s="1625"/>
      <c r="H105" s="1660"/>
      <c r="I105" s="1625"/>
      <c r="J105" s="1625"/>
      <c r="K105" s="1625"/>
    </row>
    <row r="106" spans="1:12" ht="13.15" customHeight="1" x14ac:dyDescent="0.2">
      <c r="A106" s="427" t="s">
        <v>1416</v>
      </c>
      <c r="B106" s="429">
        <v>1993</v>
      </c>
      <c r="C106" s="1623"/>
      <c r="D106" s="1648"/>
      <c r="E106" s="1624"/>
      <c r="F106" s="1624"/>
      <c r="G106" s="1624"/>
      <c r="H106" s="1624"/>
      <c r="I106" s="1667"/>
      <c r="J106" s="1624"/>
      <c r="K106" s="1624"/>
    </row>
    <row r="107" spans="1:12" ht="13.15" customHeight="1" x14ac:dyDescent="0.2">
      <c r="A107" s="427" t="s">
        <v>78</v>
      </c>
      <c r="B107" s="429">
        <v>1999</v>
      </c>
      <c r="C107" s="1682">
        <v>116628</v>
      </c>
      <c r="D107" s="1623">
        <v>182515</v>
      </c>
      <c r="E107" s="1623"/>
      <c r="F107" s="1623">
        <v>4474</v>
      </c>
      <c r="G107" s="1623"/>
      <c r="H107" s="1623"/>
      <c r="I107" s="1623"/>
      <c r="J107" s="1624"/>
      <c r="K107" s="1623"/>
    </row>
    <row r="108" spans="1:12" ht="13.15" customHeight="1" thickBot="1" x14ac:dyDescent="0.25">
      <c r="A108" s="1455" t="s">
        <v>484</v>
      </c>
      <c r="B108" s="1457"/>
      <c r="C108" s="1683">
        <f>SUM(C95:C107)</f>
        <v>171130</v>
      </c>
      <c r="D108" s="1683">
        <f t="shared" ref="D108:K108" si="3">SUM(D95:D107)</f>
        <v>285579</v>
      </c>
      <c r="E108" s="1683">
        <f t="shared" si="3"/>
        <v>1088587</v>
      </c>
      <c r="F108" s="1683">
        <f t="shared" si="3"/>
        <v>4474</v>
      </c>
      <c r="G108" s="1683">
        <f t="shared" si="3"/>
        <v>0</v>
      </c>
      <c r="H108" s="1683">
        <f t="shared" si="3"/>
        <v>225633</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13550316</v>
      </c>
      <c r="D109" s="1691">
        <f t="shared" si="4"/>
        <v>2140399</v>
      </c>
      <c r="E109" s="1691">
        <f t="shared" si="4"/>
        <v>3123812</v>
      </c>
      <c r="F109" s="1691">
        <f t="shared" si="4"/>
        <v>1087442</v>
      </c>
      <c r="G109" s="1691">
        <f t="shared" si="4"/>
        <v>731931</v>
      </c>
      <c r="H109" s="1691">
        <f t="shared" si="4"/>
        <v>251936</v>
      </c>
      <c r="I109" s="1691">
        <f t="shared" si="4"/>
        <v>216606</v>
      </c>
      <c r="J109" s="1691">
        <f t="shared" si="4"/>
        <v>1247060</v>
      </c>
      <c r="K109" s="1679">
        <f t="shared" si="4"/>
        <v>196352</v>
      </c>
    </row>
    <row r="110" spans="1:12" ht="30" customHeight="1" thickTop="1" x14ac:dyDescent="0.2">
      <c r="A110" s="1368" t="s">
        <v>343</v>
      </c>
      <c r="B110" s="1369"/>
      <c r="C110" s="1653"/>
      <c r="D110" s="1653"/>
      <c r="E110" s="1653"/>
      <c r="F110" s="1653"/>
      <c r="G110" s="1653"/>
      <c r="H110" s="1653"/>
      <c r="I110" s="1653"/>
      <c r="J110" s="1653"/>
      <c r="K110" s="1665"/>
    </row>
    <row r="111" spans="1:12" ht="13.15" customHeight="1" x14ac:dyDescent="0.2">
      <c r="A111" s="436" t="s">
        <v>818</v>
      </c>
      <c r="B111" s="435">
        <v>2100</v>
      </c>
      <c r="C111" s="1663"/>
      <c r="D111" s="1636"/>
      <c r="E111" s="1690"/>
      <c r="F111" s="1636"/>
      <c r="G111" s="1636"/>
      <c r="H111" s="1690"/>
      <c r="I111" s="1625"/>
      <c r="J111" s="1625"/>
      <c r="K111" s="1625"/>
    </row>
    <row r="112" spans="1:12" ht="13.15" customHeight="1" x14ac:dyDescent="0.2">
      <c r="A112" s="427" t="s">
        <v>819</v>
      </c>
      <c r="B112" s="429">
        <v>2200</v>
      </c>
      <c r="C112" s="1682"/>
      <c r="D112" s="1623"/>
      <c r="E112" s="1690"/>
      <c r="F112" s="1623"/>
      <c r="G112" s="1623"/>
      <c r="H112" s="1690"/>
      <c r="I112" s="1625"/>
      <c r="J112" s="1625"/>
      <c r="K112" s="1625"/>
      <c r="L112" s="473"/>
    </row>
    <row r="113" spans="1:11" ht="13.1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3.15" customHeight="1" x14ac:dyDescent="0.2">
      <c r="A117" s="427" t="s">
        <v>1651</v>
      </c>
      <c r="B117" s="478">
        <v>3001</v>
      </c>
      <c r="C117" s="1663">
        <v>6059550</v>
      </c>
      <c r="D117" s="1636"/>
      <c r="E117" s="1623"/>
      <c r="F117" s="1636"/>
      <c r="G117" s="1636"/>
      <c r="H117" s="1623"/>
      <c r="I117" s="1625"/>
      <c r="J117" s="1624"/>
      <c r="K117" s="1623"/>
    </row>
    <row r="118" spans="1:11" ht="13.15" customHeight="1" x14ac:dyDescent="0.2">
      <c r="A118" s="427" t="s">
        <v>1776</v>
      </c>
      <c r="B118" s="478">
        <v>3002</v>
      </c>
      <c r="C118" s="1682"/>
      <c r="D118" s="1623"/>
      <c r="E118" s="1623"/>
      <c r="F118" s="1623"/>
      <c r="G118" s="1623"/>
      <c r="H118" s="1623"/>
      <c r="I118" s="1625"/>
      <c r="J118" s="1624"/>
      <c r="K118" s="1623"/>
    </row>
    <row r="119" spans="1:11" ht="13.15" customHeight="1" x14ac:dyDescent="0.2">
      <c r="A119" s="427" t="s">
        <v>1777</v>
      </c>
      <c r="B119" s="478">
        <v>3005</v>
      </c>
      <c r="C119" s="1682"/>
      <c r="D119" s="1623"/>
      <c r="E119" s="1623"/>
      <c r="F119" s="1623"/>
      <c r="G119" s="1623"/>
      <c r="H119" s="1623"/>
      <c r="I119" s="1625"/>
      <c r="J119" s="1624"/>
      <c r="K119" s="1623"/>
    </row>
    <row r="120" spans="1:11" ht="13.15" customHeight="1" x14ac:dyDescent="0.2">
      <c r="A120" s="1589" t="s">
        <v>1895</v>
      </c>
      <c r="B120" s="478">
        <v>3030</v>
      </c>
      <c r="C120" s="1682"/>
      <c r="D120" s="1623"/>
      <c r="E120" s="1623"/>
      <c r="F120" s="1623"/>
      <c r="G120" s="1623"/>
      <c r="H120" s="1623"/>
      <c r="I120" s="1625"/>
      <c r="J120" s="1624"/>
      <c r="K120" s="1623"/>
    </row>
    <row r="121" spans="1:11" x14ac:dyDescent="0.2">
      <c r="A121" s="1311" t="s">
        <v>1778</v>
      </c>
      <c r="B121" s="480">
        <v>3099</v>
      </c>
      <c r="C121" s="1682"/>
      <c r="D121" s="1623"/>
      <c r="E121" s="1623"/>
      <c r="F121" s="1623"/>
      <c r="G121" s="1623"/>
      <c r="H121" s="1623"/>
      <c r="I121" s="1625"/>
      <c r="J121" s="1624"/>
      <c r="K121" s="1623"/>
    </row>
    <row r="122" spans="1:11" ht="12.95" customHeight="1" thickBot="1" x14ac:dyDescent="0.25">
      <c r="A122" s="1455" t="s">
        <v>485</v>
      </c>
      <c r="B122" s="1462"/>
      <c r="C122" s="1683">
        <f t="shared" ref="C122:H122" si="5">SUM(C117:C121)</f>
        <v>6059550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3.15" customHeight="1" x14ac:dyDescent="0.2">
      <c r="A125" s="427" t="s">
        <v>861</v>
      </c>
      <c r="B125" s="481">
        <v>3100</v>
      </c>
      <c r="C125" s="1636">
        <v>198615</v>
      </c>
      <c r="D125" s="1690"/>
      <c r="E125" s="1625"/>
      <c r="F125" s="1681"/>
      <c r="G125" s="1625"/>
      <c r="H125" s="1625"/>
      <c r="I125" s="1625"/>
      <c r="J125" s="1625"/>
      <c r="K125" s="1625"/>
    </row>
    <row r="126" spans="1:11" ht="13.15" customHeight="1" x14ac:dyDescent="0.2">
      <c r="A126" s="427" t="s">
        <v>1432</v>
      </c>
      <c r="B126" s="478">
        <v>3105</v>
      </c>
      <c r="C126" s="1623"/>
      <c r="D126" s="1690"/>
      <c r="E126" s="1625"/>
      <c r="F126" s="1623"/>
      <c r="G126" s="1625"/>
      <c r="H126" s="1625"/>
      <c r="I126" s="1625"/>
      <c r="J126" s="1625"/>
      <c r="K126" s="1625"/>
    </row>
    <row r="127" spans="1:11" ht="13.15" customHeight="1" x14ac:dyDescent="0.2">
      <c r="A127" s="427" t="s">
        <v>862</v>
      </c>
      <c r="B127" s="478">
        <v>3110</v>
      </c>
      <c r="C127" s="1682"/>
      <c r="D127" s="1623"/>
      <c r="E127" s="1625"/>
      <c r="F127" s="1623"/>
      <c r="G127" s="1625"/>
      <c r="H127" s="1625"/>
      <c r="I127" s="1625"/>
      <c r="J127" s="1625"/>
      <c r="K127" s="1625"/>
    </row>
    <row r="128" spans="1:11" ht="13.15" customHeight="1" x14ac:dyDescent="0.2">
      <c r="A128" s="427" t="s">
        <v>105</v>
      </c>
      <c r="B128" s="478">
        <v>3120</v>
      </c>
      <c r="C128" s="1623"/>
      <c r="D128" s="1690"/>
      <c r="E128" s="1625"/>
      <c r="F128" s="1623"/>
      <c r="G128" s="1625"/>
      <c r="H128" s="1625"/>
      <c r="I128" s="1625"/>
      <c r="J128" s="1625"/>
      <c r="K128" s="1625"/>
    </row>
    <row r="129" spans="1:11" ht="13.15" customHeight="1" x14ac:dyDescent="0.2">
      <c r="A129" s="427" t="s">
        <v>1433</v>
      </c>
      <c r="B129" s="478">
        <v>3130</v>
      </c>
      <c r="C129" s="1623"/>
      <c r="D129" s="1690"/>
      <c r="E129" s="1625"/>
      <c r="F129" s="1623"/>
      <c r="G129" s="1625"/>
      <c r="H129" s="1625"/>
      <c r="I129" s="1625"/>
      <c r="J129" s="1625"/>
      <c r="K129" s="1625"/>
    </row>
    <row r="130" spans="1:11" ht="13.15" customHeight="1" x14ac:dyDescent="0.2">
      <c r="A130" s="427" t="s">
        <v>136</v>
      </c>
      <c r="B130" s="478">
        <v>3145</v>
      </c>
      <c r="C130" s="1623"/>
      <c r="D130" s="1690"/>
      <c r="E130" s="1625"/>
      <c r="F130" s="1623"/>
      <c r="G130" s="1625"/>
      <c r="H130" s="1625"/>
      <c r="I130" s="1625"/>
      <c r="J130" s="1625"/>
      <c r="K130" s="1625"/>
    </row>
    <row r="131" spans="1:11" ht="13.15" customHeight="1" x14ac:dyDescent="0.2">
      <c r="A131" s="427" t="s">
        <v>66</v>
      </c>
      <c r="B131" s="478">
        <v>3199</v>
      </c>
      <c r="C131" s="1682"/>
      <c r="D131" s="1624"/>
      <c r="E131" s="1625"/>
      <c r="F131" s="1623"/>
      <c r="G131" s="1625"/>
      <c r="H131" s="1625"/>
      <c r="I131" s="1625"/>
      <c r="J131" s="1625"/>
      <c r="K131" s="1625"/>
    </row>
    <row r="132" spans="1:11" ht="13.15" customHeight="1" thickBot="1" x14ac:dyDescent="0.25">
      <c r="A132" s="1455" t="s">
        <v>1025</v>
      </c>
      <c r="B132" s="1463"/>
      <c r="C132" s="1683">
        <f>SUM(C125:C131)</f>
        <v>198615</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3.15" customHeight="1" x14ac:dyDescent="0.2">
      <c r="A135" s="427" t="s">
        <v>664</v>
      </c>
      <c r="B135" s="478">
        <v>3220</v>
      </c>
      <c r="C135" s="1682"/>
      <c r="D135" s="1623"/>
      <c r="E135" s="1690"/>
      <c r="F135" s="1625"/>
      <c r="G135" s="1624"/>
      <c r="H135" s="1625"/>
      <c r="I135" s="1625"/>
      <c r="J135" s="1625"/>
      <c r="K135" s="1625"/>
    </row>
    <row r="136" spans="1:11" ht="13.15" customHeight="1" x14ac:dyDescent="0.2">
      <c r="A136" s="427" t="s">
        <v>247</v>
      </c>
      <c r="B136" s="478">
        <v>3225</v>
      </c>
      <c r="C136" s="1682"/>
      <c r="D136" s="1623"/>
      <c r="E136" s="1690"/>
      <c r="F136" s="1625"/>
      <c r="G136" s="1624"/>
      <c r="H136" s="1625"/>
      <c r="I136" s="1625"/>
      <c r="J136" s="1625"/>
      <c r="K136" s="1625"/>
    </row>
    <row r="137" spans="1:11" ht="13.15" customHeight="1" x14ac:dyDescent="0.2">
      <c r="A137" s="427" t="s">
        <v>596</v>
      </c>
      <c r="B137" s="478">
        <v>3235</v>
      </c>
      <c r="C137" s="1648"/>
      <c r="D137" s="1624"/>
      <c r="E137" s="1690"/>
      <c r="F137" s="1625"/>
      <c r="G137" s="1624"/>
      <c r="H137" s="1625"/>
      <c r="I137" s="1625"/>
      <c r="J137" s="1625"/>
      <c r="K137" s="1625"/>
    </row>
    <row r="138" spans="1:11" ht="13.15" customHeight="1" x14ac:dyDescent="0.2">
      <c r="A138" s="427" t="s">
        <v>597</v>
      </c>
      <c r="B138" s="478">
        <v>3240</v>
      </c>
      <c r="C138" s="1648"/>
      <c r="D138" s="1624"/>
      <c r="E138" s="1690"/>
      <c r="F138" s="1625"/>
      <c r="G138" s="1624"/>
      <c r="H138" s="1625"/>
      <c r="I138" s="1625"/>
      <c r="J138" s="1625"/>
      <c r="K138" s="1625"/>
    </row>
    <row r="139" spans="1:11" ht="13.15" customHeight="1" x14ac:dyDescent="0.2">
      <c r="A139" s="427" t="s">
        <v>598</v>
      </c>
      <c r="B139" s="478">
        <v>3270</v>
      </c>
      <c r="C139" s="1648"/>
      <c r="D139" s="1624"/>
      <c r="E139" s="1690"/>
      <c r="F139" s="1625"/>
      <c r="G139" s="1624"/>
      <c r="H139" s="1625"/>
      <c r="I139" s="1625"/>
      <c r="J139" s="1625"/>
      <c r="K139" s="1625"/>
    </row>
    <row r="140" spans="1:11" ht="13.15" customHeight="1" x14ac:dyDescent="0.2">
      <c r="A140" s="427" t="s">
        <v>67</v>
      </c>
      <c r="B140" s="478">
        <v>3299</v>
      </c>
      <c r="C140" s="1682"/>
      <c r="D140" s="1623"/>
      <c r="E140" s="1690"/>
      <c r="F140" s="1632"/>
      <c r="G140" s="1624"/>
      <c r="H140" s="1625"/>
      <c r="I140" s="1625"/>
      <c r="J140" s="1625"/>
      <c r="K140" s="1625"/>
    </row>
    <row r="141" spans="1:11" ht="13.1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3.15" customHeight="1" x14ac:dyDescent="0.2">
      <c r="A143" s="427" t="s">
        <v>600</v>
      </c>
      <c r="B143" s="478">
        <v>3305</v>
      </c>
      <c r="C143" s="1623"/>
      <c r="D143" s="1625"/>
      <c r="E143" s="1690"/>
      <c r="F143" s="1625"/>
      <c r="G143" s="1623"/>
      <c r="H143" s="1625"/>
      <c r="I143" s="1625"/>
      <c r="J143" s="1625"/>
      <c r="K143" s="1625"/>
    </row>
    <row r="144" spans="1:11" ht="13.1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3.15" customHeight="1" thickTop="1" x14ac:dyDescent="0.2">
      <c r="A146" s="1313" t="s">
        <v>1049</v>
      </c>
      <c r="B146" s="482">
        <v>3360</v>
      </c>
      <c r="C146" s="1696">
        <v>9961</v>
      </c>
      <c r="D146" s="1697"/>
      <c r="E146" s="1659"/>
      <c r="F146" s="1625"/>
      <c r="G146" s="1698"/>
      <c r="H146" s="1625"/>
      <c r="I146" s="1625"/>
      <c r="J146" s="1625"/>
      <c r="K146" s="1625"/>
    </row>
    <row r="147" spans="1:11" ht="13.15" customHeight="1" thickBot="1" x14ac:dyDescent="0.25">
      <c r="A147" s="1314" t="s">
        <v>916</v>
      </c>
      <c r="B147" s="483">
        <v>3365</v>
      </c>
      <c r="C147" s="1699"/>
      <c r="D147" s="1678"/>
      <c r="E147" s="1690"/>
      <c r="F147" s="1625"/>
      <c r="G147" s="1678"/>
      <c r="H147" s="1625"/>
      <c r="I147" s="1625"/>
      <c r="J147" s="1625"/>
      <c r="K147" s="1625"/>
    </row>
    <row r="148" spans="1:11" ht="13.15" customHeight="1" thickTop="1" thickBot="1" x14ac:dyDescent="0.25">
      <c r="A148" s="1315" t="s">
        <v>137</v>
      </c>
      <c r="B148" s="484">
        <v>3370</v>
      </c>
      <c r="C148" s="1699">
        <v>26199</v>
      </c>
      <c r="D148" s="1699"/>
      <c r="E148" s="1659"/>
      <c r="F148" s="1625"/>
      <c r="G148" s="1625"/>
      <c r="H148" s="1625"/>
      <c r="I148" s="1625"/>
      <c r="J148" s="1625"/>
      <c r="K148" s="1625"/>
    </row>
    <row r="149" spans="1:11" ht="13.15" customHeight="1" thickTop="1" thickBot="1" x14ac:dyDescent="0.25">
      <c r="A149" s="1315" t="s">
        <v>762</v>
      </c>
      <c r="B149" s="484">
        <v>3410</v>
      </c>
      <c r="C149" s="1700"/>
      <c r="D149" s="1701"/>
      <c r="E149" s="1702"/>
      <c r="F149" s="1676"/>
      <c r="G149" s="1676"/>
      <c r="H149" s="1676"/>
      <c r="I149" s="1676"/>
      <c r="J149" s="1676"/>
      <c r="K149" s="1676"/>
    </row>
    <row r="150" spans="1:11" ht="13.1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3.15" customHeight="1" x14ac:dyDescent="0.2">
      <c r="A152" s="427" t="s">
        <v>1434</v>
      </c>
      <c r="B152" s="478">
        <v>3500</v>
      </c>
      <c r="C152" s="1682"/>
      <c r="D152" s="1623"/>
      <c r="E152" s="1690"/>
      <c r="F152" s="1623">
        <v>500689</v>
      </c>
      <c r="G152" s="1624"/>
      <c r="H152" s="1625"/>
      <c r="I152" s="1625"/>
      <c r="J152" s="1625"/>
      <c r="K152" s="1625"/>
    </row>
    <row r="153" spans="1:11" ht="13.15" customHeight="1" x14ac:dyDescent="0.2">
      <c r="A153" s="427" t="s">
        <v>1050</v>
      </c>
      <c r="B153" s="478">
        <v>3510</v>
      </c>
      <c r="C153" s="1682"/>
      <c r="D153" s="1623"/>
      <c r="E153" s="1690"/>
      <c r="F153" s="1623">
        <v>911124</v>
      </c>
      <c r="G153" s="1624"/>
      <c r="H153" s="1625"/>
      <c r="I153" s="1625"/>
      <c r="J153" s="1625"/>
      <c r="K153" s="1625"/>
    </row>
    <row r="154" spans="1:11" ht="13.15" customHeight="1" x14ac:dyDescent="0.2">
      <c r="A154" s="427" t="s">
        <v>69</v>
      </c>
      <c r="B154" s="478">
        <v>3599</v>
      </c>
      <c r="C154" s="1682"/>
      <c r="D154" s="1623"/>
      <c r="E154" s="1690"/>
      <c r="F154" s="1623"/>
      <c r="G154" s="1624"/>
      <c r="H154" s="1625"/>
      <c r="I154" s="1625"/>
      <c r="J154" s="1625"/>
      <c r="K154" s="1625"/>
    </row>
    <row r="155" spans="1:11" ht="13.15" customHeight="1" thickBot="1" x14ac:dyDescent="0.25">
      <c r="A155" s="1455" t="s">
        <v>94</v>
      </c>
      <c r="B155" s="1463"/>
      <c r="C155" s="1683">
        <f>SUM(C152:C154)</f>
        <v>0</v>
      </c>
      <c r="D155" s="1683">
        <f>SUM(D152:D154)</f>
        <v>0</v>
      </c>
      <c r="E155" s="1690"/>
      <c r="F155" s="1683">
        <f>SUM(F152:F154)</f>
        <v>1411813</v>
      </c>
      <c r="G155" s="1683">
        <f>SUM(G152:G154)</f>
        <v>0</v>
      </c>
      <c r="H155" s="1625"/>
      <c r="I155" s="1625"/>
      <c r="J155" s="1625"/>
      <c r="K155" s="1625"/>
    </row>
    <row r="156" spans="1:11" ht="13.15" customHeight="1" thickTop="1" thickBot="1" x14ac:dyDescent="0.25">
      <c r="A156" s="1315" t="s">
        <v>377</v>
      </c>
      <c r="B156" s="484">
        <v>3610</v>
      </c>
      <c r="C156" s="1701"/>
      <c r="D156" s="1625"/>
      <c r="E156" s="1659"/>
      <c r="F156" s="1625"/>
      <c r="G156" s="1625"/>
      <c r="H156" s="1625"/>
      <c r="I156" s="1625"/>
      <c r="J156" s="1625"/>
      <c r="K156" s="1625"/>
    </row>
    <row r="157" spans="1:11" ht="13.15" customHeight="1" thickTop="1" thickBot="1" x14ac:dyDescent="0.25">
      <c r="A157" s="1315" t="s">
        <v>50</v>
      </c>
      <c r="B157" s="484">
        <v>3660</v>
      </c>
      <c r="C157" s="1699"/>
      <c r="D157" s="1703"/>
      <c r="E157" s="1690"/>
      <c r="F157" s="1703"/>
      <c r="G157" s="1703"/>
      <c r="H157" s="1625"/>
      <c r="I157" s="1625"/>
      <c r="J157" s="1625"/>
      <c r="K157" s="1625"/>
    </row>
    <row r="158" spans="1:11" ht="13.15" customHeight="1" thickTop="1" thickBot="1" x14ac:dyDescent="0.25">
      <c r="A158" s="1315" t="s">
        <v>993</v>
      </c>
      <c r="B158" s="484">
        <v>3695</v>
      </c>
      <c r="C158" s="1701"/>
      <c r="D158" s="1625"/>
      <c r="E158" s="1690"/>
      <c r="F158" s="1701"/>
      <c r="G158" s="1701"/>
      <c r="H158" s="1625"/>
      <c r="I158" s="1625"/>
      <c r="J158" s="1625"/>
      <c r="K158" s="1625"/>
    </row>
    <row r="159" spans="1:11" ht="13.15" customHeight="1" thickTop="1" thickBot="1" x14ac:dyDescent="0.25">
      <c r="A159" s="1315" t="s">
        <v>1044</v>
      </c>
      <c r="B159" s="484">
        <v>3705</v>
      </c>
      <c r="C159" s="1701">
        <v>275317</v>
      </c>
      <c r="D159" s="1703"/>
      <c r="E159" s="1690"/>
      <c r="F159" s="1701"/>
      <c r="G159" s="1701"/>
      <c r="H159" s="1625"/>
      <c r="I159" s="1625"/>
      <c r="J159" s="1625"/>
      <c r="K159" s="1625"/>
    </row>
    <row r="160" spans="1:11" ht="13.15" customHeight="1" thickTop="1" thickBot="1" x14ac:dyDescent="0.25">
      <c r="A160" s="1315" t="s">
        <v>39</v>
      </c>
      <c r="B160" s="484">
        <v>3766</v>
      </c>
      <c r="C160" s="1701"/>
      <c r="D160" s="1703"/>
      <c r="E160" s="1690"/>
      <c r="F160" s="1701"/>
      <c r="G160" s="1677"/>
      <c r="H160" s="1625"/>
      <c r="I160" s="1625"/>
      <c r="J160" s="1625"/>
      <c r="K160" s="1625"/>
    </row>
    <row r="161" spans="1:11" ht="13.15" customHeight="1" thickTop="1" thickBot="1" x14ac:dyDescent="0.25">
      <c r="A161" s="1315" t="s">
        <v>978</v>
      </c>
      <c r="B161" s="484">
        <v>3767</v>
      </c>
      <c r="C161" s="1701"/>
      <c r="D161" s="1677"/>
      <c r="E161" s="1690"/>
      <c r="F161" s="1677"/>
      <c r="G161" s="1677"/>
      <c r="H161" s="1625"/>
      <c r="I161" s="1625"/>
      <c r="J161" s="1625"/>
      <c r="K161" s="1625"/>
    </row>
    <row r="162" spans="1:11" ht="13.15" customHeight="1" thickTop="1" thickBot="1" x14ac:dyDescent="0.25">
      <c r="A162" s="1315" t="s">
        <v>979</v>
      </c>
      <c r="B162" s="484">
        <v>3775</v>
      </c>
      <c r="C162" s="1701"/>
      <c r="D162" s="1699"/>
      <c r="E162" s="1676"/>
      <c r="F162" s="1699"/>
      <c r="G162" s="1678"/>
      <c r="H162" s="1676"/>
      <c r="I162" s="1625"/>
      <c r="J162" s="1625"/>
      <c r="K162" s="1676"/>
    </row>
    <row r="163" spans="1:11" ht="13.15" customHeight="1" thickTop="1" thickBot="1" x14ac:dyDescent="0.25">
      <c r="A163" s="1315" t="s">
        <v>1435</v>
      </c>
      <c r="B163" s="484">
        <v>3780</v>
      </c>
      <c r="C163" s="1677"/>
      <c r="D163" s="1676"/>
      <c r="E163" s="1677"/>
      <c r="F163" s="1677"/>
      <c r="G163" s="1677"/>
      <c r="H163" s="1677"/>
      <c r="I163" s="1625"/>
      <c r="J163" s="1625"/>
      <c r="K163" s="1677"/>
    </row>
    <row r="164" spans="1:11" ht="13.15" customHeight="1" thickTop="1" thickBot="1" x14ac:dyDescent="0.25">
      <c r="A164" s="1315" t="s">
        <v>853</v>
      </c>
      <c r="B164" s="484">
        <v>3815</v>
      </c>
      <c r="C164" s="1701"/>
      <c r="D164" s="1625"/>
      <c r="E164" s="1690"/>
      <c r="F164" s="1701"/>
      <c r="G164" s="1625"/>
      <c r="H164" s="1625"/>
      <c r="I164" s="1625"/>
      <c r="J164" s="1625"/>
      <c r="K164" s="1625"/>
    </row>
    <row r="165" spans="1:11" ht="13.15" customHeight="1" thickTop="1" thickBot="1" x14ac:dyDescent="0.25">
      <c r="A165" s="1315" t="s">
        <v>394</v>
      </c>
      <c r="B165" s="484">
        <v>3825</v>
      </c>
      <c r="C165" s="1701"/>
      <c r="D165" s="1625"/>
      <c r="E165" s="1690"/>
      <c r="F165" s="1701"/>
      <c r="G165" s="1625"/>
      <c r="H165" s="1625"/>
      <c r="I165" s="1625"/>
      <c r="J165" s="1625"/>
      <c r="K165" s="1625"/>
    </row>
    <row r="166" spans="1:11" ht="13.15" customHeight="1" thickTop="1" thickBot="1" x14ac:dyDescent="0.25">
      <c r="A166" s="1315" t="s">
        <v>345</v>
      </c>
      <c r="B166" s="484">
        <v>3920</v>
      </c>
      <c r="C166" s="1695"/>
      <c r="D166" s="1703"/>
      <c r="E166" s="1625"/>
      <c r="F166" s="1695"/>
      <c r="G166" s="1625"/>
      <c r="H166" s="1676"/>
      <c r="I166" s="1625"/>
      <c r="J166" s="1625"/>
      <c r="K166" s="1625"/>
    </row>
    <row r="167" spans="1:11" ht="13.1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v>50000</v>
      </c>
    </row>
    <row r="169" spans="1:11" ht="13.15" customHeight="1" thickTop="1" thickBot="1" x14ac:dyDescent="0.25">
      <c r="A169" s="2228" t="s">
        <v>395</v>
      </c>
      <c r="B169" s="2229"/>
      <c r="C169" s="1708">
        <f t="shared" ref="C169:K169" si="6">SUM(C132,C141,C145,C146:C150,C155,C156:C167,C168)</f>
        <v>510092</v>
      </c>
      <c r="D169" s="1708">
        <f t="shared" si="6"/>
        <v>0</v>
      </c>
      <c r="E169" s="1708">
        <f t="shared" si="6"/>
        <v>0</v>
      </c>
      <c r="F169" s="1708">
        <f t="shared" si="6"/>
        <v>1411813</v>
      </c>
      <c r="G169" s="1708">
        <f t="shared" si="6"/>
        <v>0</v>
      </c>
      <c r="H169" s="1708">
        <f t="shared" si="6"/>
        <v>0</v>
      </c>
      <c r="I169" s="1708">
        <f t="shared" si="6"/>
        <v>0</v>
      </c>
      <c r="J169" s="1708">
        <f t="shared" si="6"/>
        <v>0</v>
      </c>
      <c r="K169" s="1674">
        <f t="shared" si="6"/>
        <v>50000</v>
      </c>
    </row>
    <row r="170" spans="1:11" ht="13.15" customHeight="1" thickTop="1" thickBot="1" x14ac:dyDescent="0.25">
      <c r="A170" s="1455" t="s">
        <v>396</v>
      </c>
      <c r="B170" s="1459" t="s">
        <v>571</v>
      </c>
      <c r="C170" s="1691">
        <f t="shared" ref="C170:K170" si="7">SUM(C122,C169)</f>
        <v>6569642</v>
      </c>
      <c r="D170" s="1691">
        <f t="shared" si="7"/>
        <v>0</v>
      </c>
      <c r="E170" s="1691">
        <f t="shared" si="7"/>
        <v>0</v>
      </c>
      <c r="F170" s="1691">
        <f t="shared" si="7"/>
        <v>1411813</v>
      </c>
      <c r="G170" s="1691">
        <f t="shared" si="7"/>
        <v>0</v>
      </c>
      <c r="H170" s="1691">
        <f t="shared" si="7"/>
        <v>0</v>
      </c>
      <c r="I170" s="1691">
        <f t="shared" si="7"/>
        <v>0</v>
      </c>
      <c r="J170" s="1691">
        <f t="shared" si="7"/>
        <v>0</v>
      </c>
      <c r="K170" s="1679">
        <f t="shared" si="7"/>
        <v>50000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30" t="s">
        <v>1478</v>
      </c>
      <c r="B172" s="2231"/>
      <c r="C172" s="1666"/>
      <c r="D172" s="1666"/>
      <c r="E172" s="1659"/>
      <c r="F172" s="1625"/>
      <c r="G172" s="1625"/>
      <c r="H172" s="1625"/>
      <c r="I172" s="1625"/>
      <c r="J172" s="1625"/>
      <c r="K172" s="1625"/>
    </row>
    <row r="173" spans="1:11" ht="12.95"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34" t="s">
        <v>1649</v>
      </c>
      <c r="B175" s="223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38" t="s">
        <v>1648</v>
      </c>
      <c r="B176" s="2239"/>
      <c r="C176" s="1709"/>
      <c r="D176" s="1710"/>
      <c r="E176" s="1711"/>
      <c r="F176" s="1712"/>
      <c r="G176" s="1712"/>
      <c r="H176" s="1712"/>
      <c r="I176" s="1712"/>
      <c r="J176" s="1712"/>
      <c r="K176" s="1712"/>
    </row>
    <row r="177" spans="1:11" ht="13.15" customHeight="1" x14ac:dyDescent="0.2">
      <c r="A177" s="427" t="s">
        <v>1038</v>
      </c>
      <c r="B177" s="429">
        <v>4045</v>
      </c>
      <c r="C177" s="1682"/>
      <c r="D177" s="1625"/>
      <c r="E177" s="1690"/>
      <c r="F177" s="1625"/>
      <c r="G177" s="1625"/>
      <c r="H177" s="1625"/>
      <c r="I177" s="1625"/>
      <c r="J177" s="1625"/>
      <c r="K177" s="1625"/>
    </row>
    <row r="178" spans="1:11" ht="13.15" customHeight="1" x14ac:dyDescent="0.2">
      <c r="A178" s="427" t="s">
        <v>1039</v>
      </c>
      <c r="B178" s="429">
        <v>4050</v>
      </c>
      <c r="C178" s="1682"/>
      <c r="D178" s="1624"/>
      <c r="E178" s="1690"/>
      <c r="F178" s="1625"/>
      <c r="G178" s="1625"/>
      <c r="H178" s="1624"/>
      <c r="I178" s="1625"/>
      <c r="J178" s="1625"/>
      <c r="K178" s="1625"/>
    </row>
    <row r="179" spans="1:11" ht="13.1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36" t="s">
        <v>780</v>
      </c>
      <c r="B181" s="223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32" t="s">
        <v>1780</v>
      </c>
      <c r="B182" s="223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3.15" customHeight="1" x14ac:dyDescent="0.2">
      <c r="A184" s="427" t="s">
        <v>1589</v>
      </c>
      <c r="B184" s="429">
        <v>4100</v>
      </c>
      <c r="C184" s="1663"/>
      <c r="D184" s="1636"/>
      <c r="E184" s="1690"/>
      <c r="F184" s="1636"/>
      <c r="G184" s="1636"/>
      <c r="H184" s="1625"/>
      <c r="I184" s="1625"/>
      <c r="J184" s="1625"/>
      <c r="K184" s="1625"/>
    </row>
    <row r="185" spans="1:11" ht="13.15" customHeight="1" x14ac:dyDescent="0.2">
      <c r="A185" s="427" t="s">
        <v>1590</v>
      </c>
      <c r="B185" s="429">
        <v>4105</v>
      </c>
      <c r="C185" s="1682"/>
      <c r="D185" s="1623"/>
      <c r="E185" s="1690"/>
      <c r="F185" s="1623"/>
      <c r="G185" s="1623"/>
      <c r="H185" s="1625"/>
      <c r="I185" s="1625"/>
      <c r="J185" s="1625"/>
      <c r="K185" s="1625"/>
    </row>
    <row r="186" spans="1:11" ht="13.15" customHeight="1" x14ac:dyDescent="0.2">
      <c r="A186" s="427" t="s">
        <v>1592</v>
      </c>
      <c r="B186" s="429">
        <v>4107</v>
      </c>
      <c r="C186" s="1682"/>
      <c r="D186" s="1623"/>
      <c r="E186" s="1690"/>
      <c r="F186" s="1623"/>
      <c r="G186" s="1623"/>
      <c r="H186" s="1625"/>
      <c r="I186" s="1625"/>
      <c r="J186" s="1625"/>
      <c r="K186" s="1625"/>
    </row>
    <row r="187" spans="1:11" ht="13.15" customHeight="1" x14ac:dyDescent="0.2">
      <c r="A187" s="427" t="s">
        <v>1591</v>
      </c>
      <c r="B187" s="429">
        <v>4199</v>
      </c>
      <c r="C187" s="1682"/>
      <c r="D187" s="1623"/>
      <c r="E187" s="1690"/>
      <c r="F187" s="1623"/>
      <c r="G187" s="1623"/>
      <c r="H187" s="1625"/>
      <c r="I187" s="1625"/>
      <c r="J187" s="1625"/>
      <c r="K187" s="1625"/>
    </row>
    <row r="188" spans="1:11" ht="13.1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3.15" customHeight="1" x14ac:dyDescent="0.2">
      <c r="A191" s="427" t="s">
        <v>1051</v>
      </c>
      <c r="B191" s="429">
        <v>4210</v>
      </c>
      <c r="C191" s="1623">
        <v>373840</v>
      </c>
      <c r="D191" s="1625"/>
      <c r="E191" s="1690"/>
      <c r="F191" s="1625"/>
      <c r="G191" s="1714"/>
      <c r="H191" s="1625"/>
      <c r="I191" s="1625"/>
      <c r="J191" s="1625"/>
      <c r="K191" s="1625"/>
    </row>
    <row r="192" spans="1:11" ht="13.15" customHeight="1" x14ac:dyDescent="0.2">
      <c r="A192" s="427" t="s">
        <v>1040</v>
      </c>
      <c r="B192" s="429">
        <v>4215</v>
      </c>
      <c r="C192" s="1682"/>
      <c r="D192" s="1625"/>
      <c r="E192" s="1690"/>
      <c r="F192" s="1625"/>
      <c r="G192" s="1714"/>
      <c r="H192" s="1625"/>
      <c r="I192" s="1625"/>
      <c r="J192" s="1625"/>
      <c r="K192" s="1625"/>
    </row>
    <row r="193" spans="1:11" ht="13.15" customHeight="1" x14ac:dyDescent="0.2">
      <c r="A193" s="427" t="s">
        <v>1052</v>
      </c>
      <c r="B193" s="429">
        <v>4220</v>
      </c>
      <c r="C193" s="1682">
        <v>112947</v>
      </c>
      <c r="D193" s="1625"/>
      <c r="E193" s="1690"/>
      <c r="F193" s="1625"/>
      <c r="G193" s="1714"/>
      <c r="H193" s="1625"/>
      <c r="I193" s="1625"/>
      <c r="J193" s="1625"/>
      <c r="K193" s="1625"/>
    </row>
    <row r="194" spans="1:11" ht="13.15" customHeight="1" x14ac:dyDescent="0.2">
      <c r="A194" s="427" t="s">
        <v>1437</v>
      </c>
      <c r="B194" s="429">
        <v>4225</v>
      </c>
      <c r="C194" s="1682">
        <v>108311</v>
      </c>
      <c r="D194" s="1625"/>
      <c r="E194" s="1690"/>
      <c r="F194" s="1625"/>
      <c r="G194" s="1714"/>
      <c r="H194" s="1625"/>
      <c r="I194" s="1625"/>
      <c r="J194" s="1625"/>
      <c r="K194" s="1625"/>
    </row>
    <row r="195" spans="1:11" ht="13.15" customHeight="1" x14ac:dyDescent="0.2">
      <c r="A195" s="427" t="s">
        <v>1438</v>
      </c>
      <c r="B195" s="429">
        <v>4226</v>
      </c>
      <c r="C195" s="1682"/>
      <c r="D195" s="1625"/>
      <c r="E195" s="1690"/>
      <c r="F195" s="1625"/>
      <c r="G195" s="1714"/>
      <c r="H195" s="1625"/>
      <c r="I195" s="1625"/>
      <c r="J195" s="1625"/>
      <c r="K195" s="1625"/>
    </row>
    <row r="196" spans="1:11" ht="13.15" customHeight="1" x14ac:dyDescent="0.2">
      <c r="A196" s="427" t="s">
        <v>787</v>
      </c>
      <c r="B196" s="429">
        <v>4240</v>
      </c>
      <c r="C196" s="1648"/>
      <c r="D196" s="1625"/>
      <c r="E196" s="1690"/>
      <c r="F196" s="1625"/>
      <c r="G196" s="1715"/>
      <c r="H196" s="1625"/>
      <c r="I196" s="1625"/>
      <c r="J196" s="1625"/>
      <c r="K196" s="1625"/>
    </row>
    <row r="197" spans="1:11" ht="13.15" customHeight="1" x14ac:dyDescent="0.2">
      <c r="A197" s="427" t="s">
        <v>71</v>
      </c>
      <c r="B197" s="429">
        <v>4299</v>
      </c>
      <c r="C197" s="1682"/>
      <c r="D197" s="1625"/>
      <c r="E197" s="1690"/>
      <c r="F197" s="1625"/>
      <c r="G197" s="1714"/>
      <c r="H197" s="1625"/>
      <c r="I197" s="1625"/>
      <c r="J197" s="1625"/>
      <c r="K197" s="1625"/>
    </row>
    <row r="198" spans="1:11" ht="13.15" customHeight="1" thickBot="1" x14ac:dyDescent="0.25">
      <c r="A198" s="1455" t="s">
        <v>544</v>
      </c>
      <c r="B198" s="1456"/>
      <c r="C198" s="1644">
        <f>SUM(C190:C197)</f>
        <v>595098</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3.15" customHeight="1" x14ac:dyDescent="0.2">
      <c r="A200" s="427" t="s">
        <v>912</v>
      </c>
      <c r="B200" s="429">
        <v>4300</v>
      </c>
      <c r="C200" s="1623">
        <v>773408</v>
      </c>
      <c r="D200" s="1623"/>
      <c r="E200" s="1625"/>
      <c r="F200" s="1623"/>
      <c r="G200" s="1623"/>
      <c r="H200" s="1625"/>
      <c r="I200" s="1625"/>
      <c r="J200" s="1625"/>
      <c r="K200" s="1625"/>
    </row>
    <row r="201" spans="1:11" ht="13.15" customHeight="1" x14ac:dyDescent="0.2">
      <c r="A201" s="427" t="s">
        <v>913</v>
      </c>
      <c r="B201" s="429">
        <v>4305</v>
      </c>
      <c r="C201" s="1682"/>
      <c r="D201" s="1623"/>
      <c r="E201" s="1625"/>
      <c r="F201" s="1623"/>
      <c r="G201" s="1623"/>
      <c r="H201" s="1625"/>
      <c r="I201" s="1625"/>
      <c r="J201" s="1625"/>
      <c r="K201" s="1625"/>
    </row>
    <row r="202" spans="1:11" ht="13.15" customHeight="1" x14ac:dyDescent="0.2">
      <c r="A202" s="427" t="s">
        <v>1024</v>
      </c>
      <c r="B202" s="429">
        <v>4340</v>
      </c>
      <c r="C202" s="1682"/>
      <c r="D202" s="1623"/>
      <c r="E202" s="1625"/>
      <c r="F202" s="1623"/>
      <c r="G202" s="1623"/>
      <c r="H202" s="1625"/>
      <c r="I202" s="1625"/>
      <c r="J202" s="1625"/>
      <c r="K202" s="1625"/>
    </row>
    <row r="203" spans="1:11" ht="13.15" customHeight="1" x14ac:dyDescent="0.2">
      <c r="A203" s="427" t="s">
        <v>72</v>
      </c>
      <c r="B203" s="429">
        <v>4399</v>
      </c>
      <c r="C203" s="1682">
        <v>111295</v>
      </c>
      <c r="D203" s="1623"/>
      <c r="E203" s="1625"/>
      <c r="F203" s="1623"/>
      <c r="G203" s="1623"/>
      <c r="H203" s="1625"/>
      <c r="I203" s="1625"/>
      <c r="J203" s="1625"/>
      <c r="K203" s="1625"/>
    </row>
    <row r="204" spans="1:11" ht="13.15" customHeight="1" thickBot="1" x14ac:dyDescent="0.25">
      <c r="A204" s="1455" t="s">
        <v>397</v>
      </c>
      <c r="B204" s="1456"/>
      <c r="C204" s="1683">
        <f>SUM(C200:C203)</f>
        <v>884703</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3.15" customHeight="1" x14ac:dyDescent="0.2">
      <c r="A206" s="427" t="s">
        <v>754</v>
      </c>
      <c r="B206" s="429">
        <v>4400</v>
      </c>
      <c r="C206" s="1682">
        <v>35774</v>
      </c>
      <c r="D206" s="1623"/>
      <c r="E206" s="1625"/>
      <c r="F206" s="1623"/>
      <c r="G206" s="1623"/>
      <c r="H206" s="1625"/>
      <c r="I206" s="1625"/>
      <c r="J206" s="1625"/>
      <c r="K206" s="1625"/>
    </row>
    <row r="207" spans="1:11" ht="13.15" customHeight="1" x14ac:dyDescent="0.2">
      <c r="A207" s="427" t="s">
        <v>1439</v>
      </c>
      <c r="B207" s="429">
        <v>4421</v>
      </c>
      <c r="C207" s="1682"/>
      <c r="D207" s="1623"/>
      <c r="E207" s="1625"/>
      <c r="F207" s="1623"/>
      <c r="G207" s="1623"/>
      <c r="H207" s="1625"/>
      <c r="I207" s="1625"/>
      <c r="J207" s="1625"/>
      <c r="K207" s="1625"/>
    </row>
    <row r="208" spans="1:11" ht="13.15" customHeight="1" x14ac:dyDescent="0.2">
      <c r="A208" s="427" t="s">
        <v>73</v>
      </c>
      <c r="B208" s="429">
        <v>4499</v>
      </c>
      <c r="C208" s="1682"/>
      <c r="D208" s="1623"/>
      <c r="E208" s="1625"/>
      <c r="F208" s="1623"/>
      <c r="G208" s="1623"/>
      <c r="H208" s="1625"/>
      <c r="I208" s="1625"/>
      <c r="J208" s="1625"/>
      <c r="K208" s="1625"/>
    </row>
    <row r="209" spans="1:11" ht="13.15" customHeight="1" thickBot="1" x14ac:dyDescent="0.25">
      <c r="A209" s="1455" t="s">
        <v>883</v>
      </c>
      <c r="B209" s="1456"/>
      <c r="C209" s="1683">
        <f>SUM(C206:C208)</f>
        <v>35774</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3.15" customHeight="1" x14ac:dyDescent="0.2">
      <c r="A211" s="427" t="s">
        <v>1045</v>
      </c>
      <c r="B211" s="429">
        <v>4600</v>
      </c>
      <c r="C211" s="1682"/>
      <c r="D211" s="1623"/>
      <c r="E211" s="1625"/>
      <c r="F211" s="1623"/>
      <c r="G211" s="1623"/>
      <c r="H211" s="1625"/>
      <c r="I211" s="1625"/>
      <c r="J211" s="1625"/>
      <c r="K211" s="1625"/>
    </row>
    <row r="212" spans="1:11" ht="13.15" customHeight="1" x14ac:dyDescent="0.2">
      <c r="A212" s="427" t="s">
        <v>1046</v>
      </c>
      <c r="B212" s="429">
        <v>4605</v>
      </c>
      <c r="C212" s="1682"/>
      <c r="D212" s="1623"/>
      <c r="E212" s="1625"/>
      <c r="F212" s="1623"/>
      <c r="G212" s="1623"/>
      <c r="H212" s="1625"/>
      <c r="I212" s="1625"/>
      <c r="J212" s="1625"/>
      <c r="K212" s="1625"/>
    </row>
    <row r="213" spans="1:11" ht="13.15" customHeight="1" x14ac:dyDescent="0.2">
      <c r="A213" s="427" t="s">
        <v>1440</v>
      </c>
      <c r="B213" s="475">
        <v>4620</v>
      </c>
      <c r="C213" s="1682"/>
      <c r="D213" s="1623"/>
      <c r="E213" s="1625"/>
      <c r="F213" s="1623"/>
      <c r="G213" s="1623"/>
      <c r="H213" s="1625"/>
      <c r="I213" s="1625"/>
      <c r="J213" s="1625"/>
      <c r="K213" s="1625"/>
    </row>
    <row r="214" spans="1:11" ht="13.15" customHeight="1" x14ac:dyDescent="0.2">
      <c r="A214" s="427" t="s">
        <v>1047</v>
      </c>
      <c r="B214" s="429">
        <v>4625</v>
      </c>
      <c r="C214" s="1682">
        <v>801</v>
      </c>
      <c r="D214" s="1623"/>
      <c r="E214" s="1625"/>
      <c r="F214" s="1623"/>
      <c r="G214" s="1623"/>
      <c r="H214" s="1625"/>
      <c r="I214" s="1625"/>
      <c r="J214" s="1625"/>
      <c r="K214" s="1625"/>
    </row>
    <row r="215" spans="1:11" ht="13.15" customHeight="1" x14ac:dyDescent="0.2">
      <c r="A215" s="427" t="s">
        <v>1048</v>
      </c>
      <c r="B215" s="429">
        <v>4630</v>
      </c>
      <c r="C215" s="1682"/>
      <c r="D215" s="1623"/>
      <c r="E215" s="1625"/>
      <c r="F215" s="1623"/>
      <c r="G215" s="1623"/>
      <c r="H215" s="1625"/>
      <c r="I215" s="1625"/>
      <c r="J215" s="1625"/>
      <c r="K215" s="1625"/>
    </row>
    <row r="216" spans="1:11" ht="13.15" customHeight="1" x14ac:dyDescent="0.2">
      <c r="A216" s="1316" t="s">
        <v>74</v>
      </c>
      <c r="B216" s="475">
        <v>4699</v>
      </c>
      <c r="C216" s="1682"/>
      <c r="D216" s="1623"/>
      <c r="E216" s="1625"/>
      <c r="F216" s="1623"/>
      <c r="G216" s="1623"/>
      <c r="H216" s="1625"/>
      <c r="I216" s="1625"/>
      <c r="J216" s="1625"/>
      <c r="K216" s="1625"/>
    </row>
    <row r="217" spans="1:11" ht="13.15" customHeight="1" thickBot="1" x14ac:dyDescent="0.25">
      <c r="A217" s="1455" t="s">
        <v>444</v>
      </c>
      <c r="B217" s="1456"/>
      <c r="C217" s="1683">
        <f>SUM(C211:C216)</f>
        <v>801</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3.15" customHeight="1" x14ac:dyDescent="0.2">
      <c r="A219" s="427" t="s">
        <v>782</v>
      </c>
      <c r="B219" s="429">
        <v>4770</v>
      </c>
      <c r="C219" s="1682"/>
      <c r="D219" s="1623"/>
      <c r="E219" s="1625"/>
      <c r="F219" s="1625"/>
      <c r="G219" s="1623"/>
      <c r="H219" s="1625"/>
      <c r="I219" s="1625"/>
      <c r="J219" s="1625"/>
      <c r="K219" s="1625"/>
    </row>
    <row r="220" spans="1:11" ht="13.15" customHeight="1" x14ac:dyDescent="0.2">
      <c r="A220" s="427" t="s">
        <v>67</v>
      </c>
      <c r="B220" s="429">
        <v>4799</v>
      </c>
      <c r="C220" s="1682"/>
      <c r="D220" s="1623"/>
      <c r="E220" s="1625"/>
      <c r="F220" s="1625"/>
      <c r="G220" s="1623"/>
      <c r="H220" s="1625"/>
      <c r="I220" s="1625"/>
      <c r="J220" s="1625"/>
      <c r="K220" s="1625"/>
    </row>
    <row r="221" spans="1:11" ht="13.1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3.15" customHeight="1" thickTop="1" thickBot="1" x14ac:dyDescent="0.25">
      <c r="A222" s="436" t="s">
        <v>752</v>
      </c>
      <c r="B222" s="435">
        <v>4810</v>
      </c>
      <c r="C222" s="1700"/>
      <c r="D222" s="1701"/>
      <c r="E222" s="1625"/>
      <c r="F222" s="1625"/>
      <c r="G222" s="1701"/>
      <c r="H222" s="1625"/>
      <c r="I222" s="1625"/>
      <c r="J222" s="1625"/>
      <c r="K222" s="1625"/>
    </row>
    <row r="223" spans="1:11" ht="13.15" customHeight="1" thickTop="1" x14ac:dyDescent="0.2">
      <c r="A223" s="436" t="s">
        <v>347</v>
      </c>
      <c r="B223" s="435">
        <v>4850</v>
      </c>
      <c r="C223" s="1648"/>
      <c r="D223" s="1624"/>
      <c r="E223" s="1624"/>
      <c r="F223" s="1624"/>
      <c r="G223" s="1624"/>
      <c r="H223" s="1624"/>
      <c r="I223" s="1625"/>
      <c r="J223" s="1624"/>
      <c r="K223" s="1624"/>
    </row>
    <row r="224" spans="1:11" ht="13.15" customHeight="1" x14ac:dyDescent="0.2">
      <c r="A224" s="436" t="s">
        <v>348</v>
      </c>
      <c r="B224" s="435">
        <v>4851</v>
      </c>
      <c r="C224" s="1648"/>
      <c r="D224" s="1624"/>
      <c r="E224" s="1625"/>
      <c r="F224" s="1629"/>
      <c r="G224" s="1624"/>
      <c r="H224" s="1625"/>
      <c r="I224" s="1625"/>
      <c r="J224" s="1625"/>
      <c r="K224" s="1625"/>
    </row>
    <row r="225" spans="1:11" ht="13.15" customHeight="1" x14ac:dyDescent="0.2">
      <c r="A225" s="436" t="s">
        <v>349</v>
      </c>
      <c r="B225" s="435">
        <v>4852</v>
      </c>
      <c r="C225" s="1648"/>
      <c r="D225" s="1624"/>
      <c r="E225" s="1624"/>
      <c r="F225" s="1624"/>
      <c r="G225" s="1624"/>
      <c r="H225" s="1624"/>
      <c r="I225" s="1625"/>
      <c r="J225" s="1624"/>
      <c r="K225" s="1624"/>
    </row>
    <row r="226" spans="1:11" ht="13.15" customHeight="1" x14ac:dyDescent="0.2">
      <c r="A226" s="436" t="s">
        <v>350</v>
      </c>
      <c r="B226" s="435">
        <v>4853</v>
      </c>
      <c r="C226" s="1648"/>
      <c r="D226" s="1624"/>
      <c r="E226" s="1624"/>
      <c r="F226" s="1624"/>
      <c r="G226" s="1624"/>
      <c r="H226" s="1624"/>
      <c r="I226" s="1625"/>
      <c r="J226" s="1624"/>
      <c r="K226" s="1624"/>
    </row>
    <row r="227" spans="1:11" ht="13.15" customHeight="1" x14ac:dyDescent="0.2">
      <c r="A227" s="436" t="s">
        <v>351</v>
      </c>
      <c r="B227" s="435">
        <v>4854</v>
      </c>
      <c r="C227" s="1648"/>
      <c r="D227" s="1624"/>
      <c r="E227" s="1624"/>
      <c r="F227" s="1624"/>
      <c r="G227" s="1624"/>
      <c r="H227" s="1624"/>
      <c r="I227" s="1625"/>
      <c r="J227" s="1624"/>
      <c r="K227" s="1624"/>
    </row>
    <row r="228" spans="1:11" ht="13.15" customHeight="1" x14ac:dyDescent="0.2">
      <c r="A228" s="436" t="s">
        <v>461</v>
      </c>
      <c r="B228" s="435">
        <v>4855</v>
      </c>
      <c r="C228" s="1648"/>
      <c r="D228" s="1624"/>
      <c r="E228" s="1624"/>
      <c r="F228" s="1624"/>
      <c r="G228" s="1624"/>
      <c r="H228" s="1624"/>
      <c r="I228" s="1625"/>
      <c r="J228" s="1624"/>
      <c r="K228" s="1624"/>
    </row>
    <row r="229" spans="1:11" ht="13.15" customHeight="1" x14ac:dyDescent="0.2">
      <c r="A229" s="436" t="s">
        <v>352</v>
      </c>
      <c r="B229" s="435">
        <v>4856</v>
      </c>
      <c r="C229" s="1648"/>
      <c r="D229" s="1624"/>
      <c r="E229" s="1624"/>
      <c r="F229" s="1624"/>
      <c r="G229" s="1624"/>
      <c r="H229" s="1624"/>
      <c r="I229" s="1625"/>
      <c r="J229" s="1624"/>
      <c r="K229" s="1624"/>
    </row>
    <row r="230" spans="1:11" ht="13.15" customHeight="1" x14ac:dyDescent="0.2">
      <c r="A230" s="436" t="s">
        <v>353</v>
      </c>
      <c r="B230" s="435">
        <v>4857</v>
      </c>
      <c r="C230" s="1648"/>
      <c r="D230" s="1624"/>
      <c r="E230" s="1624"/>
      <c r="F230" s="1624"/>
      <c r="G230" s="1624"/>
      <c r="H230" s="1624"/>
      <c r="I230" s="1625"/>
      <c r="J230" s="1624"/>
      <c r="K230" s="1624"/>
    </row>
    <row r="231" spans="1:11" ht="13.15" customHeight="1" x14ac:dyDescent="0.2">
      <c r="A231" s="436" t="s">
        <v>354</v>
      </c>
      <c r="B231" s="435">
        <v>4860</v>
      </c>
      <c r="C231" s="1648"/>
      <c r="D231" s="1624"/>
      <c r="E231" s="1624"/>
      <c r="F231" s="1624"/>
      <c r="G231" s="1624"/>
      <c r="H231" s="1624"/>
      <c r="I231" s="1625"/>
      <c r="J231" s="1624"/>
      <c r="K231" s="1624"/>
    </row>
    <row r="232" spans="1:11" ht="13.15" customHeight="1" x14ac:dyDescent="0.2">
      <c r="A232" s="436" t="s">
        <v>355</v>
      </c>
      <c r="B232" s="435">
        <v>4861</v>
      </c>
      <c r="C232" s="1648"/>
      <c r="D232" s="1624"/>
      <c r="E232" s="1624"/>
      <c r="F232" s="1624"/>
      <c r="G232" s="1624"/>
      <c r="H232" s="1624"/>
      <c r="I232" s="1625"/>
      <c r="J232" s="1624"/>
      <c r="K232" s="1624"/>
    </row>
    <row r="233" spans="1:11" ht="13.15" customHeight="1" x14ac:dyDescent="0.2">
      <c r="A233" s="436" t="s">
        <v>356</v>
      </c>
      <c r="B233" s="435">
        <v>4862</v>
      </c>
      <c r="C233" s="1648"/>
      <c r="D233" s="1624"/>
      <c r="E233" s="1630"/>
      <c r="F233" s="1624"/>
      <c r="G233" s="1624"/>
      <c r="H233" s="1630"/>
      <c r="I233" s="1625"/>
      <c r="J233" s="1630"/>
      <c r="K233" s="1630"/>
    </row>
    <row r="234" spans="1:11" ht="13.15" customHeight="1" x14ac:dyDescent="0.2">
      <c r="A234" s="436" t="s">
        <v>357</v>
      </c>
      <c r="B234" s="435">
        <v>4863</v>
      </c>
      <c r="C234" s="1648"/>
      <c r="D234" s="1624"/>
      <c r="E234" s="1625"/>
      <c r="F234" s="1630"/>
      <c r="G234" s="1673"/>
      <c r="H234" s="1625"/>
      <c r="I234" s="1625"/>
      <c r="J234" s="1625"/>
      <c r="K234" s="1625"/>
    </row>
    <row r="235" spans="1:11" ht="13.15" customHeight="1" x14ac:dyDescent="0.2">
      <c r="A235" s="436" t="s">
        <v>466</v>
      </c>
      <c r="B235" s="435">
        <v>4864</v>
      </c>
      <c r="C235" s="1648"/>
      <c r="D235" s="1624"/>
      <c r="E235" s="1624"/>
      <c r="F235" s="1624"/>
      <c r="G235" s="1624"/>
      <c r="H235" s="1624"/>
      <c r="I235" s="1625"/>
      <c r="J235" s="1624"/>
      <c r="K235" s="1624"/>
    </row>
    <row r="236" spans="1:11" ht="13.15" customHeight="1" x14ac:dyDescent="0.2">
      <c r="A236" s="436" t="s">
        <v>467</v>
      </c>
      <c r="B236" s="435">
        <v>4865</v>
      </c>
      <c r="C236" s="1648"/>
      <c r="D236" s="1624"/>
      <c r="E236" s="1624"/>
      <c r="F236" s="1624"/>
      <c r="G236" s="1624"/>
      <c r="H236" s="1624"/>
      <c r="I236" s="1625"/>
      <c r="J236" s="1624"/>
      <c r="K236" s="1624"/>
    </row>
    <row r="237" spans="1:11" ht="13.15" customHeight="1" x14ac:dyDescent="0.2">
      <c r="A237" s="436" t="s">
        <v>465</v>
      </c>
      <c r="B237" s="435">
        <v>4866</v>
      </c>
      <c r="C237" s="1648"/>
      <c r="D237" s="1624"/>
      <c r="E237" s="1624"/>
      <c r="F237" s="1624"/>
      <c r="G237" s="1624"/>
      <c r="H237" s="1624"/>
      <c r="I237" s="1625"/>
      <c r="J237" s="1624"/>
      <c r="K237" s="1624"/>
    </row>
    <row r="238" spans="1:11" ht="13.15" customHeight="1" x14ac:dyDescent="0.2">
      <c r="A238" s="436" t="s">
        <v>464</v>
      </c>
      <c r="B238" s="435">
        <v>4867</v>
      </c>
      <c r="C238" s="1648"/>
      <c r="D238" s="1624"/>
      <c r="E238" s="1624"/>
      <c r="F238" s="1624"/>
      <c r="G238" s="1624"/>
      <c r="H238" s="1624"/>
      <c r="I238" s="1625"/>
      <c r="J238" s="1624"/>
      <c r="K238" s="1624"/>
    </row>
    <row r="239" spans="1:11" ht="13.15" customHeight="1" x14ac:dyDescent="0.2">
      <c r="A239" s="436" t="s">
        <v>463</v>
      </c>
      <c r="B239" s="435">
        <v>4868</v>
      </c>
      <c r="C239" s="1648"/>
      <c r="D239" s="1624"/>
      <c r="E239" s="1624"/>
      <c r="F239" s="1624"/>
      <c r="G239" s="1624"/>
      <c r="H239" s="1624"/>
      <c r="I239" s="1625"/>
      <c r="J239" s="1624"/>
      <c r="K239" s="1624"/>
    </row>
    <row r="240" spans="1:11" ht="13.15" customHeight="1" x14ac:dyDescent="0.2">
      <c r="A240" s="436" t="s">
        <v>462</v>
      </c>
      <c r="B240" s="435">
        <v>4869</v>
      </c>
      <c r="C240" s="1648"/>
      <c r="D240" s="1624"/>
      <c r="E240" s="1624"/>
      <c r="F240" s="1624"/>
      <c r="G240" s="1624"/>
      <c r="H240" s="1624"/>
      <c r="I240" s="1625"/>
      <c r="J240" s="1624"/>
      <c r="K240" s="1624"/>
    </row>
    <row r="241" spans="1:11" ht="13.15" customHeight="1" x14ac:dyDescent="0.2">
      <c r="A241" s="436" t="s">
        <v>1120</v>
      </c>
      <c r="B241" s="435">
        <v>4870</v>
      </c>
      <c r="C241" s="1648"/>
      <c r="D241" s="1624"/>
      <c r="E241" s="1624"/>
      <c r="F241" s="1624"/>
      <c r="G241" s="1624"/>
      <c r="H241" s="1624"/>
      <c r="I241" s="1625"/>
      <c r="J241" s="1624"/>
      <c r="K241" s="1624"/>
    </row>
    <row r="242" spans="1:11" ht="13.15" customHeight="1" x14ac:dyDescent="0.2">
      <c r="A242" s="436" t="s">
        <v>783</v>
      </c>
      <c r="B242" s="435">
        <v>4871</v>
      </c>
      <c r="C242" s="1648"/>
      <c r="D242" s="1624"/>
      <c r="E242" s="1624"/>
      <c r="F242" s="1624"/>
      <c r="G242" s="1624"/>
      <c r="H242" s="1624"/>
      <c r="I242" s="1625"/>
      <c r="J242" s="1624"/>
      <c r="K242" s="1624"/>
    </row>
    <row r="243" spans="1:11" ht="13.15" customHeight="1" x14ac:dyDescent="0.2">
      <c r="A243" s="436" t="s">
        <v>784</v>
      </c>
      <c r="B243" s="435">
        <v>4872</v>
      </c>
      <c r="C243" s="1648"/>
      <c r="D243" s="1624"/>
      <c r="E243" s="1624"/>
      <c r="F243" s="1624"/>
      <c r="G243" s="1624"/>
      <c r="H243" s="1624"/>
      <c r="I243" s="1625"/>
      <c r="J243" s="1624"/>
      <c r="K243" s="1624"/>
    </row>
    <row r="244" spans="1:11" ht="13.15" customHeight="1" x14ac:dyDescent="0.2">
      <c r="A244" s="436" t="s">
        <v>785</v>
      </c>
      <c r="B244" s="435">
        <v>4873</v>
      </c>
      <c r="C244" s="1648"/>
      <c r="D244" s="1624"/>
      <c r="E244" s="1624"/>
      <c r="F244" s="1624"/>
      <c r="G244" s="1624"/>
      <c r="H244" s="1624"/>
      <c r="I244" s="1625"/>
      <c r="J244" s="1624"/>
      <c r="K244" s="1624"/>
    </row>
    <row r="245" spans="1:11" ht="13.15" customHeight="1" x14ac:dyDescent="0.2">
      <c r="A245" s="436" t="s">
        <v>786</v>
      </c>
      <c r="B245" s="435">
        <v>4874</v>
      </c>
      <c r="C245" s="1648"/>
      <c r="D245" s="1624"/>
      <c r="E245" s="1624"/>
      <c r="F245" s="1624"/>
      <c r="G245" s="1624"/>
      <c r="H245" s="1624"/>
      <c r="I245" s="1625"/>
      <c r="J245" s="1624"/>
      <c r="K245" s="1624"/>
    </row>
    <row r="246" spans="1:11" ht="13.15" customHeight="1" x14ac:dyDescent="0.2">
      <c r="A246" s="436" t="s">
        <v>468</v>
      </c>
      <c r="B246" s="435">
        <v>4875</v>
      </c>
      <c r="C246" s="1648"/>
      <c r="D246" s="1624"/>
      <c r="E246" s="1624"/>
      <c r="F246" s="1624"/>
      <c r="G246" s="1624"/>
      <c r="H246" s="1624"/>
      <c r="I246" s="1625"/>
      <c r="J246" s="1624"/>
      <c r="K246" s="1624"/>
    </row>
    <row r="247" spans="1:11" ht="13.15" customHeight="1" x14ac:dyDescent="0.2">
      <c r="A247" s="436" t="s">
        <v>765</v>
      </c>
      <c r="B247" s="435">
        <v>4876</v>
      </c>
      <c r="C247" s="1648"/>
      <c r="D247" s="1624"/>
      <c r="E247" s="1624"/>
      <c r="F247" s="1624"/>
      <c r="G247" s="1624"/>
      <c r="H247" s="1624"/>
      <c r="I247" s="1625"/>
      <c r="J247" s="1624"/>
      <c r="K247" s="1624"/>
    </row>
    <row r="248" spans="1:11" ht="13.15" customHeight="1" x14ac:dyDescent="0.2">
      <c r="A248" s="436" t="s">
        <v>766</v>
      </c>
      <c r="B248" s="435">
        <v>4877</v>
      </c>
      <c r="C248" s="1648"/>
      <c r="D248" s="1624"/>
      <c r="E248" s="1624"/>
      <c r="F248" s="1624"/>
      <c r="G248" s="1624"/>
      <c r="H248" s="1624"/>
      <c r="I248" s="1625"/>
      <c r="J248" s="1624"/>
      <c r="K248" s="1624"/>
    </row>
    <row r="249" spans="1:11" ht="13.15" customHeight="1" x14ac:dyDescent="0.2">
      <c r="A249" s="436" t="s">
        <v>767</v>
      </c>
      <c r="B249" s="435">
        <v>4878</v>
      </c>
      <c r="C249" s="1648"/>
      <c r="D249" s="1624"/>
      <c r="E249" s="1624"/>
      <c r="F249" s="1624"/>
      <c r="G249" s="1624"/>
      <c r="H249" s="1624"/>
      <c r="I249" s="1625"/>
      <c r="J249" s="1624"/>
      <c r="K249" s="1624"/>
    </row>
    <row r="250" spans="1:11" ht="13.15" customHeight="1" x14ac:dyDescent="0.2">
      <c r="A250" s="436" t="s">
        <v>768</v>
      </c>
      <c r="B250" s="435">
        <v>4879</v>
      </c>
      <c r="C250" s="1648"/>
      <c r="D250" s="1624"/>
      <c r="E250" s="1624"/>
      <c r="F250" s="1624"/>
      <c r="G250" s="1624"/>
      <c r="H250" s="1624"/>
      <c r="I250" s="1625"/>
      <c r="J250" s="1624"/>
      <c r="K250" s="1624"/>
    </row>
    <row r="251" spans="1:11" ht="13.15" customHeight="1" x14ac:dyDescent="0.2">
      <c r="A251" s="220" t="s">
        <v>1441</v>
      </c>
      <c r="B251" s="486">
        <v>4880</v>
      </c>
      <c r="C251" s="1648"/>
      <c r="D251" s="1624"/>
      <c r="E251" s="1624"/>
      <c r="F251" s="1624"/>
      <c r="G251" s="1624"/>
      <c r="H251" s="1624"/>
      <c r="I251" s="1625"/>
      <c r="J251" s="1624"/>
      <c r="K251" s="1624"/>
    </row>
    <row r="252" spans="1:11" ht="13.1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3.15" customHeight="1" thickTop="1" thickBot="1" x14ac:dyDescent="0.25">
      <c r="A253" s="1317" t="s">
        <v>1407</v>
      </c>
      <c r="B253" s="487">
        <v>4901</v>
      </c>
      <c r="C253" s="1716"/>
      <c r="D253" s="1626"/>
      <c r="E253" s="1625"/>
      <c r="F253" s="1625"/>
      <c r="G253" s="1625"/>
      <c r="H253" s="1625"/>
      <c r="I253" s="1625"/>
      <c r="J253" s="1625"/>
      <c r="K253" s="1625"/>
    </row>
    <row r="254" spans="1:11" ht="13.15" customHeight="1" thickTop="1" thickBot="1" x14ac:dyDescent="0.25">
      <c r="A254" s="1318" t="s">
        <v>1449</v>
      </c>
      <c r="B254" s="488">
        <v>4902</v>
      </c>
      <c r="C254" s="1717"/>
      <c r="D254" s="1718"/>
      <c r="E254" s="1626"/>
      <c r="F254" s="1718"/>
      <c r="G254" s="1718"/>
      <c r="H254" s="1626"/>
      <c r="I254" s="1625"/>
      <c r="J254" s="1626"/>
      <c r="K254" s="1626"/>
    </row>
    <row r="255" spans="1:11" ht="13.15" customHeight="1" thickTop="1" thickBot="1" x14ac:dyDescent="0.25">
      <c r="A255" s="427" t="s">
        <v>1442</v>
      </c>
      <c r="B255" s="429">
        <v>4905</v>
      </c>
      <c r="C255" s="1699"/>
      <c r="D255" s="1625"/>
      <c r="E255" s="1625"/>
      <c r="F255" s="1703"/>
      <c r="G255" s="1699"/>
      <c r="H255" s="1625"/>
      <c r="I255" s="1625"/>
      <c r="J255" s="1625"/>
      <c r="K255" s="1625"/>
    </row>
    <row r="256" spans="1:11" ht="13.15" customHeight="1" thickTop="1" thickBot="1" x14ac:dyDescent="0.25">
      <c r="A256" s="427" t="s">
        <v>1443</v>
      </c>
      <c r="B256" s="429">
        <v>4909</v>
      </c>
      <c r="C256" s="1701"/>
      <c r="D256" s="1625"/>
      <c r="E256" s="1625"/>
      <c r="F256" s="1701"/>
      <c r="G256" s="1701"/>
      <c r="H256" s="1625"/>
      <c r="I256" s="1625"/>
      <c r="J256" s="1625"/>
      <c r="K256" s="1625"/>
    </row>
    <row r="257" spans="1:11" ht="13.15" customHeight="1" thickTop="1" thickBot="1" x14ac:dyDescent="0.25">
      <c r="A257" s="427" t="s">
        <v>191</v>
      </c>
      <c r="B257" s="429">
        <v>4920</v>
      </c>
      <c r="C257" s="1701"/>
      <c r="D257" s="1703"/>
      <c r="E257" s="1625"/>
      <c r="F257" s="1699"/>
      <c r="G257" s="1699"/>
      <c r="H257" s="1625"/>
      <c r="I257" s="1625"/>
      <c r="J257" s="1625"/>
      <c r="K257" s="1625"/>
    </row>
    <row r="258" spans="1:11" ht="13.15" customHeight="1" thickTop="1" thickBot="1" x14ac:dyDescent="0.25">
      <c r="A258" s="427" t="s">
        <v>418</v>
      </c>
      <c r="B258" s="429">
        <v>4930</v>
      </c>
      <c r="C258" s="1701"/>
      <c r="D258" s="1701"/>
      <c r="E258" s="1625"/>
      <c r="F258" s="1701"/>
      <c r="G258" s="1701"/>
      <c r="H258" s="1625"/>
      <c r="I258" s="1625"/>
      <c r="J258" s="1625"/>
      <c r="K258" s="1625"/>
    </row>
    <row r="259" spans="1:11" ht="13.15" customHeight="1" thickTop="1" thickBot="1" x14ac:dyDescent="0.25">
      <c r="A259" s="427" t="s">
        <v>753</v>
      </c>
      <c r="B259" s="429">
        <v>4932</v>
      </c>
      <c r="C259" s="1701">
        <v>134649</v>
      </c>
      <c r="D259" s="1701"/>
      <c r="E259" s="1625"/>
      <c r="F259" s="1701"/>
      <c r="G259" s="1701"/>
      <c r="H259" s="1625"/>
      <c r="I259" s="1625"/>
      <c r="J259" s="1625"/>
      <c r="K259" s="1625"/>
    </row>
    <row r="260" spans="1:11" ht="13.15" customHeight="1" thickTop="1" thickBot="1" x14ac:dyDescent="0.25">
      <c r="A260" s="427" t="s">
        <v>884</v>
      </c>
      <c r="B260" s="429">
        <v>4960</v>
      </c>
      <c r="C260" s="1700"/>
      <c r="D260" s="1701"/>
      <c r="E260" s="1625"/>
      <c r="F260" s="1701"/>
      <c r="G260" s="1701"/>
      <c r="H260" s="1625"/>
      <c r="I260" s="1625"/>
      <c r="J260" s="1625"/>
      <c r="K260" s="1625"/>
    </row>
    <row r="261" spans="1:11" ht="13.15" customHeight="1" thickTop="1" thickBot="1" x14ac:dyDescent="0.25">
      <c r="A261" s="1589" t="s">
        <v>1896</v>
      </c>
      <c r="B261" s="429">
        <v>4981</v>
      </c>
      <c r="C261" s="1700"/>
      <c r="D261" s="1701"/>
      <c r="E261" s="1625"/>
      <c r="F261" s="1701"/>
      <c r="G261" s="1701"/>
      <c r="H261" s="1625"/>
      <c r="I261" s="1625"/>
      <c r="J261" s="1625"/>
      <c r="K261" s="1625"/>
    </row>
    <row r="262" spans="1:11" ht="13.15" customHeight="1" thickTop="1" thickBot="1" x14ac:dyDescent="0.25">
      <c r="A262" s="1590" t="s">
        <v>1897</v>
      </c>
      <c r="B262" s="429">
        <v>4982</v>
      </c>
      <c r="C262" s="1700"/>
      <c r="D262" s="1701"/>
      <c r="E262" s="1625"/>
      <c r="F262" s="1701"/>
      <c r="G262" s="1701"/>
      <c r="H262" s="1625"/>
      <c r="I262" s="1625"/>
      <c r="J262" s="1625"/>
      <c r="K262" s="1625"/>
    </row>
    <row r="263" spans="1:11" ht="13.15" customHeight="1" thickTop="1" thickBot="1" x14ac:dyDescent="0.25">
      <c r="A263" s="427" t="s">
        <v>564</v>
      </c>
      <c r="B263" s="429">
        <v>4991</v>
      </c>
      <c r="C263" s="1700">
        <v>60651</v>
      </c>
      <c r="D263" s="1701"/>
      <c r="E263" s="1625"/>
      <c r="F263" s="1701"/>
      <c r="G263" s="1701"/>
      <c r="H263" s="1625"/>
      <c r="I263" s="1625"/>
      <c r="J263" s="1625"/>
      <c r="K263" s="1625"/>
    </row>
    <row r="264" spans="1:11" ht="13.15" customHeight="1" thickTop="1" thickBot="1" x14ac:dyDescent="0.25">
      <c r="A264" s="427" t="s">
        <v>374</v>
      </c>
      <c r="B264" s="429">
        <v>4992</v>
      </c>
      <c r="C264" s="1700">
        <v>232976</v>
      </c>
      <c r="D264" s="1701"/>
      <c r="E264" s="1625"/>
      <c r="F264" s="1701"/>
      <c r="G264" s="1701"/>
      <c r="H264" s="1625"/>
      <c r="I264" s="1625"/>
      <c r="J264" s="1625"/>
      <c r="K264" s="1625"/>
    </row>
    <row r="265" spans="1:11" s="489" customFormat="1" ht="13.1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1944652</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1944652</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22064610</v>
      </c>
      <c r="D268" s="1691">
        <f t="shared" si="12"/>
        <v>2140399</v>
      </c>
      <c r="E268" s="1691">
        <f t="shared" si="12"/>
        <v>3123812</v>
      </c>
      <c r="F268" s="1691">
        <f t="shared" si="12"/>
        <v>2499255</v>
      </c>
      <c r="G268" s="1691">
        <f t="shared" si="12"/>
        <v>731931</v>
      </c>
      <c r="H268" s="1691">
        <f t="shared" si="12"/>
        <v>251936</v>
      </c>
      <c r="I268" s="1691">
        <f t="shared" si="12"/>
        <v>216606</v>
      </c>
      <c r="J268" s="1691">
        <f t="shared" si="12"/>
        <v>1247060</v>
      </c>
      <c r="K268" s="1679">
        <f t="shared" si="12"/>
        <v>246352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4d435f69-8686-490b-bd6d-b153bf22ab50"/>
    <ds:schemaRef ds:uri="http://schemas.microsoft.com/sharepoint/v3"/>
    <ds:schemaRef ds:uri="http://schemas.microsoft.com/office/2006/documentManagement/types"/>
    <ds:schemaRef ds:uri="d21dc803-237d-4c68-8692-8d731fd29118"/>
    <ds:schemaRef ds:uri="http://schemas.microsoft.com/office/2006/metadata/properties"/>
    <ds:schemaRef ds:uri="http://purl.org/dc/terms/"/>
    <ds:schemaRef ds:uri="http://www.w3.org/XML/1998/namespace"/>
    <ds:schemaRef ds:uri="6ce3111e-7420-4802-b50a-75d4e9a0b980"/>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Wipfli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'Wipfli SEFA'!Print_Area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2020-10-07T21:31:43Z</cp:lastPrinted>
  <dcterms:created xsi:type="dcterms:W3CDTF">2003-10-29T19:06:34Z</dcterms:created>
  <dcterms:modified xsi:type="dcterms:W3CDTF">2020-10-30T20:37:04Z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{0DC0F067-9A95-4975-9027-A5FE96CF7671}</vt:lpwstr>
  </property>
</Properties>
</file>