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0F8C5C6-FF94-4C00-A6E0-7471C96F29BC}"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F&amp;QC Sec-1" sheetId="174" r:id="rId25"/>
    <sheet name="Single Audit Cover" sheetId="169" r:id="rId26"/>
    <sheet name="Single Audit Checklist" sheetId="170" r:id="rId27"/>
    <sheet name="SEFA Reconcile" sheetId="171" r:id="rId28"/>
    <sheet name=" SEFA" sheetId="179" r:id="rId29"/>
    <sheet name=" SEFA (2)" sheetId="186" r:id="rId30"/>
    <sheet name=" SEFA (3)" sheetId="187" r:id="rId31"/>
    <sheet name="SEFA NOTES" sheetId="173" r:id="rId32"/>
    <sheet name="SF&amp;QC Sec-2" sheetId="175" r:id="rId33"/>
    <sheet name="SF&amp;QC Sec-3" sheetId="185" r:id="rId34"/>
    <sheet name="SF&amp;QC Sec-4" sheetId="188" r:id="rId35"/>
    <sheet name="SF&amp;QC Sec-5" sheetId="176" r:id="rId36"/>
    <sheet name="SSPAF" sheetId="177" r:id="rId37"/>
  </sheets>
  <definedNames>
    <definedName name="_xlnm._FilterDatabase" localSheetId="23"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'SEFA NOTES'!$A$1:$F$52</definedName>
    <definedName name="_xlnm.Print_Area" localSheetId="27">'SEFA Reconcile'!$A$1:$E$49</definedName>
    <definedName name="_xlnm.Print_Area" localSheetId="24">'SF&amp;QC Sec-1'!$A$1:$J$63</definedName>
    <definedName name="_xlnm.Print_Area" localSheetId="35">'SF&amp;QC Sec-5'!$A$1:$K$48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7">#REF!</definedName>
    <definedName name="SCHADDRS" localSheetId="24">#REF!</definedName>
    <definedName name="SCHADDRS" localSheetId="32">#REF!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7">#REF!</definedName>
    <definedName name="SCHCTY" localSheetId="24">#REF!</definedName>
    <definedName name="SCHCTY" localSheetId="32">#REF!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7">#REF!</definedName>
    <definedName name="SCHNMBR" localSheetId="24">#REF!</definedName>
    <definedName name="SCHNMBR" localSheetId="32">#REF!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7">#REF!</definedName>
    <definedName name="SCHNME" localSheetId="24">#REF!</definedName>
    <definedName name="SCHNME" localSheetId="32">#REF!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7">#REF!</definedName>
    <definedName name="SUPT" localSheetId="24">#REF!</definedName>
    <definedName name="SUPT" localSheetId="32">#REF!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8" i="127" l="1"/>
  <c r="G22" i="127"/>
  <c r="G12" i="127" l="1"/>
  <c r="G8" i="127"/>
  <c r="C10" i="188" l="1"/>
  <c r="B4" i="188"/>
  <c r="K21" i="187" l="1"/>
  <c r="M21" i="187"/>
  <c r="I21" i="187"/>
  <c r="G21" i="187"/>
  <c r="F21" i="187"/>
  <c r="E21" i="187"/>
  <c r="M19" i="187"/>
  <c r="I19" i="187"/>
  <c r="G19" i="187"/>
  <c r="F19" i="187"/>
  <c r="E19" i="187"/>
  <c r="I17" i="187"/>
  <c r="G17" i="187"/>
  <c r="F17" i="187"/>
  <c r="E17" i="187"/>
  <c r="M13" i="187"/>
  <c r="I13" i="187"/>
  <c r="G13" i="187"/>
  <c r="L13" i="187" s="1"/>
  <c r="F13" i="187"/>
  <c r="E13" i="187"/>
  <c r="I22" i="186"/>
  <c r="L22" i="186" s="1"/>
  <c r="G22" i="186"/>
  <c r="F22" i="186"/>
  <c r="E22" i="186"/>
  <c r="I18" i="186"/>
  <c r="G18" i="186"/>
  <c r="L18" i="186" s="1"/>
  <c r="F18" i="186"/>
  <c r="E18" i="186"/>
  <c r="M14" i="186"/>
  <c r="K14" i="186"/>
  <c r="L14" i="186" s="1"/>
  <c r="I14" i="186"/>
  <c r="G14" i="186"/>
  <c r="F14" i="186"/>
  <c r="E14" i="186"/>
  <c r="M24" i="179"/>
  <c r="K24" i="179"/>
  <c r="I24" i="179"/>
  <c r="G24" i="179"/>
  <c r="F24" i="179"/>
  <c r="E24" i="179"/>
  <c r="I19" i="179"/>
  <c r="G19" i="179"/>
  <c r="F19" i="179"/>
  <c r="E19" i="179"/>
  <c r="I18" i="179"/>
  <c r="G18" i="179"/>
  <c r="F18" i="179"/>
  <c r="E18" i="179"/>
  <c r="L27" i="187"/>
  <c r="L26" i="187"/>
  <c r="L25" i="187"/>
  <c r="L24" i="187"/>
  <c r="L23" i="187"/>
  <c r="L22" i="187"/>
  <c r="L20" i="187"/>
  <c r="L18" i="187"/>
  <c r="L16" i="187"/>
  <c r="L15" i="187"/>
  <c r="L14" i="187"/>
  <c r="L12" i="187"/>
  <c r="L11" i="187"/>
  <c r="I9" i="187"/>
  <c r="G9" i="187"/>
  <c r="F9" i="187"/>
  <c r="E9" i="187"/>
  <c r="J8" i="187"/>
  <c r="H8" i="187"/>
  <c r="B4" i="187"/>
  <c r="L27" i="186"/>
  <c r="L26" i="186"/>
  <c r="L25" i="186"/>
  <c r="L24" i="186"/>
  <c r="L23" i="186"/>
  <c r="L21" i="186"/>
  <c r="L20" i="186"/>
  <c r="L19" i="186"/>
  <c r="L17" i="186"/>
  <c r="L16" i="186"/>
  <c r="L15" i="186"/>
  <c r="L13" i="186"/>
  <c r="L12" i="186"/>
  <c r="L11" i="186"/>
  <c r="I9" i="186"/>
  <c r="G9" i="186"/>
  <c r="F9" i="186"/>
  <c r="E9" i="186"/>
  <c r="J8" i="186"/>
  <c r="H8" i="186"/>
  <c r="B4" i="186"/>
  <c r="C10" i="185"/>
  <c r="B4" i="185"/>
  <c r="L21" i="187" l="1"/>
  <c r="L19" i="187"/>
  <c r="L17"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5"/>
  <c r="B1" i="186"/>
  <c r="B2" i="179"/>
  <c r="B2" i="188"/>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3" i="118" l="1"/>
  <c r="B7696" i="106"/>
  <c r="D7696" i="106" s="1"/>
  <c r="E66" i="184"/>
  <c r="N66" i="184" s="1"/>
  <c r="B7171" i="106"/>
  <c r="D7171" i="106" s="1"/>
  <c r="E62" i="184"/>
  <c r="N62" i="184" s="1"/>
  <c r="F36" i="34"/>
  <c r="B7828" i="106" s="1"/>
  <c r="D7828" i="106" s="1"/>
  <c r="H365" i="29"/>
  <c r="B7242" i="106" s="1"/>
  <c r="D7242" i="106" s="1"/>
  <c r="H15" i="184"/>
  <c r="B7135" i="106"/>
  <c r="D7135" i="106" s="1"/>
  <c r="E58" i="184"/>
  <c r="N58" i="184" s="1"/>
  <c r="B7198" i="106"/>
  <c r="D7198" i="106" s="1"/>
  <c r="E65" i="184"/>
  <c r="N65" i="184" s="1"/>
  <c r="B7162" i="106"/>
  <c r="D7162" i="106" s="1"/>
  <c r="E61" i="184"/>
  <c r="N61" i="184" s="1"/>
  <c r="B7126" i="106"/>
  <c r="D7126" i="106" s="1"/>
  <c r="E57" i="184"/>
  <c r="F70" i="34"/>
  <c r="F37" i="34"/>
  <c r="B7829" i="106" s="1"/>
  <c r="D7829" i="106" s="1"/>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H12" i="18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6216" i="106"/>
  <c r="D6216" i="106" s="1"/>
  <c r="D44" i="36"/>
  <c r="K342" i="29"/>
  <c r="F13" i="34" s="1"/>
  <c r="F41" i="108"/>
  <c r="G43" i="108" s="1"/>
  <c r="B5527" i="106"/>
  <c r="D5527" i="106" s="1"/>
  <c r="L16" i="11"/>
  <c r="B2061" i="106" s="1"/>
  <c r="D2061" i="106" s="1"/>
  <c r="L114" i="29"/>
  <c r="E19" i="184"/>
  <c r="B7220" i="106"/>
  <c r="D7220" i="106" s="1"/>
  <c r="F75" i="34"/>
  <c r="B7886" i="106" s="1"/>
  <c r="D7886" i="106" s="1"/>
  <c r="E367" i="29"/>
  <c r="B3635" i="106"/>
  <c r="H19" i="184"/>
  <c r="L20" i="184"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J78" i="4" s="1"/>
  <c r="B6223" i="106"/>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19" i="4" l="1"/>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<sst xmlns="http://schemas.openxmlformats.org/spreadsheetml/2006/main" count="5470" uniqueCount="2207">
  <si>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</si>
  <si>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</si>
  <si>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</si>
  <si>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</si>
  <si>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</si>
  <si>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</si>
  <si>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</si>
  <si>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</si>
  <si>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</si>
  <si>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</si>
  <si>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</si>
  <si>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</si>
  <si>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</si>
  <si>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</si>
  <si>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</si>
  <si>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</si>
  <si>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</si>
  <si>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</si>
  <si>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</si>
  <si>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</si>
  <si>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</si>
  <si>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</si>
  <si>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</si>
  <si>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</si>
  <si>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</si>
  <si>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</si>
  <si>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</si>
  <si>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</si>
  <si>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</si>
  <si>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</si>
  <si>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</si>
  <si>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</si>
  <si>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</si>
  <si>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</si>
  <si>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</si>
  <si>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</si>
  <si>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</si>
  <si>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</si>
  <si>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</si>
  <si>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</si>
  <si>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</si>
  <si>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</si>
  <si>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</si>
  <si>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</si>
  <si>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</si>
  <si>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</si>
  <si>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</si>
  <si>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</si>
  <si>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</si>
  <si>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</si>
  <si>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</si>
  <si>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</si>
  <si>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</si>
  <si>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</si>
  <si>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</si>
  <si>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</si>
  <si>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</si>
  <si>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</si>
  <si>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</si>
  <si>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</si>
  <si>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</si>
  <si>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</si>
  <si>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</si>
  <si>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</si>
  <si>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</si>
  <si>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</si>
  <si>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</si>
  <si>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</si>
  <si>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</si>
  <si>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</si>
  <si>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</si>
  <si>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</si>
  <si>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</si>
  <si>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</si>
  <si>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</si>
  <si>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</si>
  <si>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</si>
  <si>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</si>
  <si>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</si>
  <si>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</si>
  <si>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</si>
  <si>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</si>
  <si>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</si>
  <si>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</si>
  <si>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</si>
  <si>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</si>
  <si>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</si>
  <si>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</si>
  <si>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</si>
  <si>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</si>
  <si>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</si>
  <si>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</si>
  <si>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</si>
  <si>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</si>
  <si>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</si>
  <si>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</si>
  <si>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</si>
  <si>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</si>
  <si>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</si>
  <si>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</si>
  <si>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</si>
  <si>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</si>
  <si>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</si>
  <si>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</si>
  <si>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</si>
  <si>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</si>
  <si>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</si>
  <si>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</si>
  <si>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</si>
  <si>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</si>
  <si>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</si>
  <si>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</si>
  <si>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</si>
  <si>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</si>
  <si>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</si>
  <si>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</si>
  <si>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</si>
  <si>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</si>
  <si>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</si>
  <si>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</si>
  <si>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</si>
  <si>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</si>
  <si>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</si>
  <si>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</si>
  <si>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</si>
  <si>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</si>
  <si>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</si>
  <si>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</si>
  <si>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</si>
  <si>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</si>
  <si>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</si>
  <si>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</si>
  <si>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</si>
  <si>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</si>
  <si>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</si>
  <si>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</si>
  <si>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</si>
  <si>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</si>
  <si>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</si>
  <si>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</si>
  <si>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</si>
  <si>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</si>
  <si>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</si>
  <si>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</si>
  <si>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</si>
  <si>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</si>
  <si>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</si>
  <si>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</si>
  <si>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</si>
  <si>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</si>
  <si>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</si>
  <si>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</si>
  <si>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</si>
  <si>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</si>
  <si>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</si>
  <si>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</si>
  <si>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</si>
  <si>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</si>
  <si>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</si>
  <si>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</si>
  <si>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</si>
  <si>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</si>
  <si>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</si>
  <si>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</si>
  <si>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</si>
  <si>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</si>
  <si>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</si>
  <si>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</si>
  <si>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</si>
  <si>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</si>
  <si>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</si>
  <si>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</si>
  <si>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</si>
  <si>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</si>
  <si>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</si>
  <si>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</si>
  <si>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</si>
  <si>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</si>
  <si>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</si>
  <si>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</si>
  <si>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</si>
  <si>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</si>
  <si>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</si>
  <si>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</si>
  <si>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</si>
  <si>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</si>
  <si>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</si>
  <si>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</si>
  <si>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</si>
  <si>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</si>
  <si>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</si>
  <si>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</si>
  <si>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</si>
  <si>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</si>
  <si>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</si>
  <si>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</si>
  <si>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</si>
  <si>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</si>
  <si>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</si>
  <si>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</si>
  <si>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</si>
  <si>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</si>
  <si>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</si>
  <si>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</si>
  <si>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</si>
  <si>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</si>
  <si>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</si>
  <si>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</si>
  <si>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</si>
  <si>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</si>
  <si>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</si>
  <si>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</si>
  <si>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</si>
  <si>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</si>
  <si>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</si>
  <si>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</si>
  <si>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</si>
  <si>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</si>
  <si>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</si>
  <si>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</si>
  <si>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</si>
  <si>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</si>
  <si>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</si>
  <si>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</si>
  <si>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</si>
  <si>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</si>
  <si>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</si>
  <si>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</si>
  <si>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</si>
  <si>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</si>
  <si>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</si>
  <si>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</si>
  <si>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</si>
  <si>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</si>
  <si>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</si>
  <si>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</si>
  <si>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</si>
  <si>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</si>
  <si>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</si>
  <si>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</si>
  <si>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</si>
  <si>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</si>
  <si>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</si>
  <si>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</si>
  <si>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</si>
  <si>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</si>
  <si>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</si>
  <si>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</si>
  <si>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</si>
  <si>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</si>
  <si>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</si>
  <si>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</si>
  <si>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</si>
  <si>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</si>
  <si>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</si>
  <si>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</si>
  <si>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</si>
  <si>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</si>
  <si>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</si>
  <si>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</si>
  <si>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</si>
  <si>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</si>
  <si>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</si>
  <si>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</si>
  <si>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</si>
  <si>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</si>
  <si>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</si>
  <si>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</si>
  <si>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</si>
  <si>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</si>
  <si>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</si>
  <si>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</si>
  <si>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</si>
  <si>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</si>
  <si>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</si>
  <si>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</si>
  <si>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</si>
  <si>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</si>
  <si>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</si>
  <si>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</si>
  <si>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</si>
  <si>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</si>
  <si>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</si>
  <si>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</si>
  <si>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</si>
  <si>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</si>
  <si>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</si>
  <si>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</si>
  <si>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</si>
  <si>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</si>
  <si>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</si>
  <si>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</si>
  <si>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</si>
  <si>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</si>
  <si>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</si>
  <si>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</si>
  <si>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</si>
  <si>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</si>
  <si>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</si>
  <si>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</si>
  <si>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</si>
  <si>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</si>
  <si>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</si>
  <si>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</si>
  <si>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</si>
  <si>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</si>
  <si>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</si>
  <si>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</si>
  <si>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</si>
  <si>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</si>
  <si>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</si>
  <si>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</si>
  <si>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</si>
  <si>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</si>
  <si>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</si>
  <si>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</si>
  <si>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</si>
  <si>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</si>
  <si>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</si>
  <si>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</si>
  <si>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</si>
  <si>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</si>
  <si>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</si>
  <si>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</si>
  <si>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</si>
  <si>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</si>
  <si>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</si>
  <si>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</si>
  <si>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</si>
  <si>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</si>
  <si>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</si>
  <si>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</si>
  <si>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</si>
  <si>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</si>
  <si>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</si>
  <si>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</si>
  <si>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</si>
  <si>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</si>
  <si>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</si>
  <si>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</si>
  <si>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</si>
  <si>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</si>
  <si>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</si>
  <si>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</si>
  <si>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</si>
  <si>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</si>
  <si>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</si>
  <si>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</si>
  <si>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</si>
  <si>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</si>
  <si>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</si>
  <si>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</si>
  <si>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</si>
  <si>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</si>
  <si>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</si>
  <si>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</si>
  <si>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</si>
  <si>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</si>
  <si>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</si>
  <si>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</si>
  <si>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</si>
  <si>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</si>
  <si>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</si>
  <si>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</si>
  <si>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</si>
  <si>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</si>
  <si>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</si>
  <si>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</si>
  <si>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</si>
  <si>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</si>
  <si>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</si>
  <si>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</si>
  <si>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</si>
  <si>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</si>
  <si>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</si>
  <si>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</si>
  <si>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</si>
  <si>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</si>
  <si>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</si>
  <si>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</si>
  <si>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</si>
  <si>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</si>
  <si>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</si>
  <si>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</si>
  <si>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</si>
  <si>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</si>
  <si>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</si>
  <si>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</si>
  <si>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</si>
  <si>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</si>
  <si>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</si>
  <si>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</si>
  <si>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</si>
  <si>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</si>
  <si>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</si>
  <si>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</si>
  <si>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</si>
  <si>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</si>
  <si>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</si>
  <si>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</si>
  <si>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</si>
  <si>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</si>
  <si>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</si>
  <si>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</si>
  <si>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</si>
  <si>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</si>
  <si>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</si>
  <si>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</si>
  <si>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</si>
  <si>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</si>
  <si>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</si>
  <si>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</si>
  <si>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</si>
  <si>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</si>
  <si>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</si>
  <si>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</si>
  <si>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</si>
  <si>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</si>
  <si>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</si>
  <si>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</si>
  <si>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</si>
  <si>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</si>
  <si>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</si>
  <si>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</si>
  <si>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</si>
  <si>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</si>
  <si>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</si>
  <si>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</si>
  <si>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</si>
  <si>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</si>
  <si>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</si>
  <si>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</si>
  <si>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</si>
  <si>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</si>
  <si>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</si>
  <si>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</si>
  <si>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</si>
  <si>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</si>
  <si>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</si>
  <si>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</si>
  <si>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</si>
  <si>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</si>
  <si>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</si>
  <si>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</si>
  <si>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</si>
  <si>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</si>
  <si>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</si>
  <si>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</si>
  <si>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</si>
  <si>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</si>
  <si>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</si>
  <si>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</si>
  <si>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</si>
  <si>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</si>
  <si>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</si>
  <si>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</si>
  <si>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</si>
  <si>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</si>
  <si>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</si>
  <si>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</si>
  <si>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</si>
  <si>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</si>
  <si>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</si>
  <si>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</si>
  <si>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</si>
  <si>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</si>
  <si>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</si>
  <si>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</si>
  <si>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</si>
  <si>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</si>
  <si>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</si>
  <si>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</si>
  <si>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</si>
  <si>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</si>
  <si>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</si>
  <si>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</si>
  <si>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</si>
  <si>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</si>
  <si>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</si>
  <si>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</si>
  <si>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</si>
  <si>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</si>
  <si>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</si>
  <si>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</si>
  <si>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</si>
  <si>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</si>
  <si>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</si>
  <si>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</si>
  <si>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</si>
  <si>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</si>
  <si>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</si>
  <si>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</si>
  <si>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</si>
  <si>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</si>
  <si>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</si>
  <si>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</si>
  <si>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</si>
  <si>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</si>
  <si>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</si>
  <si>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</si>
  <si>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</si>
  <si>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</si>
  <si>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</si>
  <si>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</si>
  <si>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</si>
  <si>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</si>
  <si>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</si>
  <si>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</si>
  <si>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</si>
  <si>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</si>
  <si>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</si>
  <si>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</si>
  <si>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</si>
  <si>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</si>
  <si>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</si>
  <si>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</si>
  <si>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</si>
  <si>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</si>
  <si>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</si>
  <si>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</si>
  <si>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</si>
  <si>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</si>
  <si>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</si>
  <si>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</si>
  <si>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</si>
  <si>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</si>
  <si>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</si>
  <si>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</si>
  <si>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</si>
  <si>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</si>
  <si>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</si>
  <si>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</si>
  <si>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</si>
  <si>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</si>
  <si>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</si>
  <si>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</si>
  <si>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</si>
  <si>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</si>
  <si>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</si>
  <si>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</si>
  <si>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</si>
  <si>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</si>
  <si>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</si>
  <si>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</si>
  <si>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</si>
  <si>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</si>
  <si>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</si>
  <si>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</si>
  <si>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</si>
  <si>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</si>
  <si>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</si>
  <si>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</si>
  <si>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</si>
  <si>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</si>
  <si>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</si>
  <si>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</si>
  <si>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</si>
  <si>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</si>
  <si>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</si>
  <si>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</si>
  <si>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</si>
  <si>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</si>
  <si>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</si>
  <si>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</si>
  <si>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</si>
  <si>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</si>
  <si>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</si>
  <si>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</si>
  <si>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</si>
  <si>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</si>
  <si>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</si>
  <si>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</si>
  <si>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</si>
  <si>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</si>
  <si>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</si>
  <si>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</si>
  <si>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</si>
  <si>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</si>
  <si>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</si>
  <si>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</si>
  <si>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</si>
  <si>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</si>
  <si>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</si>
  <si>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</si>
  <si>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</si>
  <si>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</si>
  <si>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</si>
  <si>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</si>
  <si>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</si>
  <si>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</si>
  <si>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</si>
  <si>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</si>
  <si>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</si>
  <si>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</si>
  <si>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</si>
  <si>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</si>
  <si>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</si>
  <si>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</si>
  <si>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</si>
  <si>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</si>
  <si>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</si>
  <si>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</si>
  <si>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</si>
  <si>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</si>
  <si>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</si>
  <si>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</si>
  <si>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</si>
  <si>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</si>
  <si>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</si>
  <si>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</si>
  <si>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</si>
  <si>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</si>
  <si>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</si>
  <si>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</si>
  <si>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</si>
  <si>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</si>
  <si>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</si>
  <si>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</si>
  <si>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</si>
  <si>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</si>
  <si>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</si>
  <si>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</si>
  <si>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</si>
  <si>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</si>
  <si>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</si>
  <si>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</si>
  <si>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</si>
  <si>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</si>
  <si>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</si>
  <si>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</si>
  <si>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</si>
  <si>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</si>
  <si>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</si>
  <si>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</si>
  <si>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</si>
  <si>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</si>
  <si>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</si>
  <si>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</si>
  <si>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</si>
  <si>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</si>
  <si>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</si>
  <si>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</si>
  <si>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</si>
  <si>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</si>
  <si>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</si>
  <si>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</si>
  <si>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</si>
  <si>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</si>
  <si>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</si>
  <si>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</si>
  <si>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</si>
  <si>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</si>
  <si>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</si>
  <si>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</si>
  <si>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</si>
  <si>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</si>
  <si>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</si>
  <si>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</si>
  <si>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</si>
  <si>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</si>
  <si>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</si>
  <si>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</si>
  <si>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</si>
  <si>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</si>
  <si>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</si>
  <si>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</si>
  <si>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</si>
  <si>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</si>
  <si>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</si>
  <si>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</si>
  <si>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</si>
  <si>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</si>
  <si>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</si>
  <si>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</si>
  <si>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</si>
  <si>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</si>
  <si>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</si>
  <si>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</si>
  <si>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</si>
  <si>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</si>
  <si>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</si>
  <si>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</si>
  <si>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</si>
  <si>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</si>
  <si>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</si>
  <si>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</si>
  <si>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</si>
  <si>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</si>
  <si>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</si>
  <si>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</si>
  <si>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</si>
  <si>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</si>
  <si>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</si>
  <si>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</si>
  <si>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</si>
  <si>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</si>
  <si>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</si>
  <si>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</si>
  <si>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</si>
  <si>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</si>
  <si>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</si>
  <si>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</si>
  <si>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</si>
  <si>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</si>
  <si>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</si>
  <si>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</si>
  <si>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</si>
  <si>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</si>
  <si>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</si>
  <si>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</si>
  <si>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</si>
  <si>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</si>
  <si>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</si>
  <si>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</si>
  <si>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</si>
  <si>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</si>
  <si>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</si>
  <si>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</si>
  <si>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</si>
  <si>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</si>
  <si>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</si>
  <si>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</si>
  <si>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</si>
  <si>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</si>
  <si>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</si>
  <si>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</si>
  <si>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</si>
  <si>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</si>
  <si>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</si>
  <si>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</si>
  <si>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</si>
  <si>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</si>
  <si>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</si>
  <si>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</si>
  <si>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</si>
  <si>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</si>
  <si>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</si>
  <si>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</si>
  <si>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</si>
  <si>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</si>
  <si>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</si>
  <si>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</si>
  <si>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</si>
  <si>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</si>
  <si>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</si>
  <si>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</si>
  <si>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</si>
  <si>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</si>
  <si>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</si>
  <si>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</si>
  <si>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</si>
  <si>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</si>
  <si>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</si>
  <si>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</si>
  <si>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</si>
  <si>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</si>
  <si>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</si>
  <si>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</si>
  <si>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</si>
  <si>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</si>
  <si>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</si>
  <si>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</si>
  <si>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</si>
  <si>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</si>
  <si>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</si>
  <si>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</si>
  <si>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</si>
  <si>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</si>
  <si>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</si>
  <si>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</si>
  <si>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</si>
  <si>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</si>
  <si>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</si>
  <si>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</si>
  <si>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</si>
  <si>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</si>
  <si>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</si>
  <si>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</si>
  <si>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</si>
  <si>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</si>
  <si>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</si>
  <si>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</si>
  <si>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</si>
  <si>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</si>
  <si>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</si>
  <si>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</si>
  <si>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</si>
  <si>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</si>
  <si>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</si>
  <si>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</si>
  <si>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</si>
  <si>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</si>
  <si>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</si>
  <si>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</si>
  <si>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</si>
  <si>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</si>
  <si>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</si>
  <si>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</si>
  <si>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</si>
  <si>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</si>
  <si>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</si>
  <si>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</si>
  <si>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</si>
  <si>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</si>
  <si>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</si>
  <si>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</si>
  <si>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</si>
  <si>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</si>
  <si>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</si>
  <si>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</si>
  <si>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</si>
  <si>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</si>
  <si>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</si>
  <si>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</si>
  <si>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</si>
  <si>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</si>
  <si>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</si>
  <si>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</si>
  <si>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</si>
  <si>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</si>
  <si>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</si>
  <si>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</si>
  <si>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</si>
  <si>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</si>
  <si>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</si>
  <si>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</si>
  <si>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</si>
  <si>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</si>
  <si>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</si>
  <si>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</si>
  <si>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</si>
  <si>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</si>
  <si>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</si>
  <si>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</si>
  <si>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</si>
  <si>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</si>
  <si>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</si>
  <si>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</si>
  <si>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</si>
  <si>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</si>
  <si>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</si>
  <si>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</si>
  <si>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</si>
  <si>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</si>
  <si>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</si>
  <si>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</si>
  <si>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</si>
  <si>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</si>
  <si>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</si>
  <si>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</si>
  <si>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</si>
  <si>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</si>
  <si>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</si>
  <si>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</si>
  <si>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</si>
  <si>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</si>
  <si>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</si>
  <si>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</si>
  <si>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</si>
  <si>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</si>
  <si>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</si>
  <si>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</si>
  <si>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</si>
  <si>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</si>
  <si>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</si>
  <si>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</si>
  <si>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</si>
  <si>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</si>
  <si>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</si>
  <si>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</si>
  <si>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</si>
  <si>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</si>
  <si>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</si>
  <si>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</si>
  <si>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</si>
  <si>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</si>
  <si>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</si>
  <si>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</si>
  <si>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</si>
  <si>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</si>
  <si>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</si>
  <si>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</si>
  <si>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</si>
  <si>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</si>
  <si>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</si>
  <si>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</si>
  <si>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</si>
  <si>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</si>
  <si>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</si>
  <si>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</si>
  <si>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</si>
  <si>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</si>
  <si>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</si>
  <si>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</si>
  <si>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</si>
  <si>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</si>
  <si>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</si>
  <si>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</si>
  <si>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</si>
  <si>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</si>
  <si>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</si>
  <si>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</si>
  <si>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</si>
  <si>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</si>
  <si>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</si>
  <si>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</si>
  <si>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</si>
  <si>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</si>
  <si>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</si>
  <si>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</si>
  <si>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</si>
  <si>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</si>
  <si>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</si>
  <si>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</si>
  <si>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</si>
  <si>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</si>
  <si>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</si>
  <si>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</si>
  <si>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</si>
  <si>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</si>
  <si>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</si>
  <si>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</si>
  <si>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</si>
  <si>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</si>
  <si>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</si>
  <si>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</si>
  <si>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</si>
  <si>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</si>
  <si>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</si>
  <si>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</si>
  <si>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</si>
  <si>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</si>
  <si>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</si>
  <si>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</si>
  <si>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</si>
  <si>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</si>
  <si>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</si>
  <si>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</si>
  <si>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</si>
  <si>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</si>
  <si>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</si>
  <si>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</si>
  <si>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</si>
  <si>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</si>
  <si>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</si>
  <si>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</si>
  <si>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</si>
  <si>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</si>
  <si>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</si>
  <si>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</si>
  <si>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</si>
  <si>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</si>
  <si>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</si>
  <si>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</si>
  <si>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</si>
  <si>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</si>
  <si>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</si>
  <si>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</si>
  <si>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</si>
  <si>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</si>
  <si>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</si>
  <si>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</si>
  <si>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</si>
  <si>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</si>
  <si>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</si>
  <si>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</si>
  <si>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</si>
  <si>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</si>
  <si>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</si>
  <si>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</si>
  <si>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</si>
  <si>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</si>
  <si>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</si>
  <si>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</si>
  <si>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</si>
  <si>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</si>
  <si>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</si>
  <si>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</si>
  <si>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</si>
  <si>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</si>
  <si>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</si>
  <si>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</si>
  <si>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</si>
  <si>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</si>
  <si>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</si>
  <si>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</si>
  <si>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</si>
  <si>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</si>
  <si>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</si>
  <si>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</si>
  <si>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</si>
  <si>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</si>
  <si>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</si>
  <si>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</si>
  <si>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</si>
  <si>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</si>
  <si>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</si>
  <si>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</si>
  <si>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</si>
  <si>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</si>
  <si>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</si>
  <si>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</si>
  <si>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</si>
  <si>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</si>
  <si>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</si>
  <si>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</si>
  <si>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</si>
  <si>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</si>
  <si>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</si>
  <si>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</si>
  <si>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</si>
  <si>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</si>
  <si>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</si>
  <si>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</si>
  <si>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</si>
  <si>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</si>
  <si>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</si>
  <si>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</si>
  <si>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</si>
  <si>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</si>
  <si>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</si>
  <si>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</si>
  <si>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</si>
  <si>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</si>
  <si>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</si>
  <si>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</si>
  <si>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</si>
  <si>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</si>
  <si>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</si>
  <si>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</si>
  <si>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</si>
  <si>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</si>
  <si>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</si>
  <si>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</si>
  <si>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</si>
  <si>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</si>
  <si>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</si>
  <si>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</si>
  <si>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</si>
  <si>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</si>
  <si>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</si>
  <si>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</si>
  <si>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</si>
  <si>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</si>
  <si>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</si>
  <si>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</si>
  <si>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</si>
  <si>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</si>
  <si>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</si>
  <si>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</si>
  <si>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</si>
  <si>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</si>
  <si>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</si>
  <si>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</si>
  <si>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</si>
  <si>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</si>
  <si>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</si>
  <si>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</si>
  <si>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</si>
  <si>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</si>
  <si>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</si>
  <si>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</si>
  <si>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</si>
  <si>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</si>
  <si>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</si>
  <si>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</si>
  <si>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</si>
  <si>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</si>
  <si>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</si>
  <si>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</si>
  <si>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</si>
  <si>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</si>
  <si>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</si>
  <si>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</si>
  <si>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</si>
  <si>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</si>
  <si>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</si>
  <si>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</si>
  <si>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</si>
  <si>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</si>
  <si>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</si>
  <si>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</si>
  <si>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</si>
  <si>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</si>
  <si>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</si>
  <si>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</si>
  <si>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</si>
  <si>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</si>
  <si>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</si>
  <si>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</si>
  <si>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</si>
  <si>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</si>
  <si>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</si>
  <si>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</si>
  <si>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</si>
  <si>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</si>
  <si>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</si>
  <si>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</si>
  <si>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</si>
  <si>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</si>
  <si>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</si>
  <si>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</si>
  <si>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</si>
  <si>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</si>
  <si>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</si>
  <si>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</si>
  <si>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</si>
  <si>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</si>
  <si>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</si>
  <si>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</si>
  <si>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</si>
  <si>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</si>
  <si>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</si>
  <si>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</si>
  <si>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</si>
  <si>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</si>
  <si>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</si>
  <si>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</si>
  <si>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</si>
  <si>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</si>
  <si>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</si>
  <si>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</si>
  <si>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</si>
  <si>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</si>
  <si>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</si>
  <si>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</si>
  <si>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</si>
  <si>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</si>
  <si>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</si>
  <si>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</si>
  <si>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</si>
  <si>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</si>
  <si>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</si>
  <si>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</si>
  <si>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</si>
  <si>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</si>
  <si>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</si>
  <si>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</si>
  <si>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</si>
  <si>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</si>
  <si>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</si>
  <si>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</si>
  <si>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</si>
  <si>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</si>
  <si>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</si>
  <si>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</si>
  <si>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</si>
  <si>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</si>
  <si>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</si>
  <si>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</si>
  <si>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</si>
  <si>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</si>
  <si>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</si>
  <si>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</si>
  <si>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</si>
  <si>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</si>
  <si>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</si>
  <si>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</si>
  <si>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</si>
  <si>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</si>
  <si>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</si>
  <si>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</si>
  <si>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</si>
  <si>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</si>
  <si>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</si>
  <si>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</si>
  <si>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</si>
  <si>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</si>
  <si>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</si>
  <si>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</si>
  <si>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</si>
  <si>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</si>
  <si>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</si>
  <si>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</si>
  <si>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</si>
  <si>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</si>
  <si>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</si>
  <si>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</si>
  <si>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</si>
  <si>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</si>
  <si>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</si>
  <si>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</si>
  <si>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</si>
  <si>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</si>
  <si>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</si>
  <si>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</si>
  <si>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</si>
  <si>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</si>
  <si>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</si>
  <si>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</si>
  <si>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</si>
  <si>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</si>
  <si>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</si>
  <si>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</si>
  <si>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</si>
  <si>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</si>
  <si>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</si>
  <si>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</si>
  <si>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</si>
  <si>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</si>
  <si>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</si>
  <si>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</si>
  <si>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</si>
  <si>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</si>
  <si>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</si>
  <si>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</si>
  <si>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</si>
  <si>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</si>
  <si>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</si>
  <si>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</si>
  <si>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</si>
  <si>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</si>
  <si>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</si>
  <si>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</si>
  <si>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</si>
  <si>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</si>
  <si>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</si>
  <si>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</si>
  <si>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</si>
  <si>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</si>
  <si>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</si>
  <si>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</si>
  <si>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</si>
  <si>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</si>
  <si>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</si>
  <si>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</si>
  <si>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</si>
  <si>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</si>
  <si>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</si>
  <si>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</si>
  <si>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</si>
  <si>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</si>
  <si>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</si>
  <si>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</si>
  <si>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</si>
  <si>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</si>
  <si>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</si>
  <si>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</si>
  <si>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</si>
  <si>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</si>
  <si>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</si>
  <si>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</si>
  <si>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</si>
  <si>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</si>
  <si>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</si>
  <si>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</si>
  <si>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</si>
  <si>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</si>
  <si>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</si>
  <si>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</si>
  <si>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</si>
  <si>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</si>
  <si>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</si>
  <si>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</si>
  <si>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</si>
  <si>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</si>
  <si>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</si>
  <si>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</si>
  <si>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</si>
  <si>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</si>
  <si>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</si>
  <si>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</si>
  <si>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</si>
  <si>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</si>
  <si>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</si>
  <si>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</si>
  <si>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</si>
  <si>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</si>
  <si>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</si>
  <si>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</si>
  <si>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</si>
  <si>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</si>
  <si>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</si>
  <si>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</si>
  <si>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</si>
  <si>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</si>
  <si>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</si>
  <si>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</si>
  <si>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</si>
  <si>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</si>
  <si>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</si>
  <si>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</si>
  <si>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</si>
  <si>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</si>
  <si>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</si>
  <si>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</si>
  <si>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</si>
  <si>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</si>
  <si>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</si>
  <si>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</si>
  <si>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</si>
  <si>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</si>
  <si>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</si>
  <si>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</si>
  <si>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</si>
  <si>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</si>
  <si>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</si>
  <si>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</si>
  <si>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</si>
  <si>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</si>
  <si>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</si>
  <si>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</si>
  <si>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</si>
  <si>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</si>
  <si>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</si>
  <si>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</si>
  <si>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</si>
  <si>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</si>
  <si>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</si>
  <si>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</si>
  <si>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</si>
  <si>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</si>
  <si>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</si>
  <si>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</si>
  <si>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</si>
  <si>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</si>
  <si>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</si>
  <si>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</si>
  <si>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</si>
  <si>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</si>
  <si>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</si>
  <si>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</si>
  <si>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</si>
  <si>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</si>
  <si>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</si>
  <si>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</si>
  <si>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</si>
  <si>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</si>
  <si>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</si>
  <si>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</si>
  <si>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</si>
  <si>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</si>
  <si>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</si>
  <si>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</si>
  <si>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</si>
  <si>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</si>
  <si>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</si>
  <si>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</si>
  <si>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</si>
  <si>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</si>
  <si>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</si>
  <si>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</si>
  <si>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</si>
  <si>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</si>
  <si>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</si>
  <si>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</si>
  <si>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</si>
  <si>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</si>
  <si>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</si>
  <si>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</si>
  <si>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</si>
  <si>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</si>
  <si>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</si>
  <si>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</si>
  <si>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</si>
  <si>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</si>
  <si>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</si>
  <si>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</si>
  <si>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</si>
  <si>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</si>
  <si>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</si>
  <si>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</si>
  <si>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</si>
  <si>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</si>
  <si>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</si>
  <si>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</si>
  <si>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</si>
  <si>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</si>
  <si>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</si>
  <si>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</si>
  <si>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</si>
  <si>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</si>
  <si>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</si>
  <si>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</si>
  <si>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</si>
  <si>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</si>
  <si>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</si>
  <si>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</si>
  <si>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</si>
  <si>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</si>
  <si>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</si>
  <si>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</si>
  <si>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</si>
  <si>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</si>
  <si>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</si>
  <si>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</si>
  <si>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</si>
  <si>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</si>
  <si>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</si>
  <si>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</si>
  <si>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</si>
  <si>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</si>
  <si>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</si>
  <si>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</si>
  <si>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</si>
  <si>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</si>
  <si>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</si>
  <si>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</si>
  <si>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</si>
  <si>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</si>
  <si>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</si>
  <si>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</si>
  <si>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</si>
  <si>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</si>
  <si>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</si>
  <si>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</si>
  <si>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</si>
  <si>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</si>
  <si>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</si>
  <si>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</si>
  <si>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</si>
  <si>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</si>
  <si>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</si>
  <si>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</si>
  <si>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</si>
  <si>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</si>
  <si>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</si>
  <si>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</si>
  <si>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</si>
  <si>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</si>
  <si>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</si>
  <si>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</si>
  <si>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</si>
  <si>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</si>
  <si>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</si>
  <si>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</si>
  <si>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</si>
  <si>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</si>
  <si>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</si>
  <si>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</si>
  <si>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</si>
  <si>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</si>
  <si>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</si>
  <si>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</si>
  <si>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</si>
  <si>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</si>
  <si>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</si>
  <si>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</si>
  <si>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</si>
  <si>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</si>
  <si>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</si>
  <si>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</si>
  <si>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</si>
  <si>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</si>
  <si>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</si>
  <si>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</si>
  <si>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</si>
  <si>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</si>
  <si>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</si>
  <si>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</si>
  <si>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</si>
  <si>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</si>
  <si>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</si>
  <si>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</si>
  <si>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</si>
  <si>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</si>
  <si>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</si>
  <si>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</si>
  <si>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</si>
  <si>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</si>
  <si>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</si>
  <si>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</si>
  <si>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</si>
  <si>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</si>
  <si>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</si>
  <si>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</si>
  <si>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</si>
  <si>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</si>
  <si>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</si>
  <si>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</si>
  <si>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</si>
  <si>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</si>
  <si>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</si>
  <si>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</si>
  <si>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</si>
  <si>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</si>
  <si>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</si>
  <si>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</si>
  <si>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</si>
  <si>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</si>
  <si>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</si>
  <si>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</si>
  <si>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</si>
  <si>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</si>
  <si>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</si>
  <si>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</si>
  <si>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</si>
  <si>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</si>
  <si>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</si>
  <si>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</si>
  <si>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</si>
  <si>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</si>
  <si>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</si>
  <si>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</si>
  <si>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</si>
  <si>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</si>
  <si>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</si>
  <si>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</si>
  <si>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</si>
  <si>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</si>
  <si>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</si>
  <si>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</si>
  <si>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</si>
  <si>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</si>
  <si>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</si>
  <si>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</si>
  <si>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</si>
  <si>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</si>
  <si>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</si>
  <si>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</si>
  <si>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</si>
  <si>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</si>
  <si>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</si>
  <si>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</si>
  <si>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</si>
  <si>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</si>
  <si>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</si>
  <si>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</si>
  <si>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</si>
  <si>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</si>
  <si>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</si>
  <si>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</si>
  <si>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</si>
  <si>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</si>
  <si>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</si>
  <si>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</si>
  <si>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</si>
  <si>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</si>
  <si>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</si>
  <si>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</si>
  <si>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</si>
  <si>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</si>
  <si>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</si>
  <si>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</si>
  <si>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</si>
  <si>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</si>
  <si>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</si>
  <si>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</si>
  <si>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</si>
  <si>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</si>
  <si>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</si>
  <si>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</si>
  <si>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</si>
  <si>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</si>
  <si>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</si>
  <si>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</si>
  <si>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</si>
  <si>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</si>
  <si>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</si>
  <si>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</si>
  <si>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</si>
  <si>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</si>
  <si>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</si>
  <si>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</si>
  <si>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</si>
  <si>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</si>
  <si>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</si>
  <si>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</si>
  <si>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</si>
  <si>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</si>
  <si>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</si>
  <si>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</si>
  <si>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</si>
  <si>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</si>
  <si>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</si>
  <si>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</si>
  <si>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</si>
  <si>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</si>
  <si>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</si>
  <si>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</si>
  <si>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</si>
  <si>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</si>
  <si>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</si>
  <si>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</si>
  <si>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</si>
  <si>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</si>
  <si>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</si>
  <si>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</si>
  <si>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</si>
  <si>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</si>
  <si>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</si>
  <si>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</si>
  <si>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</si>
  <si>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</si>
  <si>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</si>
  <si>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</si>
  <si>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</si>
  <si>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</si>
  <si>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</si>
  <si>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</si>
  <si>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</si>
  <si>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</si>
  <si>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</si>
  <si>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</si>
  <si>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</si>
  <si>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</si>
  <si>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</si>
  <si>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</si>
  <si>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</si>
  <si>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</si>
  <si>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</si>
  <si>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</si>
  <si>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</si>
  <si>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</si>
  <si>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</si>
  <si>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</si>
  <si>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</si>
  <si>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</si>
  <si>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</si>
  <si>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</si>
  <si>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</si>
  <si>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</si>
  <si>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</si>
  <si>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</si>
  <si>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</si>
  <si>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</si>
  <si>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</si>
  <si>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</si>
  <si>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</si>
  <si>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</si>
  <si>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</si>
  <si>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</si>
  <si>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</si>
  <si>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</si>
  <si>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</si>
  <si>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</si>
  <si>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</si>
  <si>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</si>
  <si>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</si>
  <si>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</si>
  <si>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</si>
  <si>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</si>
  <si>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</si>
  <si>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</si>
  <si>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</si>
  <si>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</si>
  <si>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</si>
  <si>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</si>
  <si>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</si>
  <si>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</si>
  <si>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</si>
  <si>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</si>
  <si>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</si>
  <si>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</si>
  <si>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</si>
  <si>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</si>
  <si>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</si>
  <si>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</si>
  <si>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</si>
  <si>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</si>
  <si>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</si>
  <si>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</si>
  <si>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</si>
  <si>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</si>
  <si>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</si>
  <si>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</si>
  <si>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</si>
  <si>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</si>
  <si>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</si>
  <si>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</si>
  <si>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</si>
  <si>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</si>
  <si>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</si>
  <si>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</si>
  <si>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</si>
  <si>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</si>
  <si>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</si>
  <si>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</si>
  <si>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</si>
  <si>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</si>
  <si>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</si>
  <si>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</si>
  <si>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</si>
  <si>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</si>
  <si>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</si>
  <si>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</si>
  <si>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</si>
  <si>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</si>
  <si>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</si>
  <si>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</si>
  <si>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</si>
  <si>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</si>
  <si>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</si>
  <si>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</si>
  <si>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</si>
  <si>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</si>
  <si>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</si>
  <si>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</si>
  <si>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</si>
  <si>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</si>
  <si>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</si>
  <si>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</si>
  <si>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</si>
  <si>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</si>
  <si>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</si>
  <si>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</si>
  <si>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</si>
  <si>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</si>
  <si>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</si>
  <si>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</si>
  <si>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</si>
  <si>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</si>
  <si>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</si>
  <si>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</si>
  <si>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</si>
  <si>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</si>
  <si>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</si>
  <si>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</si>
  <si>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</si>
  <si>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</si>
  <si>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</si>
  <si>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</si>
  <si>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</si>
  <si>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</si>
  <si>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</si>
  <si>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</si>
  <si>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</si>
  <si>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</si>
  <si>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</si>
  <si>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</si>
  <si>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</si>
  <si>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</si>
  <si>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</si>
  <si>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</si>
  <si>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</si>
  <si>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</si>
  <si>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</si>
  <si>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</si>
  <si>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</si>
  <si>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</si>
  <si>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</si>
  <si>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</si>
  <si>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</si>
  <si>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</si>
  <si>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</si>
  <si>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</si>
  <si>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</si>
  <si>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</si>
  <si>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</si>
  <si>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</si>
  <si>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</si>
  <si>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</si>
  <si>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</si>
  <si>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</si>
  <si>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</si>
  <si>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</si>
  <si>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</si>
  <si>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</si>
  <si>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</si>
  <si>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</si>
  <si>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</si>
  <si>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</si>
  <si>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</si>
  <si>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</si>
  <si>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</si>
  <si>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</si>
  <si>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</si>
  <si>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</si>
  <si>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</si>
  <si>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</si>
  <si>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</si>
  <si>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</si>
  <si>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</si>
  <si>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</si>
  <si>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</si>
  <si>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</si>
  <si>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</si>
  <si>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</si>
  <si>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</si>
  <si>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</si>
  <si>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</si>
  <si>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</si>
  <si>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</si>
  <si>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</si>
  <si>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</si>
  <si>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</si>
  <si>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</si>
  <si>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</si>
  <si>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</si>
  <si>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</si>
  <si>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</si>
  <si>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</si>
  <si>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</si>
  <si>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</si>
  <si>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</si>
  <si>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</si>
  <si>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</si>
  <si>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</si>
  <si>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</si>
  <si>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</si>
  <si>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</si>
  <si>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</si>
  <si>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</si>
  <si>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</si>
  <si>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</si>
  <si>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</si>
  <si>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</si>
  <si>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</si>
  <si>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</si>
  <si>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</si>
  <si>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</si>
  <si>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</si>
  <si>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</si>
  <si>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</si>
  <si>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</si>
  <si>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</si>
  <si>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</si>
  <si>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</si>
  <si>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</si>
  <si>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</si>
  <si>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</si>
  <si>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</si>
  <si>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</si>
  <si>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</si>
  <si>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</si>
  <si>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</si>
  <si>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</si>
  <si>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</si>
  <si>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</si>
  <si>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</si>
  <si>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</si>
  <si>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</si>
  <si>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</si>
  <si>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</si>
  <si>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</si>
  <si>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</si>
  <si>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</si>
  <si>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</si>
  <si>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</si>
  <si>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</si>
  <si>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</si>
  <si>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</si>
  <si>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</si>
  <si>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</si>
  <si>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</si>
  <si>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</si>
  <si>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</si>
  <si>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</si>
  <si>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</si>
  <si>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</si>
  <si>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</si>
  <si>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</si>
  <si>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</si>
  <si>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</si>
  <si>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</si>
  <si>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</si>
  <si>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</si>
  <si>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</si>
  <si>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</si>
  <si>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</si>
  <si>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</si>
  <si>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</si>
  <si>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</si>
  <si>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</si>
  <si>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</si>
  <si>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</si>
  <si>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</si>
  <si>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</si>
  <si>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</si>
  <si>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</si>
  <si>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</si>
  <si>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</si>
  <si>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</si>
  <si>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</si>
  <si>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</si>
  <si>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</si>
  <si>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</si>
  <si>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</si>
  <si>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</si>
  <si>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</si>
  <si>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</si>
  <si>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</si>
  <si>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</si>
  <si>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</si>
  <si>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</si>
  <si>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</si>
  <si>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</si>
  <si>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</si>
  <si>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</si>
  <si>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</si>
  <si>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</si>
  <si>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</si>
  <si>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</si>
  <si>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</si>
  <si>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</si>
  <si>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</si>
  <si>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</si>
  <si>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</si>
  <si>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</si>
  <si>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</si>
  <si>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</si>
  <si>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</si>
  <si>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</si>
  <si>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</si>
  <si>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</si>
  <si>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</si>
  <si>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</si>
  <si>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</si>
  <si>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</si>
  <si>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</si>
  <si>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</si>
  <si>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</si>
  <si>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</si>
  <si>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</si>
  <si>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</si>
  <si>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</si>
  <si>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</si>
  <si>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</si>
  <si>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</si>
  <si>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</si>
  <si>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</si>
  <si>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</si>
  <si>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</si>
  <si>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</si>
  <si>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</si>
  <si>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</si>
  <si>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</si>
  <si>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</si>
  <si>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</si>
  <si>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</si>
  <si>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</si>
  <si>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</si>
  <si>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</si>
  <si>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</si>
  <si>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</si>
  <si>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</si>
  <si>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</si>
  <si>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</si>
  <si>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</si>
  <si>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</si>
  <si>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</si>
  <si>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</si>
  <si>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</si>
  <si>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</si>
  <si>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</si>
  <si>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</si>
  <si>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</si>
  <si>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</si>
  <si>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</si>
  <si>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</si>
  <si>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</si>
  <si>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</si>
  <si>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</si>
  <si>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</si>
  <si>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</si>
  <si>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</si>
  <si>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</si>
  <si>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</si>
  <si>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</si>
  <si>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</si>
  <si>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</si>
  <si>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</si>
  <si>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</si>
  <si>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</si>
  <si>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</si>
  <si>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</si>
  <si>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</si>
  <si>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</si>
  <si>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</si>
  <si>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</si>
  <si>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</si>
  <si>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</si>
  <si>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</si>
  <si>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</si>
  <si>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</si>
  <si>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</si>
  <si>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</si>
  <si>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</si>
  <si>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</si>
  <si>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</si>
  <si>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</si>
  <si>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</si>
  <si>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</si>
  <si>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</si>
  <si>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</si>
  <si>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</si>
  <si>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</si>
  <si>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</si>
  <si>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</si>
  <si>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</si>
  <si>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</si>
  <si>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</si>
  <si>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</si>
  <si>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</si>
  <si>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</si>
  <si>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</si>
  <si>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</si>
  <si>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</si>
  <si>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</si>
  <si>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</si>
  <si>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</si>
  <si>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</si>
  <si>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</si>
  <si>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</si>
  <si>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</si>
  <si>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</si>
  <si>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</si>
  <si>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</si>
  <si>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</si>
  <si>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</si>
  <si>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</si>
  <si>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</si>
  <si>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</si>
  <si>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</si>
  <si>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</si>
  <si>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</si>
  <si>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</si>
  <si>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</si>
  <si>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</si>
  <si>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</si>
  <si>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</si>
  <si>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</si>
  <si>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</si>
  <si>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</si>
  <si>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</si>
  <si>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</si>
  <si>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</si>
  <si>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</si>
  <si>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</si>
  <si>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</si>
  <si>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</si>
  <si>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</si>
  <si>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</si>
  <si>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</si>
  <si>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</si>
  <si>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</si>
  <si>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</si>
  <si>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</si>
  <si>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</si>
  <si>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</si>
  <si>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</si>
  <si>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</si>
  <si>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</si>
  <si>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</si>
  <si>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</si>
  <si>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</si>
  <si>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</si>
  <si>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</si>
  <si>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</si>
  <si>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</si>
  <si>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</si>
  <si>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</si>
  <si>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</si>
  <si>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</si>
  <si>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</si>
  <si>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</si>
  <si>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</si>
  <si>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</si>
  <si>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</si>
  <si>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NONE</t>
  </si>
  <si>
    <t>The accompanying Schedule of Expenditures of Federal Awards includes the federal grant activity of Chester Community School District No. 139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</si>
  <si>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Chester Community Unit School District No. 11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</si>
  <si>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Chester Community Unit School District No. 139 provided federal awards to subrecipients as follows:</t>
  </si>
  <si>
    <t>Unmodified</t>
  </si>
  <si>
    <t>Financial statement preparation</t>
  </si>
  <si>
    <t>No questioned costs</t>
  </si>
  <si>
    <t>Inaccurate or incomplete financial statements could be issued to the public or other third parties.</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</si>
  <si>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</si>
  <si>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The District believes its accounting staff maintains adequate books and records of the school's transactions.  Additionally, the District does not believe it is cost beneficial to hire additional accounting expertise to ensure the District's annual financial statements are prepared in accordance with the regulatory provisions discussed above.</t>
  </si>
  <si>
    <t>2019-001</t>
  </si>
  <si>
    <t>The District does not have the personnel or staff</t>
  </si>
  <si>
    <t>with sufficient training or expertise to ensure the</t>
  </si>
  <si>
    <t>District's annual financial statements are prepared</t>
  </si>
  <si>
    <t>in accordance with regulatory provisions</t>
  </si>
  <si>
    <t>prescribed by the Illinois State Board of Education</t>
  </si>
  <si>
    <t>and include all required disclosures, and relies on</t>
  </si>
  <si>
    <t>auditor to prepare.</t>
  </si>
  <si>
    <t>The District believes its accounting staff maintains</t>
  </si>
  <si>
    <t>adequate books and records of the school's</t>
  </si>
  <si>
    <t>Additionally, the District does not believe it is cost</t>
  </si>
  <si>
    <t>beneficial to hire additional expertise to ensure</t>
  </si>
  <si>
    <t>the District's annual financial statements are</t>
  </si>
  <si>
    <t>prepared in accordance with regulatory provisions</t>
  </si>
  <si>
    <t>prescribed by ISBE and all required disclosures.  The</t>
  </si>
  <si>
    <t>District will continue to reevaluate on an ongoing</t>
  </si>
  <si>
    <t>basis.</t>
  </si>
  <si>
    <t>transactions and oversees all non audit functions.</t>
  </si>
  <si>
    <t>2019-002</t>
  </si>
  <si>
    <t>As of fiscal year end 6/30/2019, it was noted that</t>
  </si>
  <si>
    <t>the District had expenditures in excess of its</t>
  </si>
  <si>
    <t>approved budget in the O&amp;M Fund by $22,870, in</t>
  </si>
  <si>
    <t>the Transportation Fund by $2,591, and in the Tort</t>
  </si>
  <si>
    <t>Fund by $1,244.</t>
  </si>
  <si>
    <t>2019-003</t>
  </si>
  <si>
    <t xml:space="preserve">A paraprofessional charged to the Title I - Low </t>
  </si>
  <si>
    <t>Income grant did not have an active license in the</t>
  </si>
  <si>
    <t>The paraprofessional in question was administratively</t>
  </si>
  <si>
    <t>moved into a supervisory position, not requiring the</t>
  </si>
  <si>
    <t>endorsement.  All other paraprofessionals have</t>
  </si>
  <si>
    <t>been verified to have the proper license endorsement</t>
  </si>
  <si>
    <t>to serve in their respective positions.</t>
  </si>
  <si>
    <t>The District is required to spend within its legal budgetary authority.</t>
  </si>
  <si>
    <t>The District was not in spending compliance by spending more than its budget for the year.</t>
  </si>
  <si>
    <t>The District did not correctly amend its budget to account for additional expenses incurred.</t>
  </si>
  <si>
    <t>The District should adopt a reasonable budget and amend the budget as necessary in order to stay compliant.</t>
  </si>
  <si>
    <t>The District understands the importance of spending within its legal budgetary authority.  In the future, the District will amend the budget as necessary in order to stay compliant.</t>
  </si>
  <si>
    <t>The District had four funds with expenditures over budget.</t>
  </si>
  <si>
    <t>In the current year, this was not a finding for the O&amp;M</t>
  </si>
  <si>
    <t>Fund, but it was a finding for the Debt Service Fund,</t>
  </si>
  <si>
    <t>the Transportation Fund, the Tort Fund, and the Fire</t>
  </si>
  <si>
    <t>Prevention &amp; Safety Fund.</t>
  </si>
  <si>
    <t>US DEPARTMENT OF AGRICULTURE - PASS THROUGH ILLINOIS STATE BOARD OF EDUCATION</t>
  </si>
  <si>
    <t xml:space="preserve">     SCHOOL BREAKFAST PROGRAM</t>
  </si>
  <si>
    <t xml:space="preserve">     SCHOOL LUNCH COMMODITIES (NON CASH)</t>
  </si>
  <si>
    <t xml:space="preserve">      NATIONAL SCHOOL LUNCH PROGRAM</t>
  </si>
  <si>
    <t xml:space="preserve">     NATIONAL SCHOOL LUNCH PROGRAM</t>
  </si>
  <si>
    <t xml:space="preserve">     SUMMER SCHOOL FOOD SERVICE</t>
  </si>
  <si>
    <t>19-4220-00</t>
  </si>
  <si>
    <t>20-4220-00</t>
  </si>
  <si>
    <t>19-4210-00</t>
  </si>
  <si>
    <t>20-4210-00</t>
  </si>
  <si>
    <t>20-4225-00</t>
  </si>
  <si>
    <t xml:space="preserve">          SUBTOTAL CHILD  NUTRITION CLUSTER</t>
  </si>
  <si>
    <t>N/A</t>
  </si>
  <si>
    <t>TOTAL US DEPT OF AG - PASSED THROUGH IL STATE BOARD OF EDUCATION</t>
  </si>
  <si>
    <t>US DEPARTMENT OF EDUCATION - PASS THROUGH IL STATE BOARD OF EDUCATION</t>
  </si>
  <si>
    <t xml:space="preserve">     TITLE I - LOW INCOME (M)</t>
  </si>
  <si>
    <t>19-4300-00</t>
  </si>
  <si>
    <t>20-4300-00</t>
  </si>
  <si>
    <t xml:space="preserve">          SUBTOTAL TITLE I - LOW INCOME (M)</t>
  </si>
  <si>
    <t xml:space="preserve">     ELEMENTARY AND SECONDARY SCHOOL EMERGENCY RELIEF FUND (ESSER)</t>
  </si>
  <si>
    <t>84.425D</t>
  </si>
  <si>
    <t>20-4998-00</t>
  </si>
  <si>
    <t>US DEPARTMENT OF EDUCATION - PASS THROUGH IL STATE BOARD OF EDUCATION (CONTINUED)</t>
  </si>
  <si>
    <t xml:space="preserve">     TITLE II - TEACHER QUALITY</t>
  </si>
  <si>
    <t>19-4932-00</t>
  </si>
  <si>
    <t>20-4932-00</t>
  </si>
  <si>
    <t xml:space="preserve">          SUBTOTAL TITLE II - TEACHER QUALITY</t>
  </si>
  <si>
    <t>US DEPARTMENT OF EDUCATION - PASS THROUGH MONROE./RANDOLPH ROE &amp; OKAW</t>
  </si>
  <si>
    <t xml:space="preserve">     PERKINS IV</t>
  </si>
  <si>
    <t>20-4770</t>
  </si>
  <si>
    <t>TOTAL US DEPARTMENT OF EDUCATION - PASS THROUGH MONROE./RANDOLPH ROE &amp; OKAW</t>
  </si>
  <si>
    <t>US DEPT OF HEALTH &amp; HUMAN SERV -PASS THROUGH IL DEPT OF HEALTHCARE &amp; FAMILY SERV</t>
  </si>
  <si>
    <t xml:space="preserve">    ADMINISTRATIVE OUTREACH</t>
  </si>
  <si>
    <t>TOTAL US DEPT OF HEALTH &amp; HUMAN SERV-PASS THROUGH IL DEPT OF HEALTHCARE &amp; FAMILY SERV</t>
  </si>
  <si>
    <t>20-4991-00</t>
  </si>
  <si>
    <t>US DEPARTMENT OF EDUCATION - PASS THROUGH PERANDOE SPECIAL EDUCATION DISTRICT</t>
  </si>
  <si>
    <t xml:space="preserve">     FEDERAL SPECIAL ED - IDEA FLOW THROUGH (M)</t>
  </si>
  <si>
    <t xml:space="preserve">          TOTAL US DEPT OF ED - PASS THROUGH PERANDOE SPECIAL EDUCATION DISTRICT</t>
  </si>
  <si>
    <t xml:space="preserve"> US DEPARTMENT OF EDUCATION - PASS THROUGH IL STATE BOARD OF EDUCATION</t>
  </si>
  <si>
    <t xml:space="preserve">     FEDERAL SPECIAL ED - IDEA ROOM &amp; BOARD (M)</t>
  </si>
  <si>
    <t xml:space="preserve">          TOTAL US DEPT OF ED - PASS THROUGH ILLINOIS STATE BOARD OF EDUCATION</t>
  </si>
  <si>
    <t xml:space="preserve">                    TOTAL IDEA CLUSTER (M)</t>
  </si>
  <si>
    <t xml:space="preserve">                    TOTAL</t>
  </si>
  <si>
    <t>19-4625-00</t>
  </si>
  <si>
    <t>The District is required to ensure that all applicable parties file economic interest statements with the County.</t>
  </si>
  <si>
    <t>The District had three employees who failed to file an economic interest statement pursuant to the Illinois Government Ethics Act [5 ILCS 420/4A-101].</t>
  </si>
  <si>
    <t xml:space="preserve">The District had 12 employees or board members that were required to file.  Out of these 12, three did not.  </t>
  </si>
  <si>
    <t>The District is in violation of the Illinois Government Ethics Act.  [5 ILCS 420/4A-101].</t>
  </si>
  <si>
    <t xml:space="preserve">The employees mistakenly forgot to file or did not know they needed to file an economic interest statement for this year. </t>
  </si>
  <si>
    <t>The District should check with the County to see that all qualifying district employees filed their economic interest statement timely to ensure compliance with the Illinois Government Ethics Act.</t>
  </si>
  <si>
    <t>Education website.</t>
  </si>
  <si>
    <t>ELIS system on the Illinois State Board of</t>
  </si>
  <si>
    <t>The Superintendent notified the three employees who had not filed.  Further, the Superintendent confirmed that the economic interest statements for those employees have since been filed with the County Clerk's office.</t>
  </si>
  <si>
    <t>45-079-1390-26</t>
  </si>
  <si>
    <t>Randolph</t>
  </si>
  <si>
    <t>Chester Community Unit School District No. 139</t>
  </si>
  <si>
    <t>1940 Swanwick St.</t>
  </si>
  <si>
    <t>Chester</t>
  </si>
  <si>
    <t>brianpasero@chester139.com</t>
  </si>
  <si>
    <t>Scheffel Boyle</t>
  </si>
  <si>
    <t>Keith G. Brinkmann, CPA</t>
  </si>
  <si>
    <t xml:space="preserve">7 Hill Castle </t>
  </si>
  <si>
    <t>Columbia</t>
  </si>
  <si>
    <t>IL</t>
  </si>
  <si>
    <t>618-281-7605</t>
  </si>
  <si>
    <t>618-281-6630</t>
  </si>
  <si>
    <t>065-014460</t>
  </si>
  <si>
    <t>keith.brinkmann@scheffelboyle.com</t>
  </si>
  <si>
    <t>2009 Issue</t>
  </si>
  <si>
    <t>2013 Issue</t>
  </si>
  <si>
    <t>2015 Issue</t>
  </si>
  <si>
    <t>2015B Issue</t>
  </si>
  <si>
    <t>2020 Issue</t>
  </si>
  <si>
    <t>3 &amp; 4</t>
  </si>
  <si>
    <t>Alternate Revenue Bond</t>
  </si>
  <si>
    <t>Red Brick Alternative School</t>
  </si>
  <si>
    <t>PSIC</t>
  </si>
  <si>
    <t>Perandoe Special Education District - Cindy Ponder</t>
  </si>
  <si>
    <t>Perandoe Special Education District</t>
  </si>
  <si>
    <t>Career Center of Southern Illinois</t>
  </si>
  <si>
    <t>Page #</t>
  </si>
  <si>
    <t>Line #</t>
  </si>
  <si>
    <t>Object</t>
  </si>
  <si>
    <t>Western Egyptian Lunch Reimbursement</t>
  </si>
  <si>
    <t>HS Tournament Receipts</t>
  </si>
  <si>
    <t>GS Tournament Receipts</t>
  </si>
  <si>
    <t>GS Rebates</t>
  </si>
  <si>
    <t>HS Rebates</t>
  </si>
  <si>
    <t>E-Rate Revenue</t>
  </si>
  <si>
    <t>Other Revenue</t>
  </si>
  <si>
    <t>Work Based Program</t>
  </si>
  <si>
    <t>Library Grant</t>
  </si>
  <si>
    <t>CTE - Carl Perkins Grant</t>
  </si>
  <si>
    <t>Debt Service Fees - Heartland</t>
  </si>
  <si>
    <t>Debt Service Fees - UMB</t>
  </si>
  <si>
    <t>ED-Instruction-Purch Svc</t>
  </si>
  <si>
    <t>Quality Network Solutions</t>
  </si>
  <si>
    <t>TRANS-Public Trans-Purch Svc</t>
  </si>
  <si>
    <t>SWIBCO</t>
  </si>
  <si>
    <t>IDEA Cluster</t>
  </si>
  <si>
    <t>As of fiscal year end, it was noted that the District had expenditures in excess of its approved budget in the Debt Service Fund by $2,303,067, the Transportation Fund by $51,903, the Tort Fund by $3,036, and the Fire Prevention &amp; Safety Fund by $249,571.</t>
  </si>
  <si>
    <t>1 &amp; 4</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</si>
  <si>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adjustments and disclosures, and relies on auditor to prepare.</t>
  </si>
  <si>
    <t>The District should consider the costs and benefits of hiring additional expertise or training existing accounting staff to ensure the District's annual financial statements are prepared in accordance with regulatory provisions prescribed by the Illinois State Board of Education and include all required adjustments and disclosures.</t>
  </si>
  <si>
    <t>SCHEFFEL BOYLE</t>
  </si>
  <si>
    <t>PDF with signature page is embedded in the Opinions-Notes tab.  PDF is named 45-079-1390-26F.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</si>
</sst>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57" fillId="0" borderId="0" xfId="3" applyFont="1" applyFill="1" applyProtection="1">
      <protection locked="0"/>
    </xf>
    <xf numFmtId="0" fontId="57" fillId="0" borderId="0" xfId="0" applyFont="1" applyAlignment="1">
      <alignment horizontal="center"/>
    </xf>
    <xf numFmtId="0" fontId="75" fillId="0" borderId="0" xfId="0" applyFont="1" applyAlignment="1">
      <alignment horizontal="center"/>
    </xf>
    <xf numFmtId="41" fontId="57" fillId="0" borderId="0" xfId="0" applyNumberFormat="1" applyFont="1"/>
    <xf numFmtId="43" fontId="57" fillId="0" borderId="0" xfId="0" applyNumberFormat="1" applyFont="1"/>
    <xf numFmtId="185" fontId="57" fillId="0" borderId="0" xfId="0" applyNumberFormat="1" applyFont="1"/>
    <xf numFmtId="185" fontId="57" fillId="0" borderId="196" xfId="0" applyNumberFormat="1"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0" xfId="3" applyFont="1" applyFill="1" applyBorder="1" applyAlignment="1" applyProtection="1">
      <alignment horizontal="left" vertical="top" wrapText="1"/>
      <protection locked="0"/>
    </xf>
    <xf numFmtId="0" fontId="57" fillId="0" borderId="0" xfId="3" applyFont="1" applyFill="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35502</xdr:colOff>
          <xdr:row>3</xdr:row>
          <xdr:rowOff>122093</xdr:rowOff>
        </xdr:from>
        <xdr:to>
          <xdr:col>1</xdr:col>
          <xdr:colOff>949902</xdr:colOff>
          <xdr:row>8</xdr:row>
          <xdr:rowOff>8659</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400-000001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1045152</xdr:colOff>
          <xdr:row>3</xdr:row>
          <xdr:rowOff>122093</xdr:rowOff>
        </xdr:from>
        <xdr:to>
          <xdr:col>1</xdr:col>
          <xdr:colOff>1959552</xdr:colOff>
          <xdr:row>8</xdr:row>
          <xdr:rowOff>8659</xdr:rowOff>
        </xdr:to>
        <xdr:sp macro="" textlink="">
          <xdr:nvSpPr>
            <xdr:cNvPr id="58370" name="Object 2" hidden="1">
              <a:extLst>
                <a:ext uri="{63B3BB69-23CF-44E3-9099-C40C66FF867C}">
                  <a14:compatExt spid="_x0000_s58370"/>
                </a:ext>
                <a:ext uri="{FF2B5EF4-FFF2-40B4-BE49-F238E27FC236}">
                  <a16:creationId xmlns:a16="http://schemas.microsoft.com/office/drawing/2014/main" id="{00000000-0008-0000-1400-000002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2073852</xdr:colOff>
          <xdr:row>3</xdr:row>
          <xdr:rowOff>122093</xdr:rowOff>
        </xdr:from>
        <xdr:to>
          <xdr:col>1</xdr:col>
          <xdr:colOff>2988252</xdr:colOff>
          <xdr:row>8</xdr:row>
          <xdr:rowOff>8659</xdr:rowOff>
        </xdr:to>
        <xdr:sp macro="" textlink="">
          <xdr:nvSpPr>
            <xdr:cNvPr id="58371" name="Object 3" hidden="1">
              <a:extLst>
                <a:ext uri="{63B3BB69-23CF-44E3-9099-C40C66FF867C}">
                  <a14:compatExt spid="_x0000_s58371"/>
                </a:ext>
                <a:ext uri="{FF2B5EF4-FFF2-40B4-BE49-F238E27FC236}">
                  <a16:creationId xmlns:a16="http://schemas.microsoft.com/office/drawing/2014/main" id="{00000000-0008-0000-1400-000003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3083502</xdr:colOff>
          <xdr:row>3</xdr:row>
          <xdr:rowOff>122093</xdr:rowOff>
        </xdr:from>
        <xdr:to>
          <xdr:col>2</xdr:col>
          <xdr:colOff>18184</xdr:colOff>
          <xdr:row>8</xdr:row>
          <xdr:rowOff>8659</xdr:rowOff>
        </xdr:to>
        <xdr:sp macro="" textlink="">
          <xdr:nvSpPr>
            <xdr:cNvPr id="58372" name="Object 4" hidden="1">
              <a:extLst>
                <a:ext uri="{63B3BB69-23CF-44E3-9099-C40C66FF867C}">
                  <a14:compatExt spid="_x0000_s58372"/>
                </a:ext>
                <a:ext uri="{FF2B5EF4-FFF2-40B4-BE49-F238E27FC236}">
                  <a16:creationId xmlns:a16="http://schemas.microsoft.com/office/drawing/2014/main" id="{00000000-0008-0000-1400-000004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348095</xdr:colOff>
          <xdr:row>3</xdr:row>
          <xdr:rowOff>122093</xdr:rowOff>
        </xdr:from>
        <xdr:to>
          <xdr:col>5</xdr:col>
          <xdr:colOff>36368</xdr:colOff>
          <xdr:row>8</xdr:row>
          <xdr:rowOff>8659</xdr:rowOff>
        </xdr:to>
        <xdr:sp macro="" textlink="">
          <xdr:nvSpPr>
            <xdr:cNvPr id="58373" name="Object 5" hidden="1">
              <a:extLst>
                <a:ext uri="{63B3BB69-23CF-44E3-9099-C40C66FF867C}">
                  <a14:compatExt spid="_x0000_s58373"/>
                </a:ext>
                <a:ext uri="{FF2B5EF4-FFF2-40B4-BE49-F238E27FC236}">
                  <a16:creationId xmlns:a16="http://schemas.microsoft.com/office/drawing/2014/main" id="{00000000-0008-0000-1400-000005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3</xdr:row>
          <xdr:rowOff>122093</xdr:rowOff>
        </xdr:from>
        <xdr:to>
          <xdr:col>3</xdr:col>
          <xdr:colOff>300470</xdr:colOff>
          <xdr:row>8</xdr:row>
          <xdr:rowOff>8659</xdr:rowOff>
        </xdr:to>
        <xdr:sp macro="" textlink="">
          <xdr:nvSpPr>
            <xdr:cNvPr id="58374" name="Object 6" hidden="1">
              <a:extLst>
                <a:ext uri="{63B3BB69-23CF-44E3-9099-C40C66FF867C}">
                  <a14:compatExt spid="_x0000_s58374"/>
                </a:ext>
                <a:ext uri="{FF2B5EF4-FFF2-40B4-BE49-F238E27FC236}">
                  <a16:creationId xmlns:a16="http://schemas.microsoft.com/office/drawing/2014/main" id="{00000000-0008-0000-1400-000006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T26" sqref="T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402</v>
      </c>
      <c r="J1" s="2089"/>
      <c r="K1" s="2089"/>
      <c r="L1" s="2089"/>
      <c r="M1" s="2089"/>
      <c r="N1" s="2089"/>
      <c r="O1" s="2089"/>
      <c r="P1" s="2089"/>
      <c r="Q1" s="2089"/>
      <c r="R1" s="2089"/>
      <c r="S1" s="2089"/>
    </row>
    <row r="2" spans="1:32" ht="12" customHeight="1" x14ac:dyDescent="0.2">
      <c r="A2" s="1831" t="str">
        <f>"Due to ISBE on "</f>
        <v xml:space="preserve">Due to ISBE on </v>
      </c>
      <c r="B2" s="2131">
        <f>+'AFR20'!F4</f>
        <v>44151</v>
      </c>
      <c r="C2" s="2131"/>
      <c r="D2" s="2132"/>
      <c r="I2" s="2090" t="s">
        <v>2000</v>
      </c>
      <c r="J2" s="2089"/>
      <c r="K2" s="2089"/>
      <c r="L2" s="2089"/>
      <c r="M2" s="2089"/>
      <c r="N2" s="2089"/>
      <c r="O2" s="2089"/>
      <c r="P2" s="2089"/>
      <c r="Q2" s="2089"/>
      <c r="R2" s="2089"/>
      <c r="S2" s="2089"/>
    </row>
    <row r="3" spans="1:32" ht="12" customHeight="1" x14ac:dyDescent="0.2">
      <c r="A3" s="1834"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t="s">
        <v>2048</v>
      </c>
      <c r="C5" s="26" t="s">
        <v>904</v>
      </c>
      <c r="D5" s="81"/>
      <c r="E5" s="81"/>
      <c r="H5" s="38"/>
      <c r="I5" s="2098" t="s">
        <v>675</v>
      </c>
      <c r="J5" s="2097"/>
      <c r="K5" s="2097"/>
      <c r="L5" s="2097"/>
      <c r="M5" s="2097"/>
      <c r="N5" s="2097"/>
      <c r="O5" s="2097"/>
      <c r="P5" s="2097"/>
      <c r="Q5" s="2097"/>
      <c r="R5" s="2097"/>
      <c r="S5" s="2097"/>
      <c r="AF5" s="1827"/>
    </row>
    <row r="6" spans="1:32" ht="14.1" customHeight="1" x14ac:dyDescent="0.2">
      <c r="B6" s="101"/>
      <c r="C6" s="26" t="s">
        <v>905</v>
      </c>
      <c r="D6" s="81"/>
      <c r="E6" s="81"/>
      <c r="I6" s="2096" t="s">
        <v>877</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146" t="s">
        <v>530</v>
      </c>
      <c r="U9" s="2147"/>
      <c r="V9" s="2147"/>
      <c r="W9" s="2147"/>
      <c r="X9" s="2147"/>
      <c r="Y9" s="2147"/>
      <c r="Z9" s="2147"/>
      <c r="AA9" s="2148"/>
    </row>
    <row r="10" spans="1:32" ht="13.5" customHeight="1" x14ac:dyDescent="0.2">
      <c r="A10" s="2153" t="s">
        <v>670</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949</v>
      </c>
      <c r="B11" s="2157"/>
      <c r="C11" s="2157"/>
      <c r="D11" s="2157"/>
      <c r="E11" s="2157"/>
      <c r="F11" s="2157"/>
      <c r="G11" s="2157"/>
      <c r="H11" s="2158"/>
      <c r="I11" s="27"/>
      <c r="J11" s="71"/>
      <c r="K11" s="27"/>
      <c r="O11" s="144" t="s">
        <v>2048</v>
      </c>
      <c r="P11" s="97" t="s">
        <v>199</v>
      </c>
      <c r="Q11" s="30"/>
      <c r="R11" s="28"/>
      <c r="S11" s="27"/>
      <c r="T11" s="2150"/>
      <c r="U11" s="2151"/>
      <c r="V11" s="2151"/>
      <c r="W11" s="2151"/>
      <c r="X11" s="2151"/>
      <c r="Y11" s="2151"/>
      <c r="Z11" s="2151"/>
      <c r="AA11" s="21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9" t="s">
        <v>2154</v>
      </c>
      <c r="B13" s="2110"/>
      <c r="C13" s="2110"/>
      <c r="D13" s="2110"/>
      <c r="E13" s="2110"/>
      <c r="F13" s="2110"/>
      <c r="G13" s="2110"/>
      <c r="H13" s="2111"/>
      <c r="I13" s="31"/>
      <c r="J13" s="30"/>
      <c r="K13" s="28"/>
      <c r="L13" s="30"/>
      <c r="M13" s="30"/>
      <c r="N13" s="30"/>
      <c r="O13" s="30"/>
      <c r="P13" s="30"/>
      <c r="Q13" s="30"/>
      <c r="R13" s="30"/>
      <c r="S13" s="30"/>
      <c r="T13" s="2115" t="s">
        <v>2160</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2" t="s">
        <v>2155</v>
      </c>
      <c r="B15" s="2113"/>
      <c r="C15" s="2113"/>
      <c r="D15" s="2113"/>
      <c r="E15" s="2113"/>
      <c r="F15" s="2113"/>
      <c r="G15" s="2113"/>
      <c r="H15" s="2114"/>
      <c r="T15" s="2119" t="s">
        <v>2161</v>
      </c>
      <c r="U15" s="2076"/>
      <c r="V15" s="2076"/>
      <c r="W15" s="2076"/>
      <c r="X15" s="2076"/>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2" t="s">
        <v>2156</v>
      </c>
      <c r="B17" s="2083"/>
      <c r="C17" s="2083"/>
      <c r="D17" s="2083"/>
      <c r="E17" s="2083"/>
      <c r="F17" s="2083"/>
      <c r="G17" s="2083"/>
      <c r="H17" s="2108"/>
      <c r="T17" s="2126" t="s">
        <v>2162</v>
      </c>
      <c r="U17" s="2127"/>
      <c r="V17" s="2127"/>
      <c r="W17" s="2127"/>
      <c r="X17" s="2127"/>
      <c r="Y17" s="2127"/>
      <c r="Z17" s="2127"/>
      <c r="AA17" s="2128"/>
    </row>
    <row r="18" spans="1:27" ht="13.5" customHeight="1" x14ac:dyDescent="0.2">
      <c r="A18" s="82" t="s">
        <v>527</v>
      </c>
      <c r="B18" s="73"/>
      <c r="C18" s="69"/>
      <c r="D18" s="73"/>
      <c r="E18" s="73"/>
      <c r="F18" s="73"/>
      <c r="G18" s="73"/>
      <c r="H18" s="53"/>
      <c r="I18" s="2107" t="s">
        <v>671</v>
      </c>
      <c r="J18" s="2058"/>
      <c r="K18" s="2058"/>
      <c r="L18" s="2058"/>
      <c r="M18" s="2058"/>
      <c r="N18" s="2058"/>
      <c r="O18" s="2058"/>
      <c r="P18" s="2058"/>
      <c r="Q18" s="2058"/>
      <c r="R18" s="2058"/>
      <c r="S18" s="2059"/>
      <c r="T18" s="82" t="s">
        <v>706</v>
      </c>
      <c r="U18" s="48"/>
      <c r="V18" s="69"/>
      <c r="W18" s="47"/>
      <c r="X18" s="82" t="s">
        <v>264</v>
      </c>
      <c r="Y18" s="78"/>
      <c r="Z18" s="154" t="s">
        <v>672</v>
      </c>
      <c r="AA18" s="44"/>
    </row>
    <row r="19" spans="1:27" ht="13.5" customHeight="1" x14ac:dyDescent="0.2">
      <c r="A19" s="2112" t="s">
        <v>2157</v>
      </c>
      <c r="B19" s="2068"/>
      <c r="C19" s="2068"/>
      <c r="D19" s="2068"/>
      <c r="E19" s="2068"/>
      <c r="F19" s="2068"/>
      <c r="G19" s="2068"/>
      <c r="H19" s="2048"/>
      <c r="I19" s="30"/>
      <c r="J19" s="96"/>
      <c r="K19" s="40"/>
      <c r="L19" s="38"/>
      <c r="M19" s="109" t="s">
        <v>312</v>
      </c>
      <c r="P19" s="27"/>
      <c r="Q19" s="27"/>
      <c r="R19" s="27"/>
      <c r="S19" s="31"/>
      <c r="T19" s="2112" t="s">
        <v>2163</v>
      </c>
      <c r="U19" s="2047"/>
      <c r="V19" s="2047"/>
      <c r="W19" s="2048"/>
      <c r="X19" s="2124" t="s">
        <v>2164</v>
      </c>
      <c r="Y19" s="2125"/>
      <c r="Z19" s="2122">
        <v>62236</v>
      </c>
      <c r="AA19" s="21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6" t="s">
        <v>2158</v>
      </c>
      <c r="B21" s="2047"/>
      <c r="C21" s="2047"/>
      <c r="D21" s="2047"/>
      <c r="E21" s="2047"/>
      <c r="F21" s="2047"/>
      <c r="G21" s="2047"/>
      <c r="H21" s="2048"/>
      <c r="I21" s="2102" t="s">
        <v>673</v>
      </c>
      <c r="J21" s="2097"/>
      <c r="K21" s="2097"/>
      <c r="L21" s="2097"/>
      <c r="M21" s="2097"/>
      <c r="N21" s="2097"/>
      <c r="O21" s="2097"/>
      <c r="P21" s="2097"/>
      <c r="Q21" s="2097"/>
      <c r="R21" s="2097"/>
      <c r="S21" s="2103"/>
      <c r="T21" s="2137" t="s">
        <v>2165</v>
      </c>
      <c r="U21" s="2138"/>
      <c r="V21" s="2138"/>
      <c r="W21" s="2138"/>
      <c r="X21" s="2143" t="s">
        <v>2166</v>
      </c>
      <c r="Y21" s="2144"/>
      <c r="Z21" s="2144"/>
      <c r="AA21" s="2145"/>
    </row>
    <row r="22" spans="1:27" ht="13.5" customHeight="1" x14ac:dyDescent="0.2">
      <c r="A22" s="84" t="s">
        <v>528</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1307</v>
      </c>
      <c r="Z22" s="43"/>
      <c r="AA22" s="44"/>
    </row>
    <row r="23" spans="1:27" ht="13.5" customHeight="1" x14ac:dyDescent="0.2">
      <c r="A23" s="2099" t="s">
        <v>2159</v>
      </c>
      <c r="B23" s="2100"/>
      <c r="C23" s="2100"/>
      <c r="D23" s="2100"/>
      <c r="E23" s="2100"/>
      <c r="F23" s="2100"/>
      <c r="G23" s="2100"/>
      <c r="H23" s="2101"/>
      <c r="T23" s="2082" t="s">
        <v>2167</v>
      </c>
      <c r="U23" s="2136"/>
      <c r="V23" s="2136"/>
      <c r="W23" s="2136"/>
      <c r="X23" s="2140">
        <v>44469</v>
      </c>
      <c r="Y23" s="2141"/>
      <c r="Z23" s="2141"/>
      <c r="AA23" s="2142"/>
    </row>
    <row r="24" spans="1:27" ht="14.1" customHeight="1" x14ac:dyDescent="0.2">
      <c r="A24" s="85" t="s">
        <v>672</v>
      </c>
      <c r="B24" s="46"/>
      <c r="C24" s="46"/>
      <c r="D24" s="46"/>
      <c r="E24" s="46"/>
      <c r="F24" s="46"/>
      <c r="G24" s="46"/>
      <c r="H24" s="58"/>
      <c r="J24" s="2069">
        <f>IF(B5="x",IF(AUDITCHECK!D29="AFR form Incomplete.","",IF(AUDITCHECK!D29="Deficit reduction plan is required.","School District must complete a deficit reduction plan in the 2020-2021 Budget",)),"")</f>
        <v>0</v>
      </c>
      <c r="K24" s="2069"/>
      <c r="L24" s="2069"/>
      <c r="M24" s="2069"/>
      <c r="N24" s="2069"/>
      <c r="O24" s="2069"/>
      <c r="P24" s="2069"/>
      <c r="Q24" s="2069"/>
      <c r="R24" s="2069"/>
      <c r="S24" s="2070"/>
      <c r="T24" s="102" t="s">
        <v>528</v>
      </c>
      <c r="U24" s="103"/>
      <c r="V24" s="103"/>
      <c r="W24" s="103"/>
      <c r="X24" s="104"/>
      <c r="Y24" s="104"/>
      <c r="Z24" s="104"/>
      <c r="AA24" s="105"/>
    </row>
    <row r="25" spans="1:27" ht="14.1" customHeight="1" x14ac:dyDescent="0.2">
      <c r="A25" s="2046">
        <v>62233</v>
      </c>
      <c r="B25" s="2047"/>
      <c r="C25" s="2047"/>
      <c r="D25" s="2047"/>
      <c r="E25" s="2047"/>
      <c r="F25" s="2047"/>
      <c r="G25" s="2047"/>
      <c r="H25" s="2048"/>
      <c r="I25" s="110"/>
      <c r="J25" s="2071"/>
      <c r="K25" s="2071"/>
      <c r="L25" s="2071"/>
      <c r="M25" s="2071"/>
      <c r="N25" s="2071"/>
      <c r="O25" s="2071"/>
      <c r="P25" s="2071"/>
      <c r="Q25" s="2071"/>
      <c r="R25" s="2071"/>
      <c r="S25" s="2072"/>
      <c r="T25" s="2133" t="s">
        <v>2168</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7" t="s">
        <v>1494</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2"/>
      <c r="B38" s="2083"/>
      <c r="C38" s="2083"/>
      <c r="D38" s="2083"/>
      <c r="E38" s="2083"/>
      <c r="F38" s="2047"/>
      <c r="G38" s="2047"/>
      <c r="H38" s="2048"/>
      <c r="I38" s="2075"/>
      <c r="J38" s="2076"/>
      <c r="K38" s="2076"/>
      <c r="L38" s="2076"/>
      <c r="M38" s="2076"/>
      <c r="N38" s="2076"/>
      <c r="O38" s="2076"/>
      <c r="P38" s="2077"/>
      <c r="Q38" s="2077"/>
      <c r="R38" s="2077"/>
      <c r="S38" s="2078"/>
      <c r="T38" s="2119"/>
      <c r="U38" s="2076"/>
      <c r="V38" s="2076"/>
      <c r="W38" s="2076"/>
      <c r="X38" s="2077"/>
      <c r="Y38" s="2077"/>
      <c r="Z38" s="2077"/>
      <c r="AA38" s="2078"/>
    </row>
    <row r="39" spans="1:27" ht="12" customHeight="1" x14ac:dyDescent="0.2">
      <c r="A39" s="2052" t="s">
        <v>528</v>
      </c>
      <c r="B39" s="2053"/>
      <c r="C39" s="69"/>
      <c r="D39" s="66"/>
      <c r="E39" s="66"/>
      <c r="F39" s="76"/>
      <c r="G39" s="66"/>
      <c r="H39" s="53"/>
      <c r="I39" s="2052" t="s">
        <v>528</v>
      </c>
      <c r="J39" s="2053"/>
      <c r="K39" s="2053"/>
      <c r="L39" s="2053"/>
      <c r="M39" s="2053"/>
      <c r="N39" s="64"/>
      <c r="O39" s="69"/>
      <c r="P39" s="69"/>
      <c r="Q39" s="75"/>
      <c r="R39" s="69"/>
      <c r="S39" s="53"/>
      <c r="T39" s="69" t="s">
        <v>528</v>
      </c>
      <c r="U39" s="48"/>
      <c r="V39" s="69"/>
      <c r="W39" s="47"/>
      <c r="X39" s="75"/>
      <c r="Y39" s="43"/>
      <c r="Z39" s="43"/>
      <c r="AA39" s="44"/>
    </row>
    <row r="40" spans="1:27" ht="13.5" customHeight="1" x14ac:dyDescent="0.2">
      <c r="A40" s="2060"/>
      <c r="B40" s="2061"/>
      <c r="C40" s="2062"/>
      <c r="D40" s="2062"/>
      <c r="E40" s="2062"/>
      <c r="F40" s="2063"/>
      <c r="G40" s="2063"/>
      <c r="H40" s="2064"/>
      <c r="I40" s="2085"/>
      <c r="J40" s="2086"/>
      <c r="K40" s="2086"/>
      <c r="L40" s="2086"/>
      <c r="M40" s="2086"/>
      <c r="N40" s="2086"/>
      <c r="O40" s="2086"/>
      <c r="P40" s="2086"/>
      <c r="Q40" s="2086"/>
      <c r="R40" s="2086"/>
      <c r="S40" s="2087"/>
      <c r="T40" s="2085"/>
      <c r="U40" s="2139"/>
      <c r="V40" s="2086"/>
      <c r="W40" s="2086"/>
      <c r="X40" s="2086"/>
      <c r="Y40" s="2086"/>
      <c r="Z40" s="2086"/>
      <c r="AA40" s="20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4"/>
      <c r="B42" s="2066"/>
      <c r="C42" s="2067"/>
      <c r="D42" s="2065"/>
      <c r="E42" s="2066"/>
      <c r="F42" s="2066"/>
      <c r="G42" s="2066"/>
      <c r="H42" s="2067"/>
      <c r="I42" s="2049"/>
      <c r="J42" s="2050"/>
      <c r="K42" s="2050"/>
      <c r="L42" s="2050"/>
      <c r="M42" s="2050"/>
      <c r="N42" s="2050"/>
      <c r="O42" s="2051"/>
      <c r="P42" s="2084"/>
      <c r="Q42" s="2050"/>
      <c r="R42" s="2050"/>
      <c r="S42" s="2051"/>
      <c r="T42" s="2049"/>
      <c r="U42" s="2050"/>
      <c r="V42" s="2050"/>
      <c r="W42" s="2051"/>
      <c r="X42" s="2084"/>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scaleWithDoc="0">
    <oddFooter xml:space="preserve">&amp;LSee notes to financial statements.&amp;C4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1145</v>
      </c>
      <c r="B4" s="1721">
        <f>'Revenues 9-14'!C5</f>
        <v>1707434</v>
      </c>
      <c r="C4" s="1722"/>
      <c r="D4" s="1723">
        <f>B4-C4</f>
        <v>1707434</v>
      </c>
      <c r="E4" s="1722">
        <v>1761833</v>
      </c>
      <c r="F4" s="1723">
        <f>E4-C4</f>
        <v>1761833</v>
      </c>
    </row>
    <row r="5" spans="1:8" ht="13.7" customHeight="1" x14ac:dyDescent="0.2">
      <c r="A5" s="579" t="s">
        <v>865</v>
      </c>
      <c r="B5" s="1724">
        <f>'Revenues 9-14'!D5</f>
        <v>464441</v>
      </c>
      <c r="C5" s="1664"/>
      <c r="D5" s="1725">
        <f t="shared" ref="D5:D18" si="0">B5-C5</f>
        <v>464441</v>
      </c>
      <c r="E5" s="1664">
        <v>474612</v>
      </c>
      <c r="F5" s="1725">
        <f>E5-C5</f>
        <v>474612</v>
      </c>
    </row>
    <row r="6" spans="1:8" ht="13.7" customHeight="1" x14ac:dyDescent="0.2">
      <c r="A6" s="579" t="s">
        <v>408</v>
      </c>
      <c r="B6" s="1724">
        <f>'Revenues 9-14'!E5</f>
        <v>319806</v>
      </c>
      <c r="C6" s="1664"/>
      <c r="D6" s="1725">
        <f t="shared" si="0"/>
        <v>319806</v>
      </c>
      <c r="E6" s="1664">
        <v>695266</v>
      </c>
      <c r="F6" s="1725">
        <f t="shared" ref="F6:F18" si="1">E6-C6</f>
        <v>695266</v>
      </c>
    </row>
    <row r="7" spans="1:8" ht="13.7" customHeight="1" x14ac:dyDescent="0.2">
      <c r="A7" s="579" t="s">
        <v>154</v>
      </c>
      <c r="B7" s="1724">
        <f>'Revenues 9-14'!F5</f>
        <v>185839</v>
      </c>
      <c r="C7" s="1664"/>
      <c r="D7" s="1725">
        <f t="shared" si="0"/>
        <v>185839</v>
      </c>
      <c r="E7" s="1664">
        <v>189918</v>
      </c>
      <c r="F7" s="1725">
        <f t="shared" si="1"/>
        <v>189918</v>
      </c>
    </row>
    <row r="8" spans="1:8" ht="13.7" customHeight="1" x14ac:dyDescent="0.2">
      <c r="A8" s="579" t="s">
        <v>1169</v>
      </c>
      <c r="B8" s="1724">
        <f>'Revenues 9-14'!G5</f>
        <v>119124</v>
      </c>
      <c r="C8" s="1664"/>
      <c r="D8" s="1725">
        <f t="shared" si="0"/>
        <v>119124</v>
      </c>
      <c r="E8" s="1664">
        <v>119357</v>
      </c>
      <c r="F8" s="1725">
        <f t="shared" si="1"/>
        <v>119357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43653</v>
      </c>
      <c r="C10" s="1664"/>
      <c r="D10" s="1725">
        <f t="shared" si="0"/>
        <v>43653</v>
      </c>
      <c r="E10" s="1664">
        <v>43737</v>
      </c>
      <c r="F10" s="1725">
        <f t="shared" si="1"/>
        <v>43737</v>
      </c>
    </row>
    <row r="11" spans="1:8" x14ac:dyDescent="0.2">
      <c r="A11" s="579" t="s">
        <v>406</v>
      </c>
      <c r="B11" s="1724">
        <f>'Revenues 9-14'!J5</f>
        <v>119124</v>
      </c>
      <c r="C11" s="1664"/>
      <c r="D11" s="1725">
        <f t="shared" si="0"/>
        <v>119124</v>
      </c>
      <c r="E11" s="1664">
        <v>119357</v>
      </c>
      <c r="F11" s="1725">
        <f t="shared" si="1"/>
        <v>119357</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39726</v>
      </c>
      <c r="C14" s="1664"/>
      <c r="D14" s="1725">
        <f t="shared" si="0"/>
        <v>39726</v>
      </c>
      <c r="E14" s="1664">
        <v>40596</v>
      </c>
      <c r="F14" s="1725">
        <f t="shared" si="1"/>
        <v>40596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80413</v>
      </c>
      <c r="C16" s="1664"/>
      <c r="D16" s="1725">
        <f t="shared" si="0"/>
        <v>80413</v>
      </c>
      <c r="E16" s="1664">
        <v>80566</v>
      </c>
      <c r="F16" s="1725">
        <f t="shared" si="1"/>
        <v>80566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3079560</v>
      </c>
      <c r="C19" s="1726">
        <f>SUM(C4:C18)</f>
        <v>0</v>
      </c>
      <c r="D19" s="1726">
        <f>SUM(D4:D18)</f>
        <v>3079560</v>
      </c>
      <c r="E19" s="1726">
        <f>SUM(E4:E18)</f>
        <v>3525242</v>
      </c>
      <c r="F19" s="1726">
        <f>SUM(F4:F18)</f>
        <v>3525242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D41" sqref="D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17"/>
      <c r="C1" s="585"/>
    </row>
    <row r="2" spans="1:7" ht="33.75" x14ac:dyDescent="0.2">
      <c r="A2" s="2324" t="s">
        <v>1776</v>
      </c>
      <c r="B2" s="232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6" t="s">
        <v>1104</v>
      </c>
      <c r="B3" s="2327"/>
      <c r="C3" s="2320"/>
      <c r="D3" s="2321"/>
      <c r="E3" s="2321"/>
      <c r="F3" s="2322"/>
    </row>
    <row r="4" spans="1:7" ht="12.75" customHeight="1" thickBot="1" x14ac:dyDescent="0.25">
      <c r="A4" s="2314" t="s">
        <v>626</v>
      </c>
      <c r="B4" s="2315"/>
      <c r="C4" s="1656"/>
      <c r="D4" s="1656"/>
      <c r="E4" s="1656"/>
      <c r="F4" s="1732">
        <f>SUM(C4+D4)-E4</f>
        <v>0</v>
      </c>
    </row>
    <row r="5" spans="1:7" ht="15.75" customHeight="1" thickTop="1" x14ac:dyDescent="0.2">
      <c r="A5" s="2318" t="s">
        <v>1101</v>
      </c>
      <c r="B5" s="2313"/>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0" t="s">
        <v>627</v>
      </c>
      <c r="B15" s="2311"/>
      <c r="C15" s="1732">
        <f>SUM(C6:C14)</f>
        <v>0</v>
      </c>
      <c r="D15" s="1732">
        <f>SUM(D6:D14)</f>
        <v>0</v>
      </c>
      <c r="E15" s="1732">
        <f>SUM(E6:E14)</f>
        <v>0</v>
      </c>
      <c r="F15" s="1732">
        <f>SUM(F6:F14)</f>
        <v>0</v>
      </c>
      <c r="G15" s="473"/>
    </row>
    <row r="16" spans="1:7" s="197" customFormat="1" ht="15.75" customHeight="1" thickTop="1" x14ac:dyDescent="0.2">
      <c r="A16" s="2323" t="s">
        <v>1102</v>
      </c>
      <c r="B16" s="2313"/>
      <c r="C16" s="2307"/>
      <c r="D16" s="2308"/>
      <c r="E16" s="2308"/>
      <c r="F16" s="2309"/>
    </row>
    <row r="17" spans="1:11" ht="12.75" customHeight="1" thickBot="1" x14ac:dyDescent="0.25">
      <c r="A17" s="2305" t="s">
        <v>64</v>
      </c>
      <c r="B17" s="2306"/>
      <c r="C17" s="1733"/>
      <c r="D17" s="1664"/>
      <c r="E17" s="1733"/>
      <c r="F17" s="1732">
        <f>SUM(C17+D17)-E17</f>
        <v>0</v>
      </c>
    </row>
    <row r="18" spans="1:11" ht="12.75" customHeight="1" thickTop="1" thickBot="1" x14ac:dyDescent="0.25">
      <c r="A18" s="2305" t="s">
        <v>6</v>
      </c>
      <c r="B18" s="2306"/>
      <c r="C18" s="1733"/>
      <c r="D18" s="1664"/>
      <c r="E18" s="1733"/>
      <c r="F18" s="1732">
        <f>SUM(C18+D18)-E18</f>
        <v>0</v>
      </c>
    </row>
    <row r="19" spans="1:11" ht="12.75" customHeight="1" thickTop="1" thickBot="1" x14ac:dyDescent="0.25">
      <c r="A19" s="2305" t="s">
        <v>385</v>
      </c>
      <c r="B19" s="2306"/>
      <c r="C19" s="1733"/>
      <c r="D19" s="1664"/>
      <c r="E19" s="1733"/>
      <c r="F19" s="1732">
        <f>SUM(C19+D19)-E19</f>
        <v>0</v>
      </c>
    </row>
    <row r="20" spans="1:11" ht="12.75" customHeight="1" thickTop="1" thickBot="1" x14ac:dyDescent="0.25">
      <c r="A20" s="2305" t="s">
        <v>445</v>
      </c>
      <c r="B20" s="2306"/>
      <c r="C20" s="1733"/>
      <c r="D20" s="1664"/>
      <c r="E20" s="1733"/>
      <c r="F20" s="1732">
        <f>SUM(C20+D20)-E20</f>
        <v>0</v>
      </c>
    </row>
    <row r="21" spans="1:11" ht="14.25" thickTop="1" thickBot="1" x14ac:dyDescent="0.25">
      <c r="A21" s="2310" t="s">
        <v>628</v>
      </c>
      <c r="B21" s="2311"/>
      <c r="C21" s="1732">
        <f>SUM(C17:C20)</f>
        <v>0</v>
      </c>
      <c r="D21" s="1732">
        <f>SUM(D17:D20)</f>
        <v>0</v>
      </c>
      <c r="E21" s="1732">
        <f>SUM(E17:E20)</f>
        <v>0</v>
      </c>
      <c r="F21" s="1732">
        <f>SUM(F17:F20)</f>
        <v>0</v>
      </c>
      <c r="G21" s="473"/>
    </row>
    <row r="22" spans="1:11" ht="15.75" customHeight="1" thickTop="1" x14ac:dyDescent="0.2">
      <c r="A22" s="2312" t="s">
        <v>1103</v>
      </c>
      <c r="B22" s="2313"/>
      <c r="C22" s="2307"/>
      <c r="D22" s="2308"/>
      <c r="E22" s="2308"/>
      <c r="F22" s="2309"/>
    </row>
    <row r="23" spans="1:11" ht="13.5" thickBot="1" x14ac:dyDescent="0.25">
      <c r="A23" s="2314" t="s">
        <v>629</v>
      </c>
      <c r="B23" s="2315"/>
      <c r="C23" s="1656"/>
      <c r="D23" s="1656"/>
      <c r="E23" s="1656"/>
      <c r="F23" s="1732">
        <f>SUM(C23+D23)-E23</f>
        <v>0</v>
      </c>
      <c r="G23" s="473"/>
    </row>
    <row r="24" spans="1:11" ht="15.75" customHeight="1" thickTop="1" x14ac:dyDescent="0.2">
      <c r="A24" s="2312" t="s">
        <v>2003</v>
      </c>
      <c r="B24" s="2313"/>
      <c r="C24" s="2307"/>
      <c r="D24" s="2308"/>
      <c r="E24" s="2308"/>
      <c r="F24" s="2309"/>
    </row>
    <row r="25" spans="1:11" ht="13.5" thickBot="1" x14ac:dyDescent="0.25">
      <c r="A25" s="2314" t="s">
        <v>2004</v>
      </c>
      <c r="B25" s="2315"/>
      <c r="C25" s="1656"/>
      <c r="D25" s="1656"/>
      <c r="E25" s="1656"/>
      <c r="F25" s="1732">
        <f>SUM(C25+D25)-E25</f>
        <v>0</v>
      </c>
      <c r="G25" s="473"/>
    </row>
    <row r="26" spans="1:11" ht="15.75" customHeight="1" thickTop="1" x14ac:dyDescent="0.2">
      <c r="A26" s="2318" t="s">
        <v>652</v>
      </c>
      <c r="B26" s="2313"/>
      <c r="C26" s="589"/>
      <c r="D26" s="589"/>
      <c r="E26" s="589"/>
      <c r="F26" s="590"/>
    </row>
    <row r="27" spans="1:11" ht="13.5" thickBot="1" x14ac:dyDescent="0.25">
      <c r="A27" s="2310" t="s">
        <v>1061</v>
      </c>
      <c r="B27" s="2311"/>
      <c r="C27" s="1664"/>
      <c r="D27" s="1664"/>
      <c r="E27" s="1664"/>
      <c r="F27" s="1732">
        <f>SUM(C27+D27)-E27</f>
        <v>0</v>
      </c>
      <c r="G27" s="473"/>
    </row>
    <row r="28" spans="1:11" ht="7.5" customHeight="1" thickTop="1" x14ac:dyDescent="0.2">
      <c r="A28" s="489"/>
    </row>
    <row r="29" spans="1:11" ht="23.25" customHeight="1" x14ac:dyDescent="0.2">
      <c r="A29" s="2316" t="s">
        <v>578</v>
      </c>
      <c r="B29" s="231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2169</v>
      </c>
      <c r="B31" s="595">
        <v>39934</v>
      </c>
      <c r="C31" s="1734">
        <v>3365000</v>
      </c>
      <c r="D31" s="1735" t="s">
        <v>2202</v>
      </c>
      <c r="E31" s="1734">
        <v>2410000</v>
      </c>
      <c r="F31" s="1734"/>
      <c r="G31" s="1734"/>
      <c r="H31" s="1734">
        <v>2410000</v>
      </c>
      <c r="I31" s="1736">
        <f>((E31+F31)-H31)+G31</f>
        <v>0</v>
      </c>
      <c r="J31" s="1734">
        <v>0</v>
      </c>
      <c r="K31" s="596"/>
    </row>
    <row r="32" spans="1:11" ht="12" customHeight="1" x14ac:dyDescent="0.2">
      <c r="A32" s="594" t="s">
        <v>2170</v>
      </c>
      <c r="B32" s="595">
        <v>41493</v>
      </c>
      <c r="C32" s="1734">
        <v>2690000</v>
      </c>
      <c r="D32" s="1735">
        <v>4</v>
      </c>
      <c r="E32" s="1734">
        <v>2005000</v>
      </c>
      <c r="F32" s="1734"/>
      <c r="G32" s="1734"/>
      <c r="H32" s="1734">
        <v>205000</v>
      </c>
      <c r="I32" s="1736">
        <f>((E32+F32)-H32)+G32</f>
        <v>1800000</v>
      </c>
      <c r="J32" s="1734">
        <v>965774</v>
      </c>
      <c r="K32" s="596"/>
    </row>
    <row r="33" spans="1:11" ht="12" customHeight="1" x14ac:dyDescent="0.2">
      <c r="A33" s="594" t="s">
        <v>2171</v>
      </c>
      <c r="B33" s="595">
        <v>42187</v>
      </c>
      <c r="C33" s="1734">
        <v>2700000</v>
      </c>
      <c r="D33" s="1735">
        <v>7</v>
      </c>
      <c r="E33" s="1734">
        <v>2410000</v>
      </c>
      <c r="F33" s="1734"/>
      <c r="G33" s="1734"/>
      <c r="H33" s="1734">
        <v>100000</v>
      </c>
      <c r="I33" s="1736">
        <f t="shared" ref="I33:I48" si="1">((E33+F33)-H33)+G33</f>
        <v>2310000</v>
      </c>
      <c r="J33" s="1734">
        <v>2310000</v>
      </c>
      <c r="K33" s="596"/>
    </row>
    <row r="34" spans="1:11" ht="12" customHeight="1" x14ac:dyDescent="0.2">
      <c r="A34" s="594" t="s">
        <v>2172</v>
      </c>
      <c r="B34" s="595">
        <v>42187</v>
      </c>
      <c r="C34" s="1734">
        <v>495000</v>
      </c>
      <c r="D34" s="1735">
        <v>1</v>
      </c>
      <c r="E34" s="1734">
        <v>185000</v>
      </c>
      <c r="F34" s="1734"/>
      <c r="G34" s="1734"/>
      <c r="H34" s="1734">
        <v>110000</v>
      </c>
      <c r="I34" s="1736">
        <f t="shared" si="1"/>
        <v>75000</v>
      </c>
      <c r="J34" s="1734">
        <v>75000</v>
      </c>
      <c r="K34" s="597"/>
    </row>
    <row r="35" spans="1:11" ht="12" customHeight="1" x14ac:dyDescent="0.2">
      <c r="A35" s="594" t="s">
        <v>2173</v>
      </c>
      <c r="B35" s="595">
        <v>43966</v>
      </c>
      <c r="C35" s="1737">
        <v>3295000</v>
      </c>
      <c r="D35" s="1735" t="s">
        <v>2174</v>
      </c>
      <c r="E35" s="1737"/>
      <c r="F35" s="1737">
        <v>3295000</v>
      </c>
      <c r="G35" s="1737"/>
      <c r="H35" s="1737"/>
      <c r="I35" s="1736">
        <f t="shared" si="1"/>
        <v>3295000</v>
      </c>
      <c r="J35" s="1737">
        <v>3295000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12545000</v>
      </c>
      <c r="D49" s="1742"/>
      <c r="E49" s="1736">
        <f t="shared" ref="E49:J49" si="2">SUM(E31:E48)</f>
        <v>7010000</v>
      </c>
      <c r="F49" s="1736">
        <f t="shared" si="2"/>
        <v>3295000</v>
      </c>
      <c r="G49" s="1736">
        <f t="shared" si="2"/>
        <v>0</v>
      </c>
      <c r="H49" s="1736">
        <f t="shared" si="2"/>
        <v>2825000</v>
      </c>
      <c r="I49" s="1736">
        <f t="shared" si="2"/>
        <v>7480000</v>
      </c>
      <c r="J49" s="1736">
        <f t="shared" si="2"/>
        <v>6645774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t="s">
        <v>2175</v>
      </c>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O48"/>
  <sheetViews>
    <sheetView showGridLines="0" defaultGridColor="0" topLeftCell="A7" colorId="8" zoomScale="110" zoomScaleNormal="110" workbookViewId="0">
      <selection activeCell="F16" sqref="F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851</v>
      </c>
      <c r="B1" s="2329"/>
      <c r="C1" s="2329"/>
      <c r="D1" s="2329"/>
      <c r="E1" s="2329"/>
      <c r="F1" s="2329"/>
      <c r="G1" s="2330"/>
      <c r="H1" s="1298"/>
      <c r="I1" s="614"/>
      <c r="J1" s="400"/>
    </row>
    <row r="2" spans="1:11" ht="26.25" x14ac:dyDescent="0.2">
      <c r="A2" s="2347" t="s">
        <v>1658</v>
      </c>
      <c r="B2" s="2348"/>
      <c r="C2" s="2348"/>
      <c r="D2" s="2348"/>
      <c r="E2" s="2349"/>
      <c r="F2" s="615" t="s">
        <v>898</v>
      </c>
      <c r="G2" s="616" t="s">
        <v>1655</v>
      </c>
      <c r="H2" s="616" t="s">
        <v>407</v>
      </c>
      <c r="I2" s="616" t="s">
        <v>1148</v>
      </c>
      <c r="J2" s="616" t="s">
        <v>1786</v>
      </c>
      <c r="K2" s="616" t="s">
        <v>137</v>
      </c>
    </row>
    <row r="3" spans="1:11" x14ac:dyDescent="0.2">
      <c r="A3" s="2350" t="str">
        <f>"Cash Basis Fund Balance as of July 1, "&amp;'AFR20'!E2-1</f>
        <v>Cash Basis Fund Balance as of July 1, 2019</v>
      </c>
      <c r="B3" s="2351"/>
      <c r="C3" s="2351"/>
      <c r="D3" s="2351"/>
      <c r="E3" s="2352"/>
      <c r="F3" s="617"/>
      <c r="G3" s="1744"/>
      <c r="H3" s="1744"/>
      <c r="I3" s="1744"/>
      <c r="J3" s="1745">
        <v>907461</v>
      </c>
      <c r="K3" s="1745"/>
    </row>
    <row r="4" spans="1:11" x14ac:dyDescent="0.2">
      <c r="A4" s="2353" t="s">
        <v>366</v>
      </c>
      <c r="B4" s="2354"/>
      <c r="C4" s="2354"/>
      <c r="D4" s="2354"/>
      <c r="E4" s="2300"/>
      <c r="F4" s="620"/>
      <c r="G4" s="1746"/>
      <c r="H4" s="1747"/>
      <c r="I4" s="1746"/>
      <c r="J4" s="1748"/>
      <c r="K4" s="1748"/>
    </row>
    <row r="5" spans="1:11" x14ac:dyDescent="0.2">
      <c r="A5" s="2331" t="s">
        <v>1060</v>
      </c>
      <c r="B5" s="2332"/>
      <c r="C5" s="2332"/>
      <c r="D5" s="2332"/>
      <c r="E5" s="2333"/>
      <c r="F5" s="622" t="s">
        <v>843</v>
      </c>
      <c r="G5" s="1749"/>
      <c r="H5" s="1744">
        <v>39726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656449</v>
      </c>
      <c r="K8" s="1748"/>
    </row>
    <row r="9" spans="1:11" x14ac:dyDescent="0.2">
      <c r="A9" s="629" t="s">
        <v>137</v>
      </c>
      <c r="B9" s="630"/>
      <c r="C9" s="630"/>
      <c r="D9" s="630"/>
      <c r="E9" s="631"/>
      <c r="F9" s="628" t="s">
        <v>848</v>
      </c>
      <c r="G9" s="1753"/>
      <c r="H9" s="1749"/>
      <c r="I9" s="1749"/>
      <c r="J9" s="1752"/>
      <c r="K9" s="1745">
        <v>11900</v>
      </c>
    </row>
    <row r="10" spans="1:11" x14ac:dyDescent="0.2">
      <c r="A10" s="2331" t="s">
        <v>1787</v>
      </c>
      <c r="B10" s="2332"/>
      <c r="C10" s="2332"/>
      <c r="D10" s="2332"/>
      <c r="E10" s="2334"/>
      <c r="F10" s="633" t="s">
        <v>857</v>
      </c>
      <c r="G10" s="1753"/>
      <c r="H10" s="1754"/>
      <c r="I10" s="1744"/>
      <c r="J10" s="1745"/>
      <c r="K10" s="1745"/>
    </row>
    <row r="11" spans="1:11" x14ac:dyDescent="0.2">
      <c r="A11" s="2331" t="s">
        <v>159</v>
      </c>
      <c r="B11" s="2332"/>
      <c r="C11" s="2332"/>
      <c r="D11" s="2332"/>
      <c r="E11" s="2333"/>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39726</v>
      </c>
      <c r="I12" s="1755">
        <f>SUM(I5:I11)</f>
        <v>0</v>
      </c>
      <c r="J12" s="1755">
        <f>SUM(J5:J11)</f>
        <v>656449</v>
      </c>
      <c r="K12" s="1755">
        <f>SUM(K5:K11)</f>
        <v>11900</v>
      </c>
    </row>
    <row r="13" spans="1:11" ht="13.5" thickTop="1" x14ac:dyDescent="0.2">
      <c r="A13" s="2355" t="s">
        <v>367</v>
      </c>
      <c r="B13" s="2356"/>
      <c r="C13" s="2356"/>
      <c r="D13" s="2356"/>
      <c r="E13" s="2357"/>
      <c r="F13" s="634"/>
      <c r="G13" s="1756"/>
      <c r="H13" s="1757"/>
      <c r="I13" s="1758"/>
      <c r="J13" s="1758"/>
      <c r="K13" s="1758"/>
    </row>
    <row r="14" spans="1:11" x14ac:dyDescent="0.2">
      <c r="A14" s="2338" t="s">
        <v>453</v>
      </c>
      <c r="B14" s="2338"/>
      <c r="C14" s="2338"/>
      <c r="D14" s="2338"/>
      <c r="E14" s="2339"/>
      <c r="F14" s="635" t="s">
        <v>849</v>
      </c>
      <c r="G14" s="1753"/>
      <c r="H14" s="1744">
        <v>39726</v>
      </c>
      <c r="I14" s="1749"/>
      <c r="J14" s="1751"/>
      <c r="K14" s="1745">
        <v>64519</v>
      </c>
    </row>
    <row r="15" spans="1:11" x14ac:dyDescent="0.2">
      <c r="A15" s="2332" t="s">
        <v>4</v>
      </c>
      <c r="B15" s="2332"/>
      <c r="C15" s="2332"/>
      <c r="D15" s="2332"/>
      <c r="E15" s="2333"/>
      <c r="F15" s="635" t="s">
        <v>850</v>
      </c>
      <c r="G15" s="1749"/>
      <c r="H15" s="1744"/>
      <c r="I15" s="1744"/>
      <c r="J15" s="1745">
        <v>267773</v>
      </c>
      <c r="K15" s="1745"/>
    </row>
    <row r="16" spans="1:11" x14ac:dyDescent="0.2">
      <c r="A16" s="2332" t="s">
        <v>295</v>
      </c>
      <c r="B16" s="2332"/>
      <c r="C16" s="2332"/>
      <c r="D16" s="2332"/>
      <c r="E16" s="2333"/>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42" t="s">
        <v>365</v>
      </c>
      <c r="B18" s="2343"/>
      <c r="C18" s="2343"/>
      <c r="D18" s="2343"/>
      <c r="E18" s="2344"/>
      <c r="F18" s="635" t="s">
        <v>926</v>
      </c>
      <c r="G18" s="1753"/>
      <c r="H18" s="1753"/>
      <c r="I18" s="1753"/>
      <c r="J18" s="1745">
        <v>183225</v>
      </c>
      <c r="K18" s="1763"/>
    </row>
    <row r="19" spans="1:15" ht="21.75" customHeight="1" x14ac:dyDescent="0.2">
      <c r="A19" s="2340" t="s">
        <v>1783</v>
      </c>
      <c r="B19" s="2340"/>
      <c r="C19" s="2340"/>
      <c r="D19" s="2340"/>
      <c r="E19" s="2341"/>
      <c r="F19" s="635" t="s">
        <v>927</v>
      </c>
      <c r="G19" s="1753"/>
      <c r="H19" s="1753"/>
      <c r="I19" s="1753"/>
      <c r="J19" s="1745">
        <v>415000</v>
      </c>
      <c r="K19" s="1763"/>
    </row>
    <row r="20" spans="1:15" x14ac:dyDescent="0.2">
      <c r="A20" s="2342" t="s">
        <v>1788</v>
      </c>
      <c r="B20" s="2343"/>
      <c r="C20" s="2343"/>
      <c r="D20" s="2343"/>
      <c r="E20" s="2344"/>
      <c r="F20" s="635" t="s">
        <v>928</v>
      </c>
      <c r="G20" s="1753"/>
      <c r="H20" s="1753"/>
      <c r="I20" s="1753"/>
      <c r="J20" s="1745"/>
      <c r="K20" s="1763"/>
    </row>
    <row r="21" spans="1:15" ht="13.5" thickBot="1" x14ac:dyDescent="0.25">
      <c r="A21" s="2361" t="s">
        <v>633</v>
      </c>
      <c r="B21" s="2361"/>
      <c r="C21" s="2361"/>
      <c r="D21" s="2361"/>
      <c r="E21" s="2361"/>
      <c r="F21" s="1434"/>
      <c r="G21" s="1760"/>
      <c r="H21" s="1764"/>
      <c r="I21" s="1764"/>
      <c r="J21" s="1765">
        <f>SUM(J18:J20)</f>
        <v>598225</v>
      </c>
      <c r="K21" s="1761"/>
    </row>
    <row r="22" spans="1:15" ht="13.5" thickTop="1" x14ac:dyDescent="0.2">
      <c r="A22" s="2332" t="s">
        <v>1789</v>
      </c>
      <c r="B22" s="2332"/>
      <c r="C22" s="2332"/>
      <c r="D22" s="2332"/>
      <c r="E22" s="2333"/>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39726</v>
      </c>
      <c r="I23" s="1755">
        <f>SUM(I14:I16,I21,I22)</f>
        <v>0</v>
      </c>
      <c r="J23" s="1755">
        <f>SUM(J14:J16,J21,J22)</f>
        <v>865998</v>
      </c>
      <c r="K23" s="1755">
        <f>SUM(K14:K16,K21,K22)</f>
        <v>64519</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697912</v>
      </c>
      <c r="K24" s="1767">
        <f>SUM(K3,K12)-K23</f>
        <v>-52619</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697912</v>
      </c>
      <c r="K26" s="1755">
        <f>K24-K25</f>
        <v>-52619</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1159</v>
      </c>
      <c r="B33" s="341"/>
      <c r="C33" s="341"/>
      <c r="D33" s="341"/>
      <c r="E33" s="341"/>
      <c r="F33" s="341"/>
      <c r="G33" s="653"/>
      <c r="H33" s="2337"/>
      <c r="I33" s="2336"/>
      <c r="J33" s="2336"/>
      <c r="K33" s="2336"/>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2" t="s">
        <v>538</v>
      </c>
      <c r="B41" s="2345"/>
      <c r="C41" s="2345"/>
      <c r="D41" s="2345"/>
      <c r="E41" s="2345"/>
      <c r="F41" s="23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E16" sqref="E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1872</v>
      </c>
      <c r="B1" s="2370"/>
      <c r="C1" s="2371"/>
      <c r="D1" s="666"/>
      <c r="E1" s="667"/>
      <c r="F1" s="667"/>
      <c r="G1" s="668"/>
      <c r="H1" s="669"/>
      <c r="I1" s="670"/>
      <c r="J1" s="2367"/>
      <c r="K1" s="2368"/>
      <c r="L1" s="236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251280</v>
      </c>
      <c r="D5" s="1770"/>
      <c r="E5" s="1770"/>
      <c r="F5" s="1765">
        <f>(C5+D5)-E5</f>
        <v>251280</v>
      </c>
      <c r="G5" s="676"/>
      <c r="H5" s="680"/>
      <c r="I5" s="680"/>
      <c r="J5" s="680"/>
      <c r="K5" s="637"/>
      <c r="L5" s="1442">
        <f>F5-K5</f>
        <v>251280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23125164</v>
      </c>
      <c r="D8" s="1771">
        <v>747838</v>
      </c>
      <c r="E8" s="1771"/>
      <c r="F8" s="1765">
        <f>(C8+D8)-E8</f>
        <v>23873002</v>
      </c>
      <c r="G8" s="681">
        <v>50</v>
      </c>
      <c r="H8" s="619">
        <v>9892993</v>
      </c>
      <c r="I8" s="619">
        <v>632938</v>
      </c>
      <c r="J8" s="619"/>
      <c r="K8" s="1442">
        <f>(H8+I8)-J8</f>
        <v>10525931</v>
      </c>
      <c r="L8" s="1442">
        <f>F8-K8</f>
        <v>13347071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1386375</v>
      </c>
      <c r="D10" s="1772"/>
      <c r="E10" s="1772"/>
      <c r="F10" s="1773">
        <f>(C10+D10)-E10</f>
        <v>1386375</v>
      </c>
      <c r="G10" s="681">
        <v>20</v>
      </c>
      <c r="H10" s="683">
        <v>767925</v>
      </c>
      <c r="I10" s="683">
        <v>70534</v>
      </c>
      <c r="J10" s="683"/>
      <c r="K10" s="1442">
        <f>(H10+I10)-J10</f>
        <v>838459</v>
      </c>
      <c r="L10" s="1442">
        <f>F10-K10</f>
        <v>547916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1399022</v>
      </c>
      <c r="D12" s="1771">
        <v>6752</v>
      </c>
      <c r="E12" s="1771"/>
      <c r="F12" s="1765">
        <f>(C12+D12)-E12</f>
        <v>1405774</v>
      </c>
      <c r="G12" s="681">
        <v>10</v>
      </c>
      <c r="H12" s="619">
        <v>1295184</v>
      </c>
      <c r="I12" s="619">
        <v>25666</v>
      </c>
      <c r="J12" s="619"/>
      <c r="K12" s="1442">
        <f>(H12+I12)-J12</f>
        <v>1320850</v>
      </c>
      <c r="L12" s="1442">
        <f>F12-K12</f>
        <v>84924</v>
      </c>
    </row>
    <row r="13" spans="1:14" ht="14.25" thickTop="1" thickBot="1" x14ac:dyDescent="0.25">
      <c r="A13" s="684" t="s">
        <v>1112</v>
      </c>
      <c r="B13" s="679">
        <v>252</v>
      </c>
      <c r="C13" s="1771">
        <v>775480</v>
      </c>
      <c r="D13" s="1771">
        <v>32993</v>
      </c>
      <c r="E13" s="1771"/>
      <c r="F13" s="1765">
        <f>(C13+D13)-E13</f>
        <v>808473</v>
      </c>
      <c r="G13" s="681">
        <v>5</v>
      </c>
      <c r="H13" s="619">
        <v>691242</v>
      </c>
      <c r="I13" s="619">
        <v>27009</v>
      </c>
      <c r="J13" s="619"/>
      <c r="K13" s="1442">
        <f>(H13+I13)-J13</f>
        <v>718251</v>
      </c>
      <c r="L13" s="1442">
        <f>F13-K13</f>
        <v>90222</v>
      </c>
    </row>
    <row r="14" spans="1:14" ht="14.25" thickTop="1" thickBot="1" x14ac:dyDescent="0.25">
      <c r="A14" s="684" t="s">
        <v>1113</v>
      </c>
      <c r="B14" s="679">
        <v>253</v>
      </c>
      <c r="C14" s="1745">
        <v>46597</v>
      </c>
      <c r="D14" s="1745"/>
      <c r="E14" s="1745"/>
      <c r="F14" s="1765">
        <f>(C14+D14)-E14</f>
        <v>46597</v>
      </c>
      <c r="G14" s="681">
        <v>3</v>
      </c>
      <c r="H14" s="619">
        <v>41880</v>
      </c>
      <c r="I14" s="619">
        <v>1952</v>
      </c>
      <c r="J14" s="619"/>
      <c r="K14" s="1442">
        <f>(H14+I14)-J14</f>
        <v>43832</v>
      </c>
      <c r="L14" s="1442">
        <f>F14-K14</f>
        <v>2765</v>
      </c>
    </row>
    <row r="15" spans="1:14" ht="15" customHeight="1" thickTop="1" thickBot="1" x14ac:dyDescent="0.25">
      <c r="A15" s="1366" t="s">
        <v>525</v>
      </c>
      <c r="B15" s="1365">
        <v>260</v>
      </c>
      <c r="C15" s="1771">
        <v>235642</v>
      </c>
      <c r="D15" s="1771">
        <v>1085972</v>
      </c>
      <c r="E15" s="1771">
        <v>432423</v>
      </c>
      <c r="F15" s="1765">
        <f>(C15+D15)-E15</f>
        <v>889191</v>
      </c>
      <c r="G15" s="685" t="s">
        <v>857</v>
      </c>
      <c r="H15" s="632"/>
      <c r="I15" s="632"/>
      <c r="J15" s="632"/>
      <c r="K15" s="632"/>
      <c r="L15" s="1442">
        <f>F15-K15</f>
        <v>889191</v>
      </c>
    </row>
    <row r="16" spans="1:14" ht="15" customHeight="1" thickTop="1" thickBot="1" x14ac:dyDescent="0.25">
      <c r="A16" s="1438" t="s">
        <v>638</v>
      </c>
      <c r="B16" s="1439">
        <v>200</v>
      </c>
      <c r="C16" s="1765">
        <f>SUM(C3,C5:C6,C8:C10,C12:C15)</f>
        <v>27219560</v>
      </c>
      <c r="D16" s="1765">
        <f>SUM(D3,D5:D6,D8:D10,D12:D15)</f>
        <v>1873555</v>
      </c>
      <c r="E16" s="1765">
        <f>SUM(E3,E5:E6,E8:E10,E12:E15)</f>
        <v>432423</v>
      </c>
      <c r="F16" s="1765">
        <f>SUM(F3,F5:F6,F8:F10,F12:F15)</f>
        <v>28660692</v>
      </c>
      <c r="G16" s="681"/>
      <c r="H16" s="1435">
        <f>SUM(H3,H6,H8:H10,H12:H14,)</f>
        <v>12689224</v>
      </c>
      <c r="I16" s="1435">
        <f>SUM(I3,I6,I8:I10,I12:I14,)</f>
        <v>758099</v>
      </c>
      <c r="J16" s="1435">
        <f>SUM(J3,J6,J8:J10,J12:J14,)</f>
        <v>0</v>
      </c>
      <c r="K16" s="1435">
        <f>(H16+I16)-J16</f>
        <v>13447323</v>
      </c>
      <c r="L16" s="1435">
        <f>F16-K16</f>
        <v>15213369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758099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activeCell="L176" sqref="L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7414697</v>
      </c>
      <c r="G8" s="701"/>
    </row>
    <row r="9" spans="1:9" x14ac:dyDescent="0.2">
      <c r="A9" s="705" t="s">
        <v>457</v>
      </c>
      <c r="B9" s="706" t="s">
        <v>1845</v>
      </c>
      <c r="C9" s="707"/>
      <c r="D9" s="705" t="s">
        <v>498</v>
      </c>
      <c r="E9" s="704"/>
      <c r="F9" s="1775">
        <f>'Expenditures 15-22'!K151</f>
        <v>712365</v>
      </c>
      <c r="G9" s="708"/>
    </row>
    <row r="10" spans="1:9" x14ac:dyDescent="0.2">
      <c r="A10" s="705" t="s">
        <v>496</v>
      </c>
      <c r="B10" s="706" t="s">
        <v>1846</v>
      </c>
      <c r="C10" s="707"/>
      <c r="D10" s="705" t="s">
        <v>498</v>
      </c>
      <c r="E10" s="704"/>
      <c r="F10" s="1775">
        <f>'Expenditures 15-22'!K174</f>
        <v>3219555</v>
      </c>
      <c r="G10" s="708"/>
    </row>
    <row r="11" spans="1:9" x14ac:dyDescent="0.2">
      <c r="A11" s="705" t="s">
        <v>458</v>
      </c>
      <c r="B11" s="706" t="s">
        <v>1847</v>
      </c>
      <c r="C11" s="707"/>
      <c r="D11" s="705" t="s">
        <v>498</v>
      </c>
      <c r="E11" s="704"/>
      <c r="F11" s="1775">
        <f>'Expenditures 15-22'!K210</f>
        <v>620600</v>
      </c>
      <c r="G11" s="708"/>
    </row>
    <row r="12" spans="1:9" x14ac:dyDescent="0.2">
      <c r="A12" s="705" t="s">
        <v>459</v>
      </c>
      <c r="B12" s="706" t="s">
        <v>1848</v>
      </c>
      <c r="C12" s="707"/>
      <c r="D12" s="705" t="s">
        <v>498</v>
      </c>
      <c r="E12" s="704"/>
      <c r="F12" s="1775">
        <f>'Expenditures 15-22'!K295</f>
        <v>255684</v>
      </c>
      <c r="G12" s="708"/>
    </row>
    <row r="13" spans="1:9" x14ac:dyDescent="0.2">
      <c r="A13" s="705" t="s">
        <v>106</v>
      </c>
      <c r="B13" s="706" t="s">
        <v>1849</v>
      </c>
      <c r="C13" s="707"/>
      <c r="D13" s="705" t="s">
        <v>498</v>
      </c>
      <c r="E13" s="704"/>
      <c r="F13" s="1775">
        <f>'Expenditures 15-22'!K342</f>
        <v>140165</v>
      </c>
      <c r="G13" s="709"/>
    </row>
    <row r="14" spans="1:9" ht="12" customHeight="1" thickBot="1" x14ac:dyDescent="0.25">
      <c r="A14" s="1443"/>
      <c r="B14" s="1444"/>
      <c r="C14" s="1445"/>
      <c r="D14" s="1446" t="s">
        <v>498</v>
      </c>
      <c r="E14" s="1447" t="s">
        <v>952</v>
      </c>
      <c r="F14" s="1776">
        <f>SUM(F8:F13)</f>
        <v>12363066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86604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1422</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228088</v>
      </c>
      <c r="G52" s="701"/>
    </row>
    <row r="53" spans="1:7" x14ac:dyDescent="0.2">
      <c r="A53" s="705" t="s">
        <v>456</v>
      </c>
      <c r="B53" s="705" t="s">
        <v>1458</v>
      </c>
      <c r="C53" s="724">
        <f>'Expenditures 15-22'!B102</f>
        <v>4000</v>
      </c>
      <c r="D53" s="723" t="str">
        <f>'Expenditures 15-22'!A102</f>
        <v>Total Payments to Other Govt Units</v>
      </c>
      <c r="E53" s="704"/>
      <c r="F53" s="1782">
        <f>'Expenditures 15-22'!K102</f>
        <v>631923</v>
      </c>
      <c r="G53" s="701"/>
    </row>
    <row r="54" spans="1:7" x14ac:dyDescent="0.2">
      <c r="A54" s="705" t="s">
        <v>456</v>
      </c>
      <c r="B54" s="705" t="s">
        <v>1459</v>
      </c>
      <c r="C54" s="724" t="s">
        <v>975</v>
      </c>
      <c r="D54" s="720" t="s">
        <v>1086</v>
      </c>
      <c r="E54" s="704"/>
      <c r="F54" s="1782">
        <f>'Expenditures 15-22'!G114</f>
        <v>45919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12369</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2825000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19</v>
      </c>
      <c r="G71" s="701"/>
    </row>
    <row r="72" spans="1:9" x14ac:dyDescent="0.2">
      <c r="A72" s="705" t="s">
        <v>459</v>
      </c>
      <c r="B72" s="705" t="s">
        <v>1864</v>
      </c>
      <c r="C72" s="721">
        <f>'Expenditures 15-22'!B280</f>
        <v>3000</v>
      </c>
      <c r="D72" s="712" t="s">
        <v>446</v>
      </c>
      <c r="E72" s="704"/>
      <c r="F72" s="1782">
        <f>'Expenditures 15-22'!K280</f>
        <v>32101</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3863445</v>
      </c>
      <c r="G77" s="701"/>
    </row>
    <row r="78" spans="1:9" s="728" customFormat="1" ht="12" customHeight="1" thickTop="1" thickBot="1" x14ac:dyDescent="0.25">
      <c r="A78" s="1450"/>
      <c r="B78" s="1448"/>
      <c r="C78" s="1445"/>
      <c r="D78" s="1449" t="s">
        <v>2009</v>
      </c>
      <c r="E78" s="1447"/>
      <c r="F78" s="1788">
        <f>(F14-F77)</f>
        <v>8499621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918.6</v>
      </c>
      <c r="G79" s="733"/>
      <c r="H79" s="705"/>
      <c r="I79" s="705"/>
    </row>
    <row r="80" spans="1:9" s="728" customFormat="1" ht="12" customHeight="1" thickBot="1" x14ac:dyDescent="0.25">
      <c r="A80" s="1452"/>
      <c r="B80" s="1448"/>
      <c r="C80" s="1445"/>
      <c r="D80" s="1449" t="s">
        <v>2010</v>
      </c>
      <c r="E80" s="1447" t="s">
        <v>952</v>
      </c>
      <c r="F80" s="1790">
        <f>IF(F79&gt;0,F78/F79," Complete Line 79")</f>
        <v>9252.7988242978445</v>
      </c>
      <c r="G80" s="705"/>
    </row>
    <row r="81" spans="1:7" s="728" customFormat="1" ht="8.25" customHeight="1" thickTop="1" x14ac:dyDescent="0.2">
      <c r="A81" s="734"/>
      <c r="B81" s="705"/>
      <c r="C81" s="707"/>
      <c r="D81" s="735"/>
      <c r="E81" s="704"/>
      <c r="F81" s="1791"/>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151123</v>
      </c>
      <c r="G95" s="745"/>
    </row>
    <row r="96" spans="1:7" x14ac:dyDescent="0.2">
      <c r="A96" s="741" t="s">
        <v>139</v>
      </c>
      <c r="B96" s="741" t="s">
        <v>174</v>
      </c>
      <c r="C96" s="743">
        <v>1700</v>
      </c>
      <c r="D96" s="751" t="str">
        <f>'Revenues 9-14'!A82</f>
        <v>Total District/School Activity Income</v>
      </c>
      <c r="E96" s="739"/>
      <c r="F96" s="1793">
        <f>SUM('Revenues 9-14'!C82,'Revenues 9-14'!D82)</f>
        <v>71918</v>
      </c>
      <c r="G96" s="745"/>
    </row>
    <row r="97" spans="1:7" x14ac:dyDescent="0.2">
      <c r="A97" s="741" t="s">
        <v>456</v>
      </c>
      <c r="B97" s="741" t="s">
        <v>175</v>
      </c>
      <c r="C97" s="743">
        <f>'Revenues 9-14'!B84</f>
        <v>1811</v>
      </c>
      <c r="D97" s="744" t="str">
        <f>'Revenues 9-14'!A84</f>
        <v>Rentals - Regular Textbooks</v>
      </c>
      <c r="E97" s="739"/>
      <c r="F97" s="1793">
        <f>'Revenues 9-14'!C84</f>
        <v>32586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33224</v>
      </c>
      <c r="G105" s="745"/>
    </row>
    <row r="106" spans="1:7" x14ac:dyDescent="0.2">
      <c r="A106" s="741" t="s">
        <v>500</v>
      </c>
      <c r="B106" s="741" t="s">
        <v>1907</v>
      </c>
      <c r="C106" s="746">
        <v>3100</v>
      </c>
      <c r="D106" s="752" t="str">
        <f>'Revenues 9-14'!A132</f>
        <v>Total Special Education</v>
      </c>
      <c r="E106" s="739"/>
      <c r="F106" s="1793">
        <f>SUM('Revenues 9-14'!C132:D132,'Revenues 9-14'!F132)</f>
        <v>6324</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22465</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2890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11900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367691</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958</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240817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267588</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243071</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13540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2080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34570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13365</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381187</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1897297</v>
      </c>
    </row>
    <row r="176" spans="1:7" ht="12" customHeight="1" x14ac:dyDescent="0.2">
      <c r="A176" s="1443"/>
      <c r="B176" s="1453"/>
      <c r="C176" s="1454"/>
      <c r="D176" s="1455" t="s">
        <v>2011</v>
      </c>
      <c r="E176" s="1456"/>
      <c r="F176" s="1793">
        <f>'PCTC-OEPP 27-28'!F78-F175</f>
        <v>6602324</v>
      </c>
    </row>
    <row r="177" spans="1:9" ht="12" customHeight="1" x14ac:dyDescent="0.2">
      <c r="A177" s="1443"/>
      <c r="B177" s="1453"/>
      <c r="C177" s="1454"/>
      <c r="D177" s="1455" t="s">
        <v>1791</v>
      </c>
      <c r="E177" s="1456"/>
      <c r="F177" s="1793">
        <f>'Cap Outlay Deprec 26'!I18</f>
        <v>758099</v>
      </c>
    </row>
    <row r="178" spans="1:9" ht="12" customHeight="1" x14ac:dyDescent="0.2">
      <c r="A178" s="1443"/>
      <c r="B178" s="1453"/>
      <c r="C178" s="1454"/>
      <c r="D178" s="1455" t="s">
        <v>2012</v>
      </c>
      <c r="E178" s="1456"/>
      <c r="F178" s="1793">
        <f>F176+F177</f>
        <v>7360423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918.6</v>
      </c>
      <c r="G179" s="763"/>
      <c r="I179" s="701"/>
    </row>
    <row r="180" spans="1:9" ht="12" customHeight="1" thickBot="1" x14ac:dyDescent="0.25">
      <c r="A180" s="1443"/>
      <c r="B180" s="1457"/>
      <c r="C180" s="1454"/>
      <c r="D180" s="1455" t="s">
        <v>2014</v>
      </c>
      <c r="E180" s="1456" t="s">
        <v>1528</v>
      </c>
      <c r="F180" s="1798">
        <f>F178/F179</f>
        <v>8012.6529501415198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differentFirst="1" alignWithMargins="0">
    <oddHeader>&amp;L&amp;8Page &amp;P&amp;C &amp;R&amp;8Page &amp;P</oddHeader>
    <oddFooter>&amp;LSee notes to financial statements.</oddFooter>
    <firstFooter>&amp;LSee notes to financial statements.</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1"/>
  <sheetViews>
    <sheetView showGridLines="0" topLeftCell="A7" zoomScaleNormal="100" workbookViewId="0">
      <selection activeCell="D19" sqref="D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6" t="s">
        <v>1792</v>
      </c>
      <c r="B4" s="2387"/>
      <c r="C4" s="2387"/>
      <c r="D4" s="2387"/>
      <c r="E4" s="2387"/>
      <c r="F4" s="2388"/>
    </row>
    <row r="5" spans="1:6" x14ac:dyDescent="0.25">
      <c r="A5" s="2389"/>
      <c r="B5" s="2390"/>
      <c r="C5" s="2390"/>
      <c r="D5" s="2390"/>
      <c r="E5" s="2390"/>
      <c r="F5" s="2391"/>
    </row>
    <row r="6" spans="1:6" ht="18.75" x14ac:dyDescent="0.25">
      <c r="A6" s="1867" t="s">
        <v>1793</v>
      </c>
      <c r="B6" s="1868"/>
      <c r="C6" s="1869"/>
      <c r="D6" s="1869"/>
      <c r="E6" s="1869"/>
      <c r="F6" s="1870"/>
    </row>
    <row r="7" spans="1:6" ht="47.25" customHeight="1" x14ac:dyDescent="0.25">
      <c r="A7" s="2392" t="s">
        <v>1982</v>
      </c>
      <c r="B7" s="2393"/>
      <c r="C7" s="2393"/>
      <c r="D7" s="2393"/>
      <c r="E7" s="2393"/>
      <c r="F7" s="2394"/>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95" t="s">
        <v>1978</v>
      </c>
      <c r="B10" s="2396"/>
      <c r="C10" s="2396"/>
      <c r="D10" s="2396"/>
      <c r="E10" s="2396"/>
      <c r="F10" s="2397"/>
    </row>
    <row r="11" spans="1:6" ht="33" customHeight="1" x14ac:dyDescent="0.25">
      <c r="A11" s="2392" t="s">
        <v>1983</v>
      </c>
      <c r="B11" s="2393"/>
      <c r="C11" s="2393"/>
      <c r="D11" s="2393"/>
      <c r="E11" s="2393"/>
      <c r="F11" s="2394"/>
    </row>
    <row r="12" spans="1:6" ht="15" customHeight="1" x14ac:dyDescent="0.25">
      <c r="A12" s="1873" t="s">
        <v>1979</v>
      </c>
      <c r="B12" s="1874"/>
      <c r="C12" s="1875"/>
      <c r="D12" s="1875"/>
      <c r="E12" s="1875"/>
      <c r="F12" s="1876"/>
    </row>
    <row r="13" spans="1:6" ht="17.25" customHeight="1" x14ac:dyDescent="0.25">
      <c r="A13" s="2392" t="s">
        <v>1980</v>
      </c>
      <c r="B13" s="2393"/>
      <c r="C13" s="2393"/>
      <c r="D13" s="2393"/>
      <c r="E13" s="2393"/>
      <c r="F13" s="2394"/>
    </row>
    <row r="14" spans="1:6" ht="15" customHeight="1" x14ac:dyDescent="0.25">
      <c r="A14" s="1873" t="s">
        <v>1797</v>
      </c>
      <c r="B14" s="1874"/>
      <c r="C14" s="1875"/>
      <c r="D14" s="1875"/>
      <c r="E14" s="1875"/>
      <c r="F14" s="187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44" t="s">
        <v>2196</v>
      </c>
      <c r="B18" s="1908">
        <v>101000300</v>
      </c>
      <c r="C18" s="2045" t="s">
        <v>2197</v>
      </c>
      <c r="D18" s="1886">
        <v>71858</v>
      </c>
      <c r="E18" s="1906" t="str">
        <f t="shared" ref="E18:E80" si="0">IF(D18&lt;25000,D18,"25,000")</f>
        <v>25,000</v>
      </c>
      <c r="F18" s="1906">
        <f t="shared" ref="F18:F80" si="1">IF(D18&gt;=25000,(D18-E18),"0")</f>
        <v>46858</v>
      </c>
      <c r="G18" s="1887"/>
    </row>
    <row r="19" spans="1:7" x14ac:dyDescent="0.25">
      <c r="A19" s="2044" t="s">
        <v>2198</v>
      </c>
      <c r="B19" s="1908">
        <v>402550300</v>
      </c>
      <c r="C19" s="2045" t="s">
        <v>2199</v>
      </c>
      <c r="D19" s="1886">
        <v>585318</v>
      </c>
      <c r="E19" s="1906" t="str">
        <f t="shared" si="0"/>
        <v>25,000</v>
      </c>
      <c r="F19" s="1906">
        <f t="shared" si="1"/>
        <v>560318</v>
      </c>
    </row>
    <row r="20" spans="1:7" x14ac:dyDescent="0.25">
      <c r="A20" s="2044"/>
      <c r="B20" s="1908"/>
      <c r="C20" s="204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9"/>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4"/>
      <c r="B64" s="1909"/>
      <c r="C64" s="1885"/>
      <c r="D64" s="1886"/>
      <c r="E64" s="1906">
        <f t="shared" si="0"/>
        <v>0</v>
      </c>
      <c r="F64" s="1906" t="str">
        <f t="shared" si="1"/>
        <v>0</v>
      </c>
    </row>
    <row r="65" spans="1:6" x14ac:dyDescent="0.25">
      <c r="A65" s="1888"/>
      <c r="B65" s="1909"/>
      <c r="C65" s="1889"/>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ref="E81:E140" si="2">IF(D81&lt;25000,D81,"25,000")</f>
        <v>0</v>
      </c>
      <c r="F81" s="1906" t="str">
        <f t="shared" ref="F81:F140" si="3">IF(D81&gt;=25000,(D81-E81),"0")</f>
        <v>0</v>
      </c>
    </row>
    <row r="82" spans="1:6" x14ac:dyDescent="0.25">
      <c r="A82" s="1888"/>
      <c r="B82" s="1909"/>
      <c r="C82" s="1889"/>
      <c r="D82" s="1886"/>
      <c r="E82" s="1906">
        <f t="shared" si="2"/>
        <v>0</v>
      </c>
      <c r="F82" s="1906" t="str">
        <f t="shared" si="3"/>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10"/>
      <c r="C140" s="1889"/>
      <c r="D140" s="1886"/>
      <c r="E140" s="1906">
        <f t="shared" si="2"/>
        <v>0</v>
      </c>
      <c r="F140" s="1906" t="str">
        <f t="shared" si="3"/>
        <v>0</v>
      </c>
    </row>
    <row r="141" spans="1:6" x14ac:dyDescent="0.25">
      <c r="A141" s="1890" t="s">
        <v>155</v>
      </c>
      <c r="B141" s="1911"/>
      <c r="C141" s="1891"/>
      <c r="D141" s="1892">
        <f>SUM(D18:D140)</f>
        <v>657176</v>
      </c>
      <c r="E141" s="1893">
        <f>SUM(E18:E140)</f>
        <v>0</v>
      </c>
      <c r="F141" s="1894">
        <f>SUM(F18:F140)</f>
        <v>607176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40" sqref="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1660</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v>53937</v>
      </c>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204569</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v>38899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5192751</v>
      </c>
      <c r="F19" s="1802"/>
      <c r="G19" s="1804">
        <f>'Expenditures 15-22'!K33-SUM('Expenditures 15-22'!G33,'Expenditures 15-22'!I33)+'Expenditures 15-22'!D229</f>
        <v>5192751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183409</v>
      </c>
      <c r="F21" s="1805"/>
      <c r="G21" s="1808">
        <f>'Expenditures 15-22'!K42-SUM('Expenditures 15-22'!G42,'Expenditures 15-22'!I42)+'Expenditures 15-22'!K120-SUM('Expenditures 15-22'!G120,'Expenditures 15-22'!I120)+'Expenditures 15-22'!K180-SUM('Expenditures 15-22'!G180,'Expenditures 15-22'!I180)+'Expenditures 15-22'!D238</f>
        <v>183409</v>
      </c>
      <c r="H21" s="817"/>
      <c r="I21" s="157"/>
    </row>
    <row r="22" spans="1:9" s="542" customFormat="1" ht="12" customHeight="1" x14ac:dyDescent="0.2">
      <c r="A22" s="824" t="s">
        <v>560</v>
      </c>
      <c r="B22" s="825"/>
      <c r="C22" s="823">
        <v>2200</v>
      </c>
      <c r="D22" s="1805"/>
      <c r="E22" s="1807">
        <f>'Expenditures 15-22'!K47-SUM('Expenditures 15-22'!G47,'Expenditures 15-22'!I47)+'Expenditures 15-22'!D243</f>
        <v>58825</v>
      </c>
      <c r="F22" s="1805"/>
      <c r="G22" s="1808">
        <f>'Expenditures 15-22'!K47-SUM('Expenditures 15-22'!G47,'Expenditures 15-22'!I47)+'Expenditures 15-22'!D243</f>
        <v>58825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376259</v>
      </c>
      <c r="F23" s="1805"/>
      <c r="G23" s="1807">
        <f>'Expenditures 15-22'!K53-SUM('Expenditures 15-22'!G53,'Expenditures 15-22'!I53)+'Expenditures 15-22'!D257+'Expenditures 15-22'!K330-SUM('Expenditures 15-22'!G330,'Expenditures 15-22'!I330)</f>
        <v>376259</v>
      </c>
      <c r="H23" s="817"/>
      <c r="I23" s="157"/>
    </row>
    <row r="24" spans="1:9" s="542" customFormat="1" ht="12" customHeight="1" x14ac:dyDescent="0.2">
      <c r="A24" s="824" t="s">
        <v>562</v>
      </c>
      <c r="B24" s="825"/>
      <c r="C24" s="823">
        <v>2400</v>
      </c>
      <c r="D24" s="1805"/>
      <c r="E24" s="1807">
        <f>'Expenditures 15-22'!K57-SUM('Expenditures 15-22'!G57,'Expenditures 15-22'!I57)+'Expenditures 15-22'!D261</f>
        <v>533575</v>
      </c>
      <c r="F24" s="1805"/>
      <c r="G24" s="1808">
        <f>'Expenditures 15-22'!K57-SUM('Expenditures 15-22'!G57,'Expenditures 15-22'!I57)+'Expenditures 15-22'!D261</f>
        <v>533575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74604</v>
      </c>
      <c r="E27" s="1807">
        <f>E8</f>
        <v>53937</v>
      </c>
      <c r="F27" s="1807">
        <f>'Expenditures 15-22'!K60-SUM('Expenditures 15-22'!G60,'Expenditures 15-22'!I60)+'Expenditures 15-22'!D264-E8</f>
        <v>74604</v>
      </c>
      <c r="G27" s="1808">
        <f>E8</f>
        <v>53937</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735455</v>
      </c>
      <c r="F28" s="1809">
        <f>'Expenditures 15-22'!K61-SUM('Expenditures 15-22'!G61,'Expenditures 15-22'!I61)+'Expenditures 15-22'!K124-SUM('Expenditures 15-22'!G124,'Expenditures 15-22'!I124)+'Expenditures 15-22'!D266-E9</f>
        <v>735455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620600</v>
      </c>
      <c r="F29" s="1805"/>
      <c r="G29" s="1808">
        <f>'Expenditures 15-22'!K62-SUM('Expenditures 15-22'!G62,'Expenditures 15-22'!I62)+'Expenditures 15-22'!K125-SUM('Expenditures 15-22'!G125,'Expenditures 15-22'!I125)+'Expenditures 15-22'!K182-SUM('Expenditures 15-22'!G182,'Expenditures 15-22'!I182)+'Expenditures 15-22'!D267</f>
        <v>620600</v>
      </c>
      <c r="H29" s="815"/>
    </row>
    <row r="30" spans="1:9" ht="12" customHeight="1" x14ac:dyDescent="0.2">
      <c r="A30" s="824" t="s">
        <v>100</v>
      </c>
      <c r="B30" s="827"/>
      <c r="C30" s="823">
        <v>2560</v>
      </c>
      <c r="D30" s="1805"/>
      <c r="E30" s="1807">
        <f>'Expenditures 15-22'!K63-SUM('Expenditures 15-22'!G63,'Expenditures 15-22'!I63)+'Expenditures 15-22'!D268-E10</f>
        <v>158762</v>
      </c>
      <c r="F30" s="1805"/>
      <c r="G30" s="1807">
        <f>'Expenditures 15-22'!K63-SUM('Expenditures 15-22'!G63,'Expenditures 15-22'!I63)+'Expenditures 15-22'!D268-E10</f>
        <v>158762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365</v>
      </c>
      <c r="E37" s="1807">
        <f>E14</f>
        <v>0</v>
      </c>
      <c r="F37" s="1807">
        <f>'Expenditures 15-22'!K71-SUM('Expenditures 15-22'!G71,'Expenditures 15-22'!I71)+'Expenditures 15-22'!D276-E14</f>
        <v>365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260189</v>
      </c>
      <c r="F39" s="1805"/>
      <c r="G39" s="1807">
        <f>'Expenditures 15-22'!K75-SUM('Expenditures 15-22'!G75,'Expenditures 15-22'!I75)+'Expenditures 15-22'!K130-SUM('Expenditures 15-22'!G130,'Expenditures 15-22'!I130)+'Expenditures 15-22'!K185-SUM('Expenditures 15-22'!G185,'Expenditures 15-22'!I185)+'Expenditures 15-22'!D280</f>
        <v>260189</v>
      </c>
    </row>
    <row r="40" spans="1:7" ht="12" customHeight="1" x14ac:dyDescent="0.2">
      <c r="A40" s="820" t="s">
        <v>1795</v>
      </c>
      <c r="B40" s="821"/>
      <c r="C40" s="823"/>
      <c r="D40" s="1805"/>
      <c r="E40" s="1809">
        <f>-'Contracts Paid in CY 29'!F141</f>
        <v>-607176</v>
      </c>
      <c r="F40" s="1805"/>
      <c r="G40" s="1809">
        <f>-'Contracts Paid in CY 29'!F141</f>
        <v>-607176</v>
      </c>
    </row>
    <row r="41" spans="1:7" ht="12" customHeight="1" x14ac:dyDescent="0.2">
      <c r="A41" s="828" t="s">
        <v>155</v>
      </c>
      <c r="B41" s="829"/>
      <c r="C41" s="830"/>
      <c r="D41" s="1809">
        <f>SUM(D19:D39)</f>
        <v>74969</v>
      </c>
      <c r="E41" s="1809">
        <f>SUM(E19:E40)</f>
        <v>7566586</v>
      </c>
      <c r="F41" s="1809">
        <f>SUM(F19:F39)</f>
        <v>810424</v>
      </c>
      <c r="G41" s="1809">
        <f>SUM(G19:G40)</f>
        <v>6831131</v>
      </c>
    </row>
    <row r="42" spans="1:7" x14ac:dyDescent="0.2">
      <c r="A42" s="817"/>
      <c r="B42" s="157"/>
      <c r="C42" s="831"/>
      <c r="D42" s="2401" t="s">
        <v>519</v>
      </c>
      <c r="E42" s="2402"/>
      <c r="F42" s="832" t="s">
        <v>520</v>
      </c>
      <c r="G42" s="833"/>
    </row>
    <row r="43" spans="1:7" ht="12" customHeight="1" x14ac:dyDescent="0.2">
      <c r="A43" s="817"/>
      <c r="B43" s="157"/>
      <c r="C43" s="831"/>
      <c r="D43" s="1458" t="s">
        <v>470</v>
      </c>
      <c r="E43" s="1810">
        <f>D41</f>
        <v>74969</v>
      </c>
      <c r="F43" s="1458" t="s">
        <v>470</v>
      </c>
      <c r="G43" s="1810">
        <f>F41</f>
        <v>810424</v>
      </c>
    </row>
    <row r="44" spans="1:7" ht="12" customHeight="1" x14ac:dyDescent="0.2">
      <c r="A44" s="817"/>
      <c r="B44" s="157"/>
      <c r="C44" s="831"/>
      <c r="D44" s="1458" t="s">
        <v>471</v>
      </c>
      <c r="E44" s="1810">
        <f>E41</f>
        <v>7566586</v>
      </c>
      <c r="F44" s="1458" t="s">
        <v>471</v>
      </c>
      <c r="G44" s="1810">
        <f>G41</f>
        <v>6831131</v>
      </c>
    </row>
    <row r="45" spans="1:7" ht="12" customHeight="1" x14ac:dyDescent="0.2">
      <c r="A45" s="817"/>
      <c r="B45" s="157"/>
      <c r="C45" s="157"/>
      <c r="D45" s="1459" t="s">
        <v>999</v>
      </c>
      <c r="E45" s="1811">
        <f>(E43/E44)</f>
        <v>9.907902982930478E-3</v>
      </c>
      <c r="F45" s="1459" t="s">
        <v>999</v>
      </c>
      <c r="G45" s="1811">
        <f>(G43/G44)</f>
        <v>0.11863686994144894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F10" sqref="F1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0" t="s">
        <v>1363</v>
      </c>
      <c r="B1" s="2420"/>
      <c r="C1" s="2420"/>
      <c r="D1" s="2420"/>
      <c r="E1" s="2420"/>
      <c r="F1" s="242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1" t="s">
        <v>1529</v>
      </c>
      <c r="B5" s="2422"/>
      <c r="C5" s="2423"/>
      <c r="D5" s="2423"/>
      <c r="E5" s="2423"/>
      <c r="F5" s="2423"/>
      <c r="G5" s="1507"/>
      <c r="L5" s="1507"/>
      <c r="M5" s="1855"/>
      <c r="N5" s="1855"/>
      <c r="O5" s="1855"/>
    </row>
    <row r="6" spans="1:15" ht="12" customHeight="1" x14ac:dyDescent="0.25">
      <c r="A6" s="1480"/>
      <c r="B6" s="1481"/>
      <c r="C6" s="2424" t="str">
        <f>COVER!A17</f>
        <v>Chester Community Unit School District No. 139</v>
      </c>
      <c r="D6" s="2424"/>
      <c r="E6" s="2424"/>
      <c r="F6" s="1482"/>
      <c r="G6" s="1507"/>
      <c r="L6" s="1507"/>
      <c r="M6" s="1855"/>
      <c r="N6" s="1855"/>
      <c r="O6" s="1855"/>
    </row>
    <row r="7" spans="1:15" ht="11.25" customHeight="1" thickBot="1" x14ac:dyDescent="0.3">
      <c r="A7" s="1480"/>
      <c r="B7" s="1481"/>
      <c r="C7" s="2425" t="str">
        <f>COVER!A13</f>
        <v>45-079-1390-26</v>
      </c>
      <c r="D7" s="2425"/>
      <c r="E7" s="2425"/>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2048</v>
      </c>
      <c r="D13" s="1495" t="s">
        <v>2048</v>
      </c>
      <c r="E13" s="1498" t="s">
        <v>2048</v>
      </c>
      <c r="F13" s="1497" t="s">
        <v>2176</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t="s">
        <v>2048</v>
      </c>
      <c r="F19" s="1497" t="s">
        <v>2177</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2048</v>
      </c>
      <c r="D25" s="1495" t="s">
        <v>2048</v>
      </c>
      <c r="E25" s="1498" t="s">
        <v>2048</v>
      </c>
      <c r="F25" s="1497" t="s">
        <v>2178</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2048</v>
      </c>
      <c r="D26" s="1495" t="s">
        <v>2048</v>
      </c>
      <c r="E26" s="1498" t="s">
        <v>2048</v>
      </c>
      <c r="F26" s="1497" t="s">
        <v>2179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t="s">
        <v>2048</v>
      </c>
      <c r="F31" s="1497" t="s">
        <v>2180</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&amp;LSee notes to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L20" sqref="L20"/>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6" t="str">
        <f>COVER!A17</f>
        <v>Chester Community Unit School District No. 139</v>
      </c>
      <c r="K6" s="2446"/>
      <c r="L6" s="2460"/>
      <c r="M6" s="838"/>
      <c r="N6" s="1998"/>
    </row>
    <row r="7" spans="1:14" x14ac:dyDescent="0.2">
      <c r="A7" s="2461" t="s">
        <v>864</v>
      </c>
      <c r="B7" s="2462"/>
      <c r="C7" s="2462"/>
      <c r="D7" s="2462"/>
      <c r="E7" s="2463"/>
      <c r="F7" s="839"/>
      <c r="G7" s="838"/>
      <c r="H7" s="838"/>
      <c r="I7" s="1924" t="s">
        <v>369</v>
      </c>
      <c r="J7" s="2448" t="str">
        <f>COVER!A13</f>
        <v>45-079-1390-26</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4" t="s">
        <v>478</v>
      </c>
      <c r="B11" s="2465"/>
      <c r="C11" s="2466"/>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193872</v>
      </c>
      <c r="F12" s="1942"/>
      <c r="G12" s="1968">
        <f>G68</f>
        <v>0</v>
      </c>
      <c r="H12" s="1944">
        <f t="shared" ref="H12:H18" si="0">SUM(E12:G12)</f>
        <v>193872</v>
      </c>
      <c r="I12" s="1943">
        <v>203342</v>
      </c>
      <c r="J12" s="1942"/>
      <c r="K12" s="1943"/>
      <c r="L12" s="1944">
        <f t="shared" ref="L12:L18" si="1">SUM(I12:K12)</f>
        <v>203342</v>
      </c>
      <c r="M12" s="838"/>
      <c r="N12" s="1998"/>
    </row>
    <row r="13" spans="1:14" x14ac:dyDescent="0.2">
      <c r="A13" s="2003">
        <v>2</v>
      </c>
      <c r="B13" s="1940" t="s">
        <v>42</v>
      </c>
      <c r="C13" s="842"/>
      <c r="D13" s="1941">
        <v>2330</v>
      </c>
      <c r="E13" s="1944">
        <f>'Expenditures 15-22'!K51</f>
        <v>1973</v>
      </c>
      <c r="F13" s="1942"/>
      <c r="G13" s="1968">
        <f>H68</f>
        <v>0</v>
      </c>
      <c r="H13" s="1944">
        <f t="shared" si="0"/>
        <v>1973</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43859</v>
      </c>
      <c r="H16" s="1944">
        <f t="shared" si="0"/>
        <v>43859</v>
      </c>
      <c r="I16" s="1943"/>
      <c r="J16" s="1942"/>
      <c r="K16" s="1943">
        <v>60000</v>
      </c>
      <c r="L16" s="1944">
        <f t="shared" si="1"/>
        <v>60000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7" t="s">
        <v>7</v>
      </c>
      <c r="C18" s="2468"/>
      <c r="D18" s="246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195845</v>
      </c>
      <c r="F19" s="1950">
        <f t="shared" si="2"/>
        <v>0</v>
      </c>
      <c r="G19" s="1950">
        <f t="shared" ref="G19" si="3">SUM(G12:G17)-G18</f>
        <v>43859</v>
      </c>
      <c r="H19" s="1950">
        <f t="shared" si="2"/>
        <v>239704</v>
      </c>
      <c r="I19" s="1950">
        <f t="shared" si="2"/>
        <v>203342</v>
      </c>
      <c r="J19" s="1950">
        <f t="shared" si="2"/>
        <v>0</v>
      </c>
      <c r="K19" s="1950">
        <f t="shared" si="2"/>
        <v>60000</v>
      </c>
      <c r="L19" s="1950">
        <f t="shared" si="2"/>
        <v>263342</v>
      </c>
      <c r="M19" s="838"/>
      <c r="N19" s="1998"/>
    </row>
    <row r="20" spans="1:14" ht="13.5" thickTop="1" x14ac:dyDescent="0.2">
      <c r="A20" s="2003">
        <v>9</v>
      </c>
      <c r="B20" s="2470" t="s">
        <v>2018</v>
      </c>
      <c r="C20" s="2470"/>
      <c r="D20" s="2471"/>
      <c r="E20" s="1951"/>
      <c r="F20" s="1951"/>
      <c r="G20" s="1951"/>
      <c r="H20" s="1951"/>
      <c r="I20" s="1951"/>
      <c r="J20" s="1951"/>
      <c r="K20" s="1951"/>
      <c r="L20" s="1952">
        <f>IF(AND(H19&gt;0,L19&gt;0),(((L19-H19)/H19)),"Enter Budget Data")</f>
        <v>9.8613289723992928E-2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2"/>
      <c r="D27" s="2472"/>
      <c r="E27" s="843"/>
      <c r="F27" s="2473"/>
      <c r="G27" s="2473"/>
      <c r="H27" s="2473"/>
      <c r="I27" s="838"/>
      <c r="J27" s="838"/>
      <c r="K27" s="838"/>
      <c r="L27" s="838"/>
      <c r="M27" s="838"/>
      <c r="N27" s="1998"/>
    </row>
    <row r="28" spans="1:14" x14ac:dyDescent="0.2">
      <c r="A28" s="1997"/>
      <c r="B28" s="2007"/>
      <c r="C28" s="1957" t="s">
        <v>1026</v>
      </c>
      <c r="D28" s="844"/>
      <c r="E28" s="1958"/>
      <c r="F28" s="2474" t="s">
        <v>1492</v>
      </c>
      <c r="G28" s="2474"/>
      <c r="H28" s="2474"/>
      <c r="I28" s="838"/>
      <c r="J28" s="838"/>
      <c r="K28" s="838"/>
      <c r="L28" s="838"/>
      <c r="M28" s="838"/>
      <c r="N28" s="1998"/>
    </row>
    <row r="29" spans="1:14" x14ac:dyDescent="0.2">
      <c r="A29" s="1997"/>
      <c r="B29" s="2007"/>
      <c r="C29" s="2475"/>
      <c r="D29" s="2475"/>
      <c r="E29" s="845"/>
      <c r="F29" s="2475"/>
      <c r="G29" s="2475"/>
      <c r="H29" s="2475"/>
      <c r="I29" s="838"/>
      <c r="J29" s="838"/>
      <c r="K29" s="838"/>
      <c r="L29" s="838"/>
      <c r="M29" s="838"/>
      <c r="N29" s="1998"/>
    </row>
    <row r="30" spans="1:14" x14ac:dyDescent="0.2">
      <c r="A30" s="1997"/>
      <c r="B30" s="2007"/>
      <c r="C30" s="1960" t="s">
        <v>1544</v>
      </c>
      <c r="D30" s="838"/>
      <c r="E30" s="1959"/>
      <c r="F30" s="2459" t="s">
        <v>1493</v>
      </c>
      <c r="G30" s="2459"/>
      <c r="H30" s="245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6" t="s">
        <v>2021</v>
      </c>
      <c r="D34" s="2437"/>
      <c r="E34" s="2437"/>
      <c r="F34" s="2437"/>
      <c r="G34" s="2437"/>
      <c r="H34" s="2437"/>
      <c r="I34" s="2437"/>
      <c r="J34" s="2437"/>
      <c r="K34" s="2016"/>
      <c r="L34" s="838"/>
      <c r="M34" s="838"/>
      <c r="N34" s="1998"/>
    </row>
    <row r="35" spans="1:14" x14ac:dyDescent="0.2">
      <c r="A35" s="1997"/>
      <c r="B35" s="838"/>
      <c r="C35" s="2437"/>
      <c r="D35" s="2437"/>
      <c r="E35" s="2437"/>
      <c r="F35" s="2437"/>
      <c r="G35" s="2437"/>
      <c r="H35" s="2437"/>
      <c r="I35" s="2437"/>
      <c r="J35" s="243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6" t="s">
        <v>2022</v>
      </c>
      <c r="D37" s="2437"/>
      <c r="E37" s="2437"/>
      <c r="F37" s="2437"/>
      <c r="G37" s="2437"/>
      <c r="H37" s="2437"/>
      <c r="I37" s="2437"/>
      <c r="J37" s="2437"/>
      <c r="K37" s="2016"/>
      <c r="L37" s="2018"/>
      <c r="M37" s="838"/>
      <c r="N37" s="1998"/>
    </row>
    <row r="38" spans="1:14" x14ac:dyDescent="0.2">
      <c r="A38" s="1997"/>
      <c r="B38" s="838"/>
      <c r="C38" s="2437"/>
      <c r="D38" s="2437"/>
      <c r="E38" s="2437"/>
      <c r="F38" s="2437"/>
      <c r="G38" s="2437"/>
      <c r="H38" s="2437"/>
      <c r="I38" s="2437"/>
      <c r="J38" s="243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2048</v>
      </c>
      <c r="C40" s="2438" t="s">
        <v>2023</v>
      </c>
      <c r="D40" s="2439"/>
      <c r="E40" s="2439"/>
      <c r="F40" s="2439"/>
      <c r="G40" s="2439"/>
      <c r="H40" s="2439"/>
      <c r="I40" s="2439"/>
      <c r="J40" s="243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0" t="s">
        <v>2024</v>
      </c>
      <c r="B43" s="2441"/>
      <c r="C43" s="2441"/>
      <c r="D43" s="2441"/>
      <c r="E43" s="2441"/>
      <c r="F43" s="2441"/>
      <c r="G43" s="2441"/>
      <c r="H43" s="2441"/>
      <c r="I43" s="2441"/>
      <c r="J43" s="2441"/>
      <c r="K43" s="2441"/>
      <c r="L43" s="2441"/>
      <c r="M43" s="2441"/>
      <c r="N43" s="244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3" t="s">
        <v>2026</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6" t="str">
        <f>J6</f>
        <v>Chester Community Unit School District No. 139</v>
      </c>
      <c r="M52" s="2446"/>
      <c r="N52" s="2447"/>
    </row>
    <row r="53" spans="1:14" x14ac:dyDescent="0.2">
      <c r="A53" s="1982"/>
      <c r="B53" s="1983"/>
      <c r="C53" s="1983"/>
      <c r="D53" s="1983"/>
      <c r="E53" s="1983"/>
      <c r="F53" s="1983"/>
      <c r="G53" s="1983"/>
      <c r="H53" s="1983"/>
      <c r="I53" s="1983"/>
      <c r="J53" s="1983"/>
      <c r="K53" s="1924" t="s">
        <v>369</v>
      </c>
      <c r="L53" s="2448" t="str">
        <f>J7</f>
        <v>45-079-1390-26</v>
      </c>
      <c r="M53" s="2448"/>
      <c r="N53" s="244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0"/>
      <c r="B55" s="2451"/>
      <c r="C55" s="2451"/>
      <c r="D55" s="1970"/>
      <c r="E55" s="1970"/>
      <c r="F55" s="1970"/>
      <c r="G55" s="2452" t="s">
        <v>2027</v>
      </c>
      <c r="H55" s="2452"/>
      <c r="I55" s="2452"/>
      <c r="J55" s="2452"/>
      <c r="K55" s="2452"/>
      <c r="L55" s="2452"/>
      <c r="M55" s="2452"/>
      <c r="N55" s="2453"/>
    </row>
    <row r="56" spans="1:14" ht="63.75" x14ac:dyDescent="0.2">
      <c r="A56" s="2454" t="s">
        <v>2028</v>
      </c>
      <c r="B56" s="2455"/>
      <c r="C56" s="2456"/>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57" t="s">
        <v>296</v>
      </c>
      <c r="B57" s="2458"/>
      <c r="C57" s="245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4" t="s">
        <v>2038</v>
      </c>
      <c r="B58" s="2435"/>
      <c r="C58" s="2435"/>
      <c r="D58" s="1967">
        <v>2362</v>
      </c>
      <c r="E58" s="1977">
        <f>'Expenditures 15-22'!K320</f>
        <v>49780</v>
      </c>
      <c r="F58" s="1972"/>
      <c r="G58" s="2031"/>
      <c r="H58" s="2032"/>
      <c r="I58" s="2032"/>
      <c r="J58" s="2032"/>
      <c r="K58" s="2032"/>
      <c r="L58" s="2032"/>
      <c r="M58" s="2032">
        <v>49780</v>
      </c>
      <c r="N58" s="1975">
        <f>IF((SUM(G58:M58))=E58,SUM(G58:M58),"Column N does not agree with Column E")</f>
        <v>49780</v>
      </c>
    </row>
    <row r="59" spans="1:14" ht="24.75" customHeight="1" x14ac:dyDescent="0.2">
      <c r="A59" s="2428" t="s">
        <v>297</v>
      </c>
      <c r="B59" s="2429"/>
      <c r="C59" s="2429"/>
      <c r="D59" s="1967">
        <v>2363</v>
      </c>
      <c r="E59" s="1977">
        <f>'Expenditures 15-22'!K321</f>
        <v>4242</v>
      </c>
      <c r="F59" s="1972"/>
      <c r="G59" s="2031"/>
      <c r="H59" s="2032"/>
      <c r="I59" s="2032"/>
      <c r="J59" s="2032"/>
      <c r="K59" s="2032"/>
      <c r="L59" s="2032"/>
      <c r="M59" s="2032">
        <v>4242</v>
      </c>
      <c r="N59" s="1975">
        <f>IF((SUM(G59:M59))=E59,SUM(G59:M59),"Column N does not agree with Column E")</f>
        <v>4242</v>
      </c>
    </row>
    <row r="60" spans="1:14" ht="24" customHeight="1" x14ac:dyDescent="0.2">
      <c r="A60" s="2428" t="s">
        <v>236</v>
      </c>
      <c r="B60" s="2429"/>
      <c r="C60" s="2429"/>
      <c r="D60" s="1967">
        <v>2364</v>
      </c>
      <c r="E60" s="1977">
        <f>'Expenditures 15-22'!K322</f>
        <v>42284</v>
      </c>
      <c r="F60" s="1972"/>
      <c r="G60" s="2031"/>
      <c r="H60" s="2032"/>
      <c r="I60" s="2032"/>
      <c r="J60" s="2032"/>
      <c r="K60" s="2032"/>
      <c r="L60" s="2032"/>
      <c r="M60" s="2032">
        <v>42284</v>
      </c>
      <c r="N60" s="1975">
        <f t="shared" ref="N60:N67" si="4">IF((SUM(G60:M60))=E60,SUM(G60:M60),"Column N does not agree with Column E")</f>
        <v>42284</v>
      </c>
    </row>
    <row r="61" spans="1:14" ht="24.75" customHeight="1" x14ac:dyDescent="0.2">
      <c r="A61" s="2428" t="s">
        <v>697</v>
      </c>
      <c r="B61" s="2429"/>
      <c r="C61" s="2429"/>
      <c r="D61" s="1967">
        <v>2365</v>
      </c>
      <c r="E61" s="1977">
        <f>'Expenditures 15-22'!K323</f>
        <v>0</v>
      </c>
      <c r="F61" s="1972"/>
      <c r="G61" s="2031"/>
      <c r="H61" s="2032"/>
      <c r="I61" s="2032"/>
      <c r="J61" s="2032"/>
      <c r="K61" s="2032"/>
      <c r="L61" s="2032"/>
      <c r="M61" s="2032"/>
      <c r="N61" s="1975">
        <f t="shared" si="4"/>
        <v>0</v>
      </c>
    </row>
    <row r="62" spans="1:14" ht="24" customHeight="1" x14ac:dyDescent="0.2">
      <c r="A62" s="2428" t="s">
        <v>237</v>
      </c>
      <c r="B62" s="2429"/>
      <c r="C62" s="2429"/>
      <c r="D62" s="1967">
        <v>2366</v>
      </c>
      <c r="E62" s="1977">
        <f>'Expenditures 15-22'!K324</f>
        <v>0</v>
      </c>
      <c r="F62" s="1972"/>
      <c r="G62" s="2031"/>
      <c r="H62" s="2032"/>
      <c r="I62" s="2032"/>
      <c r="J62" s="2032"/>
      <c r="K62" s="2032"/>
      <c r="L62" s="2032"/>
      <c r="M62" s="2032"/>
      <c r="N62" s="1975">
        <f t="shared" si="4"/>
        <v>0</v>
      </c>
    </row>
    <row r="63" spans="1:14" ht="24" customHeight="1" x14ac:dyDescent="0.2">
      <c r="A63" s="2434" t="s">
        <v>1022</v>
      </c>
      <c r="B63" s="2435"/>
      <c r="C63" s="2435"/>
      <c r="D63" s="1967">
        <v>2367</v>
      </c>
      <c r="E63" s="1977">
        <f>'Expenditures 15-22'!K325</f>
        <v>0</v>
      </c>
      <c r="F63" s="1972"/>
      <c r="G63" s="2031"/>
      <c r="H63" s="2032"/>
      <c r="I63" s="2032"/>
      <c r="J63" s="2032"/>
      <c r="K63" s="2032"/>
      <c r="L63" s="2032"/>
      <c r="M63" s="2032"/>
      <c r="N63" s="1975">
        <f t="shared" si="4"/>
        <v>0</v>
      </c>
    </row>
    <row r="64" spans="1:14" ht="24" customHeight="1" x14ac:dyDescent="0.2">
      <c r="A64" s="2428" t="s">
        <v>1023</v>
      </c>
      <c r="B64" s="2429"/>
      <c r="C64" s="2429"/>
      <c r="D64" s="1967">
        <v>2368</v>
      </c>
      <c r="E64" s="1977">
        <f>'Expenditures 15-22'!K326</f>
        <v>0</v>
      </c>
      <c r="F64" s="1972"/>
      <c r="G64" s="2031"/>
      <c r="H64" s="2032"/>
      <c r="I64" s="2032"/>
      <c r="J64" s="2032"/>
      <c r="K64" s="2032"/>
      <c r="L64" s="2032"/>
      <c r="M64" s="2032"/>
      <c r="N64" s="1975">
        <f t="shared" si="4"/>
        <v>0</v>
      </c>
    </row>
    <row r="65" spans="1:14" ht="24" customHeight="1" x14ac:dyDescent="0.2">
      <c r="A65" s="2428" t="s">
        <v>965</v>
      </c>
      <c r="B65" s="2429"/>
      <c r="C65" s="2429"/>
      <c r="D65" s="1967">
        <v>2369</v>
      </c>
      <c r="E65" s="1977">
        <f>'Expenditures 15-22'!K327</f>
        <v>43859</v>
      </c>
      <c r="F65" s="1972"/>
      <c r="G65" s="2031"/>
      <c r="H65" s="2032"/>
      <c r="I65" s="2032"/>
      <c r="J65" s="2032"/>
      <c r="K65" s="2032">
        <v>43859</v>
      </c>
      <c r="L65" s="2032"/>
      <c r="M65" s="2032"/>
      <c r="N65" s="1975">
        <f t="shared" si="4"/>
        <v>43859</v>
      </c>
    </row>
    <row r="66" spans="1:14" ht="24" customHeight="1" x14ac:dyDescent="0.2">
      <c r="A66" s="2428" t="s">
        <v>469</v>
      </c>
      <c r="B66" s="2429"/>
      <c r="C66" s="2429"/>
      <c r="D66" s="1967">
        <v>2371</v>
      </c>
      <c r="E66" s="1977">
        <f>'Expenditures 15-22'!K328</f>
        <v>0</v>
      </c>
      <c r="F66" s="1972"/>
      <c r="G66" s="2031"/>
      <c r="H66" s="2032"/>
      <c r="I66" s="2032"/>
      <c r="J66" s="2032"/>
      <c r="K66" s="2032"/>
      <c r="L66" s="2032"/>
      <c r="M66" s="2032"/>
      <c r="N66" s="1975">
        <f t="shared" si="4"/>
        <v>0</v>
      </c>
    </row>
    <row r="67" spans="1:14" ht="24.75" customHeight="1" x14ac:dyDescent="0.2">
      <c r="A67" s="2430" t="s">
        <v>2039</v>
      </c>
      <c r="B67" s="2431"/>
      <c r="C67" s="2431"/>
      <c r="D67" s="1969">
        <v>2372</v>
      </c>
      <c r="E67" s="1978">
        <f>'Expenditures 15-22'!K329</f>
        <v>0</v>
      </c>
      <c r="F67" s="1972"/>
      <c r="G67" s="2033"/>
      <c r="H67" s="2034"/>
      <c r="I67" s="2034"/>
      <c r="J67" s="2034"/>
      <c r="K67" s="2034"/>
      <c r="L67" s="2034"/>
      <c r="M67" s="2034"/>
      <c r="N67" s="1975">
        <f t="shared" si="4"/>
        <v>0</v>
      </c>
    </row>
    <row r="68" spans="1:14" x14ac:dyDescent="0.2">
      <c r="A68" s="2432" t="s">
        <v>1151</v>
      </c>
      <c r="B68" s="2433"/>
      <c r="C68" s="2433"/>
      <c r="D68" s="1970"/>
      <c r="E68" s="1974">
        <f>SUM(E57:E67)</f>
        <v>140165</v>
      </c>
      <c r="F68" s="1973"/>
      <c r="G68" s="1974">
        <f t="shared" ref="G68:N68" si="5">SUM(G57:G67)</f>
        <v>0</v>
      </c>
      <c r="H68" s="1974">
        <f t="shared" si="5"/>
        <v>0</v>
      </c>
      <c r="I68" s="1974">
        <f t="shared" si="5"/>
        <v>0</v>
      </c>
      <c r="J68" s="1974">
        <f t="shared" si="5"/>
        <v>0</v>
      </c>
      <c r="K68" s="1974">
        <f t="shared" si="5"/>
        <v>43859</v>
      </c>
      <c r="L68" s="1974">
        <f t="shared" si="5"/>
        <v>0</v>
      </c>
      <c r="M68" s="1974">
        <f t="shared" si="5"/>
        <v>96306</v>
      </c>
      <c r="N68" s="1988">
        <f t="shared" si="5"/>
        <v>140165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differentFirst="1">
    <oddHeader>&amp;RPage &amp;P</oddHeader>
    <oddFooter>&amp;LSee notes to financial statements.&amp;C37</oddFooter>
    <firstFooter>&amp;LSee notes to financial statements.</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G63"/>
  <sheetViews>
    <sheetView showGridLines="0" zoomScale="110" zoomScaleNormal="110" workbookViewId="0">
      <selection activeCell="G8" sqref="G8"/>
    </sheetView>
  </sheetViews>
  <sheetFormatPr defaultColWidth="9.140625" defaultRowHeight="12.75" x14ac:dyDescent="0.2"/>
  <cols>
    <col min="1" max="1" width="3.140625" style="307" customWidth="1"/>
    <col min="2" max="2" width="8.5703125" style="307" customWidth="1"/>
    <col min="3" max="3" width="5.5703125" style="307" customWidth="1"/>
    <col min="4" max="4" width="12.85546875" style="307" customWidth="1"/>
    <col min="5" max="5" width="16.28515625" style="307" customWidth="1"/>
    <col min="6" max="6" width="33.28515625" style="307" bestFit="1" customWidth="1"/>
    <col min="7" max="7" width="11.7109375" style="307" customWidth="1"/>
    <col min="8" max="16384" width="9.140625" style="307"/>
  </cols>
  <sheetData>
    <row r="2" spans="1:7" x14ac:dyDescent="0.2">
      <c r="A2" s="366" t="s">
        <v>256</v>
      </c>
    </row>
    <row r="3" spans="1:7" x14ac:dyDescent="0.2">
      <c r="A3" s="307" t="s">
        <v>257</v>
      </c>
    </row>
    <row r="4" spans="1:7" x14ac:dyDescent="0.2">
      <c r="B4" s="2039" t="s">
        <v>2181</v>
      </c>
      <c r="C4" s="2039" t="s">
        <v>2182</v>
      </c>
      <c r="D4" s="2039" t="s">
        <v>1068</v>
      </c>
      <c r="E4" s="2039" t="s">
        <v>2183</v>
      </c>
      <c r="F4" s="2039" t="s">
        <v>478</v>
      </c>
      <c r="G4" s="2039" t="s">
        <v>860</v>
      </c>
    </row>
    <row r="5" spans="1:7" x14ac:dyDescent="0.2">
      <c r="A5" s="847"/>
      <c r="B5" s="2038">
        <v>10</v>
      </c>
      <c r="C5" s="2038">
        <v>74</v>
      </c>
      <c r="D5" s="2038" t="s">
        <v>1145</v>
      </c>
      <c r="E5" s="2038"/>
      <c r="F5" s="2038" t="s">
        <v>2184</v>
      </c>
      <c r="G5" s="2040">
        <v>7945</v>
      </c>
    </row>
    <row r="6" spans="1:7" x14ac:dyDescent="0.2">
      <c r="A6" s="847"/>
      <c r="B6" s="2038"/>
      <c r="C6" s="2038"/>
      <c r="D6" s="2038"/>
      <c r="E6" s="2038"/>
      <c r="F6" s="2038" t="s">
        <v>2187</v>
      </c>
      <c r="G6" s="2040">
        <v>90</v>
      </c>
    </row>
    <row r="7" spans="1:7" x14ac:dyDescent="0.2">
      <c r="A7" s="847"/>
      <c r="B7" s="2038"/>
      <c r="C7" s="2038"/>
      <c r="D7" s="2038"/>
      <c r="E7" s="2038"/>
      <c r="F7" s="2038" t="s">
        <v>2188</v>
      </c>
      <c r="G7" s="2040">
        <v>1799</v>
      </c>
    </row>
    <row r="8" spans="1:7" ht="13.5" thickBot="1" x14ac:dyDescent="0.25">
      <c r="A8" s="847"/>
      <c r="B8" s="2038"/>
      <c r="C8" s="2038"/>
      <c r="D8" s="2038"/>
      <c r="E8" s="2038"/>
      <c r="F8" s="2038"/>
      <c r="G8" s="2043">
        <f>SUM(G5:G7)</f>
        <v>9834</v>
      </c>
    </row>
    <row r="9" spans="1:7" ht="13.5" thickTop="1" x14ac:dyDescent="0.2">
      <c r="A9" s="848"/>
      <c r="B9" s="2038"/>
      <c r="C9" s="2038"/>
      <c r="D9" s="2038"/>
      <c r="E9" s="2038"/>
      <c r="F9" s="2038"/>
      <c r="G9" s="2042"/>
    </row>
    <row r="10" spans="1:7" x14ac:dyDescent="0.2">
      <c r="A10" s="848"/>
      <c r="B10" s="2038">
        <v>10</v>
      </c>
      <c r="C10" s="2038">
        <v>78</v>
      </c>
      <c r="D10" s="2038" t="s">
        <v>1145</v>
      </c>
      <c r="E10" s="2038"/>
      <c r="F10" s="2038" t="s">
        <v>2185</v>
      </c>
      <c r="G10" s="2042">
        <v>12084</v>
      </c>
    </row>
    <row r="11" spans="1:7" x14ac:dyDescent="0.2">
      <c r="A11" s="848"/>
      <c r="B11" s="2038"/>
      <c r="C11" s="2038"/>
      <c r="D11" s="2038"/>
      <c r="E11" s="2038"/>
      <c r="F11" s="2038" t="s">
        <v>2186</v>
      </c>
      <c r="G11" s="2042">
        <v>460</v>
      </c>
    </row>
    <row r="12" spans="1:7" ht="13.5" thickBot="1" x14ac:dyDescent="0.25">
      <c r="A12" s="848"/>
      <c r="B12" s="2038"/>
      <c r="C12" s="2038"/>
      <c r="D12" s="2038"/>
      <c r="E12" s="2038"/>
      <c r="F12" s="2038"/>
      <c r="G12" s="2043">
        <f>SUM(G10:G11)</f>
        <v>12544</v>
      </c>
    </row>
    <row r="13" spans="1:7" ht="13.5" thickTop="1" x14ac:dyDescent="0.2">
      <c r="A13" s="848"/>
      <c r="B13" s="2038"/>
      <c r="C13" s="2038"/>
      <c r="D13" s="2038"/>
      <c r="E13" s="2038"/>
      <c r="F13" s="2038"/>
      <c r="G13" s="2042"/>
    </row>
    <row r="14" spans="1:7" x14ac:dyDescent="0.2">
      <c r="A14" s="848"/>
      <c r="B14" s="2038">
        <v>10</v>
      </c>
      <c r="C14" s="2038">
        <v>106</v>
      </c>
      <c r="D14" s="2038" t="s">
        <v>1145</v>
      </c>
      <c r="E14" s="2038"/>
      <c r="F14" s="2038" t="s">
        <v>2189</v>
      </c>
      <c r="G14" s="2042">
        <v>33224</v>
      </c>
    </row>
    <row r="15" spans="1:7" x14ac:dyDescent="0.2">
      <c r="A15" s="848"/>
      <c r="B15" s="2038"/>
      <c r="C15" s="2038"/>
      <c r="D15" s="2038"/>
      <c r="E15" s="2038"/>
      <c r="F15" s="2038"/>
      <c r="G15" s="2042"/>
    </row>
    <row r="16" spans="1:7" x14ac:dyDescent="0.2">
      <c r="A16" s="848"/>
      <c r="B16" s="2038">
        <v>10</v>
      </c>
      <c r="C16" s="2038">
        <v>107</v>
      </c>
      <c r="D16" s="2038" t="s">
        <v>1145</v>
      </c>
      <c r="E16" s="2038"/>
      <c r="F16" s="2038" t="s">
        <v>2190</v>
      </c>
      <c r="G16" s="2042">
        <v>2050</v>
      </c>
    </row>
    <row r="17" spans="1:7" x14ac:dyDescent="0.2">
      <c r="A17" s="848"/>
      <c r="B17" s="2038"/>
      <c r="C17" s="2038"/>
      <c r="D17" s="2038"/>
      <c r="E17" s="2038"/>
      <c r="F17" s="2038"/>
      <c r="G17" s="2042"/>
    </row>
    <row r="18" spans="1:7" x14ac:dyDescent="0.2">
      <c r="A18" s="848"/>
      <c r="B18" s="2038">
        <v>10</v>
      </c>
      <c r="C18" s="2038">
        <v>107</v>
      </c>
      <c r="D18" s="2038" t="s">
        <v>457</v>
      </c>
      <c r="E18" s="2038"/>
      <c r="F18" s="2038" t="s">
        <v>2190</v>
      </c>
      <c r="G18" s="2042">
        <v>194</v>
      </c>
    </row>
    <row r="19" spans="1:7" x14ac:dyDescent="0.2">
      <c r="A19" s="848"/>
      <c r="B19" s="2038"/>
      <c r="C19" s="2038"/>
      <c r="D19" s="2038"/>
      <c r="E19" s="2038"/>
      <c r="F19" s="2038"/>
      <c r="G19" s="2042"/>
    </row>
    <row r="20" spans="1:7" x14ac:dyDescent="0.2">
      <c r="A20" s="848"/>
      <c r="B20" s="2038">
        <v>12</v>
      </c>
      <c r="C20" s="2038">
        <v>168</v>
      </c>
      <c r="D20" s="2038" t="s">
        <v>1145</v>
      </c>
      <c r="E20" s="2038"/>
      <c r="F20" s="2038" t="s">
        <v>2191</v>
      </c>
      <c r="G20" s="2042">
        <v>208</v>
      </c>
    </row>
    <row r="21" spans="1:7" x14ac:dyDescent="0.2">
      <c r="A21" s="848"/>
      <c r="B21" s="2038"/>
      <c r="C21" s="2038"/>
      <c r="D21" s="2038"/>
      <c r="E21" s="2038"/>
      <c r="F21" s="2038" t="s">
        <v>2192</v>
      </c>
      <c r="G21" s="2042">
        <v>750</v>
      </c>
    </row>
    <row r="22" spans="1:7" ht="13.5" thickBot="1" x14ac:dyDescent="0.25">
      <c r="A22" s="848"/>
      <c r="B22" s="2038"/>
      <c r="C22" s="2038"/>
      <c r="D22" s="2038"/>
      <c r="E22" s="2038"/>
      <c r="F22" s="2038"/>
      <c r="G22" s="2043">
        <f>SUM(G20:G21)</f>
        <v>958</v>
      </c>
    </row>
    <row r="23" spans="1:7" ht="13.5" thickTop="1" x14ac:dyDescent="0.2">
      <c r="A23" s="848"/>
      <c r="B23" s="2038"/>
      <c r="C23" s="2038"/>
      <c r="D23" s="2038"/>
      <c r="E23" s="2038"/>
      <c r="F23" s="2038"/>
      <c r="G23" s="2042"/>
    </row>
    <row r="24" spans="1:7" x14ac:dyDescent="0.2">
      <c r="A24" s="848"/>
      <c r="B24" s="2038">
        <v>13</v>
      </c>
      <c r="C24" s="2038">
        <v>220</v>
      </c>
      <c r="D24" s="2038" t="s">
        <v>1145</v>
      </c>
      <c r="E24" s="2038"/>
      <c r="F24" s="2038" t="s">
        <v>2193</v>
      </c>
      <c r="G24" s="2042">
        <v>2080</v>
      </c>
    </row>
    <row r="25" spans="1:7" x14ac:dyDescent="0.2">
      <c r="A25" s="848"/>
      <c r="B25" s="2038"/>
      <c r="C25" s="2038"/>
      <c r="D25" s="2038"/>
      <c r="E25" s="2038"/>
      <c r="F25" s="2038"/>
      <c r="G25" s="2042"/>
    </row>
    <row r="26" spans="1:7" x14ac:dyDescent="0.2">
      <c r="A26" s="848"/>
      <c r="B26" s="2038">
        <v>18</v>
      </c>
      <c r="C26" s="2038">
        <v>171</v>
      </c>
      <c r="D26" s="2038" t="s">
        <v>447</v>
      </c>
      <c r="E26" s="2038" t="s">
        <v>1054</v>
      </c>
      <c r="F26" s="2038" t="s">
        <v>2194</v>
      </c>
      <c r="G26" s="2042">
        <v>13500</v>
      </c>
    </row>
    <row r="27" spans="1:7" x14ac:dyDescent="0.2">
      <c r="A27" s="848"/>
      <c r="B27" s="2038"/>
      <c r="C27" s="2038"/>
      <c r="D27" s="2038"/>
      <c r="E27" s="2038"/>
      <c r="F27" s="2038" t="s">
        <v>2195</v>
      </c>
      <c r="G27" s="2042">
        <v>92486</v>
      </c>
    </row>
    <row r="28" spans="1:7" ht="13.5" thickBot="1" x14ac:dyDescent="0.25">
      <c r="A28" s="848"/>
      <c r="B28" s="2038"/>
      <c r="C28" s="2038"/>
      <c r="D28" s="2038"/>
      <c r="E28" s="2038"/>
      <c r="F28" s="2038"/>
      <c r="G28" s="2043">
        <f>SUM(G26:G27)</f>
        <v>105986</v>
      </c>
    </row>
    <row r="29" spans="1:7" ht="13.5" thickTop="1" x14ac:dyDescent="0.2">
      <c r="A29" s="848"/>
      <c r="B29" s="2038"/>
      <c r="C29" s="2038"/>
      <c r="D29" s="2038"/>
      <c r="E29" s="2038"/>
      <c r="F29" s="2038"/>
      <c r="G29" s="2042"/>
    </row>
    <row r="30" spans="1:7" x14ac:dyDescent="0.2">
      <c r="A30" s="848"/>
      <c r="B30" s="2038"/>
      <c r="C30" s="2038"/>
      <c r="D30" s="2038"/>
      <c r="E30" s="2038"/>
      <c r="F30" s="2038"/>
      <c r="G30" s="2042"/>
    </row>
    <row r="31" spans="1:7" x14ac:dyDescent="0.2">
      <c r="A31" s="848"/>
      <c r="B31" s="2038"/>
      <c r="C31" s="2038"/>
      <c r="D31" s="2038"/>
      <c r="E31" s="2038"/>
      <c r="F31" s="2038"/>
      <c r="G31" s="2042"/>
    </row>
    <row r="32" spans="1:7" x14ac:dyDescent="0.2">
      <c r="A32" s="848"/>
      <c r="B32" s="2038"/>
      <c r="C32" s="2038"/>
      <c r="D32" s="2038"/>
      <c r="E32" s="2038"/>
      <c r="F32" s="2038"/>
      <c r="G32" s="2042"/>
    </row>
    <row r="33" spans="1:7" x14ac:dyDescent="0.2">
      <c r="A33" s="848"/>
      <c r="B33" s="2038"/>
      <c r="C33" s="2038"/>
      <c r="D33" s="2038"/>
      <c r="E33" s="2038"/>
      <c r="F33" s="2038"/>
      <c r="G33" s="2042"/>
    </row>
    <row r="34" spans="1:7" x14ac:dyDescent="0.2">
      <c r="A34" s="848"/>
      <c r="B34" s="2038"/>
      <c r="C34" s="2038"/>
      <c r="D34" s="2038"/>
      <c r="E34" s="2038"/>
      <c r="F34" s="2038"/>
      <c r="G34" s="2042"/>
    </row>
    <row r="35" spans="1:7" x14ac:dyDescent="0.2">
      <c r="A35" s="848"/>
      <c r="B35" s="2038"/>
      <c r="C35" s="2038"/>
      <c r="D35" s="2038"/>
      <c r="E35" s="2038"/>
      <c r="F35" s="2038"/>
      <c r="G35" s="2042"/>
    </row>
    <row r="36" spans="1:7" x14ac:dyDescent="0.2">
      <c r="A36" s="848"/>
      <c r="B36" s="2038"/>
      <c r="C36" s="2038"/>
      <c r="D36" s="2038"/>
      <c r="E36" s="2038"/>
      <c r="F36" s="2038"/>
      <c r="G36" s="2041"/>
    </row>
    <row r="37" spans="1:7" x14ac:dyDescent="0.2">
      <c r="A37" s="848"/>
      <c r="B37" s="2038"/>
      <c r="C37" s="2038"/>
      <c r="D37" s="2038"/>
      <c r="E37" s="2038"/>
      <c r="F37" s="2038"/>
    </row>
    <row r="38" spans="1:7" x14ac:dyDescent="0.2">
      <c r="A38" s="848"/>
      <c r="B38" s="2038"/>
      <c r="C38" s="2038"/>
      <c r="D38" s="2038"/>
      <c r="E38" s="2038"/>
      <c r="F38" s="2038"/>
    </row>
    <row r="39" spans="1:7" x14ac:dyDescent="0.2">
      <c r="A39" s="848"/>
      <c r="B39" s="2038"/>
      <c r="C39" s="2038"/>
      <c r="D39" s="2038"/>
      <c r="E39" s="2038"/>
      <c r="F39" s="2038"/>
    </row>
    <row r="40" spans="1:7" x14ac:dyDescent="0.2">
      <c r="A40" s="848"/>
    </row>
    <row r="41" spans="1:7" x14ac:dyDescent="0.2">
      <c r="A41" s="848"/>
    </row>
    <row r="42" spans="1:7" x14ac:dyDescent="0.2">
      <c r="A42" s="848"/>
    </row>
    <row r="43" spans="1:7" x14ac:dyDescent="0.2">
      <c r="A43" s="848"/>
    </row>
    <row r="44" spans="1:7" x14ac:dyDescent="0.2">
      <c r="A44" s="848"/>
    </row>
    <row r="45" spans="1:7" x14ac:dyDescent="0.2">
      <c r="A45" s="848"/>
    </row>
    <row r="46" spans="1:7" x14ac:dyDescent="0.2">
      <c r="A46" s="848"/>
    </row>
    <row r="47" spans="1:7" x14ac:dyDescent="0.2">
      <c r="A47" s="848"/>
    </row>
    <row r="48" spans="1:7"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row>
    <row r="63" spans="1:2" x14ac:dyDescent="0.2">
      <c r="B63" s="849" t="str">
        <f>COVER!A13</f>
        <v>45-079-1390-26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1591</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scaleWithDoc="0">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G5" sqref="G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6" t="s">
        <v>1665</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8369" r:id="rId4">
          <objectPr defaultSize="0" r:id="rId5">
            <anchor moveWithCells="1">
              <from>
                <xdr:col>1</xdr:col>
                <xdr:colOff>38100</xdr:colOff>
                <xdr:row>3</xdr:row>
                <xdr:rowOff>114300</xdr:rowOff>
              </from>
              <to>
                <xdr:col>1</xdr:col>
                <xdr:colOff>952500</xdr:colOff>
                <xdr:row>7</xdr:row>
                <xdr:rowOff>152400</xdr:rowOff>
              </to>
            </anchor>
          </objectPr>
        </oleObject>
      </mc:Choice>
      <mc:Fallback>
        <oleObject progId="Acrobat Document" dvAspect="DVASPECT_ICON" shapeId="58369" r:id="rId4"/>
      </mc:Fallback>
    </mc:AlternateContent>
    <mc:AlternateContent xmlns:mc="http://schemas.openxmlformats.org/markup-compatibility/2006">
      <mc:Choice Requires="x14">
        <oleObject progId="Acrobat Document" dvAspect="DVASPECT_ICON" shapeId="58370" r:id="rId6">
          <objectPr defaultSize="0" r:id="rId7">
            <anchor moveWithCells="1">
              <from>
                <xdr:col>1</xdr:col>
                <xdr:colOff>1047750</xdr:colOff>
                <xdr:row>3</xdr:row>
                <xdr:rowOff>114300</xdr:rowOff>
              </from>
              <to>
                <xdr:col>1</xdr:col>
                <xdr:colOff>1962150</xdr:colOff>
                <xdr:row>7</xdr:row>
                <xdr:rowOff>152400</xdr:rowOff>
              </to>
            </anchor>
          </objectPr>
        </oleObject>
      </mc:Choice>
      <mc:Fallback>
        <oleObject progId="Acrobat Document" dvAspect="DVASPECT_ICON" shapeId="58370" r:id="rId6"/>
      </mc:Fallback>
    </mc:AlternateContent>
    <mc:AlternateContent xmlns:mc="http://schemas.openxmlformats.org/markup-compatibility/2006">
      <mc:Choice Requires="x14">
        <oleObject progId="Acrobat Document" dvAspect="DVASPECT_ICON" shapeId="58371" r:id="rId8">
          <objectPr defaultSize="0" r:id="rId9">
            <anchor moveWithCells="1">
              <from>
                <xdr:col>1</xdr:col>
                <xdr:colOff>2076450</xdr:colOff>
                <xdr:row>3</xdr:row>
                <xdr:rowOff>114300</xdr:rowOff>
              </from>
              <to>
                <xdr:col>1</xdr:col>
                <xdr:colOff>2990850</xdr:colOff>
                <xdr:row>7</xdr:row>
                <xdr:rowOff>152400</xdr:rowOff>
              </to>
            </anchor>
          </objectPr>
        </oleObject>
      </mc:Choice>
      <mc:Fallback>
        <oleObject progId="Acrobat Document" dvAspect="DVASPECT_ICON" shapeId="58371" r:id="rId8"/>
      </mc:Fallback>
    </mc:AlternateContent>
    <mc:AlternateContent xmlns:mc="http://schemas.openxmlformats.org/markup-compatibility/2006">
      <mc:Choice Requires="x14">
        <oleObject progId="Acrobat Document" dvAspect="DVASPECT_ICON" shapeId="58372" r:id="rId10">
          <objectPr defaultSize="0" r:id="rId11">
            <anchor moveWithCells="1">
              <from>
                <xdr:col>1</xdr:col>
                <xdr:colOff>3086100</xdr:colOff>
                <xdr:row>3</xdr:row>
                <xdr:rowOff>114300</xdr:rowOff>
              </from>
              <to>
                <xdr:col>2</xdr:col>
                <xdr:colOff>19050</xdr:colOff>
                <xdr:row>7</xdr:row>
                <xdr:rowOff>152400</xdr:rowOff>
              </to>
            </anchor>
          </objectPr>
        </oleObject>
      </mc:Choice>
      <mc:Fallback>
        <oleObject progId="Acrobat Document" dvAspect="DVASPECT_ICON" shapeId="58372" r:id="rId10"/>
      </mc:Fallback>
    </mc:AlternateContent>
    <mc:AlternateContent xmlns:mc="http://schemas.openxmlformats.org/markup-compatibility/2006">
      <mc:Choice Requires="x14">
        <oleObject progId="Acrobat Document" dvAspect="DVASPECT_ICON" shapeId="58373" r:id="rId12">
          <objectPr defaultSize="0" r:id="rId13">
            <anchor moveWithCells="1">
              <from>
                <xdr:col>3</xdr:col>
                <xdr:colOff>352425</xdr:colOff>
                <xdr:row>3</xdr:row>
                <xdr:rowOff>114300</xdr:rowOff>
              </from>
              <to>
                <xdr:col>5</xdr:col>
                <xdr:colOff>47625</xdr:colOff>
                <xdr:row>7</xdr:row>
                <xdr:rowOff>152400</xdr:rowOff>
              </to>
            </anchor>
          </objectPr>
        </oleObject>
      </mc:Choice>
      <mc:Fallback>
        <oleObject progId="Acrobat Document" dvAspect="DVASPECT_ICON" shapeId="58373" r:id="rId12"/>
      </mc:Fallback>
    </mc:AlternateContent>
    <mc:AlternateContent xmlns:mc="http://schemas.openxmlformats.org/markup-compatibility/2006">
      <mc:Choice Requires="x14">
        <oleObject progId="Acrobat Document" dvAspect="DVASPECT_ICON" shapeId="58374" r:id="rId14">
          <objectPr defaultSize="0" r:id="rId15">
            <anchor moveWithCells="1">
              <from>
                <xdr:col>2</xdr:col>
                <xdr:colOff>0</xdr:colOff>
                <xdr:row>3</xdr:row>
                <xdr:rowOff>114300</xdr:rowOff>
              </from>
              <to>
                <xdr:col>3</xdr:col>
                <xdr:colOff>304800</xdr:colOff>
                <xdr:row>7</xdr:row>
                <xdr:rowOff>152400</xdr:rowOff>
              </to>
            </anchor>
          </objectPr>
        </oleObject>
      </mc:Choice>
      <mc:Fallback>
        <oleObject progId="Acrobat Document" dvAspect="DVASPECT_ICON" shapeId="5837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1969</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7858649</v>
      </c>
      <c r="C8" s="1813">
        <f>'Acct Summary 7-8'!D8</f>
        <v>716244</v>
      </c>
      <c r="D8" s="1813">
        <f>'Acct Summary 7-8'!F8</f>
        <v>754174</v>
      </c>
      <c r="E8" s="1813">
        <f>'Acct Summary 7-8'!I8</f>
        <v>43804</v>
      </c>
      <c r="F8" s="1813">
        <f>SUM(B8:E8)</f>
        <v>9372871</v>
      </c>
    </row>
    <row r="9" spans="1:8" s="858" customFormat="1" ht="14.25" customHeight="1" thickBot="1" x14ac:dyDescent="0.25">
      <c r="A9" s="857" t="s">
        <v>1353</v>
      </c>
      <c r="B9" s="1814">
        <f>'Acct Summary 7-8'!C17</f>
        <v>7414697</v>
      </c>
      <c r="C9" s="1814">
        <f>'Acct Summary 7-8'!D17</f>
        <v>712365</v>
      </c>
      <c r="D9" s="1814">
        <f>'Acct Summary 7-8'!F17</f>
        <v>620600</v>
      </c>
      <c r="E9" s="1813"/>
      <c r="F9" s="1813">
        <f>SUM(B9:E9)</f>
        <v>8747662</v>
      </c>
    </row>
    <row r="10" spans="1:8" s="858" customFormat="1" ht="14.25" thickTop="1" thickBot="1" x14ac:dyDescent="0.25">
      <c r="A10" s="859" t="s">
        <v>1354</v>
      </c>
      <c r="B10" s="1815">
        <f>(B8-B9)</f>
        <v>443952</v>
      </c>
      <c r="C10" s="1815">
        <f>(C8-C9)</f>
        <v>3879</v>
      </c>
      <c r="D10" s="1815">
        <f>(D8-D9)</f>
        <v>133574</v>
      </c>
      <c r="E10" s="1814">
        <f>(E8-E9)</f>
        <v>43804</v>
      </c>
      <c r="F10" s="1816">
        <f>SUM(F8-F9)</f>
        <v>625209</v>
      </c>
    </row>
    <row r="11" spans="1:8" s="858" customFormat="1" ht="14.25" thickTop="1" thickBot="1" x14ac:dyDescent="0.25">
      <c r="A11" s="860" t="s">
        <v>1900</v>
      </c>
      <c r="B11" s="1817">
        <f>'Acct Summary 7-8'!C81</f>
        <v>1746235</v>
      </c>
      <c r="C11" s="1817">
        <f>'Acct Summary 7-8'!D81</f>
        <v>76814</v>
      </c>
      <c r="D11" s="1817">
        <f>'Acct Summary 7-8'!F81</f>
        <v>228035</v>
      </c>
      <c r="E11" s="1817">
        <f>'Acct Summary 7-8'!I81</f>
        <v>323246</v>
      </c>
      <c r="F11" s="1818">
        <f>SUM(B11:E11)</f>
        <v>2374330</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8" sqref="D5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&amp;LSee notes to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t="str">
        <f>COVER!A13</f>
        <v>45-079-1390-26</v>
      </c>
      <c r="E2" s="1542">
        <v>2020</v>
      </c>
      <c r="F2" s="1542">
        <v>1</v>
      </c>
      <c r="G2" s="1899">
        <v>101000300</v>
      </c>
    </row>
    <row r="3" spans="1:7" ht="15" x14ac:dyDescent="0.25">
      <c r="A3" t="s">
        <v>950</v>
      </c>
      <c r="B3" s="135" t="str">
        <f>COVER!A15</f>
        <v>Randolph</v>
      </c>
      <c r="E3" s="1830" t="s">
        <v>1968</v>
      </c>
      <c r="F3" s="1830" t="s">
        <v>1967</v>
      </c>
      <c r="G3" s="1899">
        <v>101000400</v>
      </c>
    </row>
    <row r="4" spans="1:7" ht="15" x14ac:dyDescent="0.25">
      <c r="A4" t="s">
        <v>1000</v>
      </c>
      <c r="B4" s="135" t="str">
        <f>COVER!A17</f>
        <v>Chester Community Unit School District No. 139</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065-014460</v>
      </c>
      <c r="G15" s="1899">
        <v>402100400</v>
      </c>
    </row>
    <row r="16" spans="1:7" ht="15" x14ac:dyDescent="0.25">
      <c r="A16" t="s">
        <v>419</v>
      </c>
      <c r="B16" s="135" t="str">
        <f>COVER!T13</f>
        <v>Scheffel Boyle</v>
      </c>
      <c r="G16" s="1899">
        <v>402100600</v>
      </c>
    </row>
    <row r="17" spans="1:7" ht="15" x14ac:dyDescent="0.25">
      <c r="A17" t="s">
        <v>878</v>
      </c>
      <c r="B17" s="135" t="str">
        <f>COVER!T15</f>
        <v>Keith G. Brinkmann, CPA</v>
      </c>
      <c r="G17" s="1899">
        <v>402100800</v>
      </c>
    </row>
    <row r="18" spans="1:7" ht="15" x14ac:dyDescent="0.25">
      <c r="A18" t="s">
        <v>1140</v>
      </c>
      <c r="B18" s="135" t="str">
        <f>COVER!T17</f>
        <v xml:space="preserve">7 Hill Castle </v>
      </c>
      <c r="G18" s="1899">
        <v>102200300</v>
      </c>
    </row>
    <row r="19" spans="1:7" ht="15" x14ac:dyDescent="0.25">
      <c r="A19" t="s">
        <v>880</v>
      </c>
      <c r="B19" s="135" t="str">
        <f>COVER!T25</f>
        <v>keith.brinkmann@scheffelboyle.com</v>
      </c>
      <c r="G19" s="1899">
        <v>102200400</v>
      </c>
    </row>
    <row r="20" spans="1:7" ht="15" x14ac:dyDescent="0.25">
      <c r="A20" t="s">
        <v>881</v>
      </c>
      <c r="B20" s="135" t="str">
        <f>COVER!T19</f>
        <v>Columbia</v>
      </c>
      <c r="G20" s="1899">
        <v>102200600</v>
      </c>
    </row>
    <row r="21" spans="1:7" ht="15" x14ac:dyDescent="0.25">
      <c r="A21" t="s">
        <v>476</v>
      </c>
      <c r="B21" s="135" t="str">
        <f>COVER!X19</f>
        <v>IL</v>
      </c>
      <c r="G21" s="1899">
        <v>102200800</v>
      </c>
    </row>
    <row r="22" spans="1:7" ht="15" x14ac:dyDescent="0.25">
      <c r="A22" t="s">
        <v>882</v>
      </c>
      <c r="B22" s="135">
        <f>COVER!Z19</f>
        <v>62236</v>
      </c>
      <c r="G22" s="1899">
        <v>102300300</v>
      </c>
    </row>
    <row r="23" spans="1:7" ht="15" x14ac:dyDescent="0.25">
      <c r="A23" t="s">
        <v>1142</v>
      </c>
      <c r="B23" s="135" t="str">
        <f>COVER!T21</f>
        <v>618-281-7605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1743862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-2558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185</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-2373</v>
      </c>
      <c r="C91" s="2" t="s">
        <v>569</v>
      </c>
      <c r="D91" s="2" t="str">
        <f t="shared" si="0"/>
        <v>Error?</v>
      </c>
      <c r="G91" s="1899">
        <v>102640400</v>
      </c>
    </row>
    <row r="92" spans="1:7" ht="15" x14ac:dyDescent="0.25">
      <c r="A92" s="5">
        <v>31</v>
      </c>
      <c r="B92" s="1832">
        <f>'Assets-Liab 5-6'!C39</f>
        <v>1665014</v>
      </c>
      <c r="D92" s="2" t="str">
        <f t="shared" si="0"/>
        <v>Error?</v>
      </c>
      <c r="G92" s="1899">
        <v>102640600</v>
      </c>
    </row>
    <row r="93" spans="1:7" ht="15" x14ac:dyDescent="0.25">
      <c r="A93" s="5">
        <v>32</v>
      </c>
      <c r="B93" s="1832">
        <f>'Assets-Liab 5-6'!C41</f>
        <v>1743862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75711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-1103</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-1103</v>
      </c>
      <c r="C122" s="2" t="s">
        <v>569</v>
      </c>
      <c r="D122" s="2" t="str">
        <f t="shared" si="0"/>
        <v>Error?</v>
      </c>
      <c r="G122" s="1899">
        <v>203000300</v>
      </c>
    </row>
    <row r="123" spans="1:7" ht="15" x14ac:dyDescent="0.25">
      <c r="A123" s="5">
        <v>62</v>
      </c>
      <c r="B123" s="1832">
        <f>'Assets-Liab 5-6'!D39</f>
        <v>76814</v>
      </c>
      <c r="D123" s="2" t="str">
        <f t="shared" si="0"/>
        <v>Error?</v>
      </c>
      <c r="G123" s="1899">
        <v>203000400</v>
      </c>
    </row>
    <row r="124" spans="1:7" ht="15" x14ac:dyDescent="0.25">
      <c r="A124" s="5">
        <v>63</v>
      </c>
      <c r="B124" s="1832">
        <f>'Assets-Liab 5-6'!D41</f>
        <v>75711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834226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834226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228035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94461</v>
      </c>
      <c r="D170" s="2" t="str">
        <f t="shared" si="1"/>
        <v>Error?</v>
      </c>
    </row>
    <row r="171" spans="1:4" x14ac:dyDescent="0.2">
      <c r="A171" s="5">
        <v>110</v>
      </c>
      <c r="B171" s="1832">
        <f>'Assets-Liab 5-6'!F41</f>
        <v>228035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69226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69226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549949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549949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251280</v>
      </c>
      <c r="D273" s="2" t="str">
        <f t="shared" si="3"/>
        <v>Error?</v>
      </c>
    </row>
    <row r="274" spans="1:4" x14ac:dyDescent="0.2">
      <c r="A274" s="5">
        <v>213</v>
      </c>
      <c r="B274" s="1832">
        <f>'Assets-Liab 5-6'!M17</f>
        <v>23873002</v>
      </c>
      <c r="D274" s="2" t="str">
        <f t="shared" si="3"/>
        <v>Error?</v>
      </c>
    </row>
    <row r="275" spans="1:4" x14ac:dyDescent="0.2">
      <c r="A275" s="5">
        <v>214</v>
      </c>
      <c r="B275" s="1832">
        <f>'Assets-Liab 5-6'!M18</f>
        <v>1386375</v>
      </c>
      <c r="D275" s="2" t="str">
        <f t="shared" si="3"/>
        <v>Error?</v>
      </c>
    </row>
    <row r="276" spans="1:4" x14ac:dyDescent="0.2">
      <c r="A276" s="5">
        <v>215</v>
      </c>
      <c r="B276" s="1832">
        <f>'Assets-Liab 5-6'!M19</f>
        <v>2260844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28660692</v>
      </c>
      <c r="C279" s="2" t="s">
        <v>569</v>
      </c>
      <c r="D279" s="2" t="str">
        <f t="shared" si="3"/>
        <v>Error?</v>
      </c>
    </row>
    <row r="280" spans="1:4" x14ac:dyDescent="0.2">
      <c r="A280" s="5">
        <v>219</v>
      </c>
      <c r="B280" s="1832">
        <f>'Assets-Liab 5-6'!M40</f>
        <v>28660692</v>
      </c>
      <c r="D280" s="2" t="str">
        <f t="shared" si="3"/>
        <v>Error?</v>
      </c>
    </row>
    <row r="281" spans="1:4" x14ac:dyDescent="0.2">
      <c r="A281" s="5">
        <v>220</v>
      </c>
      <c r="B281" s="1832">
        <f>'Assets-Liab 5-6'!M41</f>
        <v>28660692</v>
      </c>
      <c r="C281" s="2" t="s">
        <v>569</v>
      </c>
      <c r="D281" s="2" t="str">
        <f t="shared" si="3"/>
        <v>Error?</v>
      </c>
    </row>
    <row r="282" spans="1:4" x14ac:dyDescent="0.2">
      <c r="A282" s="5">
        <v>221</v>
      </c>
      <c r="B282" s="1832">
        <f>'Assets-Liab 5-6'!N21</f>
        <v>834226</v>
      </c>
      <c r="D282" s="2" t="str">
        <f t="shared" si="3"/>
        <v>Error?</v>
      </c>
    </row>
    <row r="283" spans="1:4" x14ac:dyDescent="0.2">
      <c r="A283" s="5">
        <v>222</v>
      </c>
      <c r="B283" s="1832">
        <f>'Assets-Liab 5-6'!N22</f>
        <v>6645774</v>
      </c>
      <c r="D283" s="2" t="str">
        <f t="shared" si="3"/>
        <v>Error?</v>
      </c>
    </row>
    <row r="284" spans="1:4" x14ac:dyDescent="0.2">
      <c r="A284" s="5">
        <v>223</v>
      </c>
      <c r="B284" s="1832">
        <f>'Assets-Liab 5-6'!N23</f>
        <v>7480000</v>
      </c>
      <c r="C284" s="2" t="s">
        <v>569</v>
      </c>
      <c r="D284" s="2" t="str">
        <f t="shared" si="3"/>
        <v>Error?</v>
      </c>
    </row>
    <row r="285" spans="1:4" x14ac:dyDescent="0.2">
      <c r="A285" s="5">
        <v>224</v>
      </c>
      <c r="B285" s="1832">
        <f>'Assets-Liab 5-6'!N36</f>
        <v>7480000</v>
      </c>
      <c r="D285" s="2" t="str">
        <f t="shared" si="3"/>
        <v>Error?</v>
      </c>
    </row>
    <row r="286" spans="1:4" x14ac:dyDescent="0.2">
      <c r="A286" s="10">
        <v>225</v>
      </c>
      <c r="B286" s="1832"/>
      <c r="D286" s="2" t="str">
        <f t="shared" si="3"/>
        <v>OK</v>
      </c>
    </row>
    <row r="287" spans="1:4" x14ac:dyDescent="0.2">
      <c r="A287" s="5">
        <v>226</v>
      </c>
      <c r="B287" s="1832">
        <f>'Assets-Liab 5-6'!N37</f>
        <v>7480000</v>
      </c>
      <c r="C287" s="2" t="s">
        <v>569</v>
      </c>
      <c r="D287" s="2" t="str">
        <f t="shared" si="3"/>
        <v>Error?</v>
      </c>
    </row>
    <row r="288" spans="1:4" x14ac:dyDescent="0.2">
      <c r="A288" s="5">
        <v>227</v>
      </c>
      <c r="B288" s="1832">
        <f>'Assets-Liab 5-6'!N41</f>
        <v>7480000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2174595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168126</v>
      </c>
      <c r="D717" s="2" t="str">
        <f t="shared" si="10"/>
        <v>Error?</v>
      </c>
    </row>
    <row r="718" spans="1:4" x14ac:dyDescent="0.2">
      <c r="A718" s="5">
        <v>657</v>
      </c>
      <c r="B718" s="1832">
        <f>'Expenditures 15-22'!C14</f>
        <v>230637</v>
      </c>
      <c r="D718" s="2" t="str">
        <f t="shared" si="10"/>
        <v>Error?</v>
      </c>
    </row>
    <row r="719" spans="1:4" x14ac:dyDescent="0.2">
      <c r="A719" s="5">
        <v>658</v>
      </c>
      <c r="B719" s="1832">
        <f>'Expenditures 15-22'!C15</f>
        <v>1275</v>
      </c>
      <c r="D719" s="2" t="str">
        <f t="shared" si="10"/>
        <v>Error?</v>
      </c>
    </row>
    <row r="720" spans="1:4" x14ac:dyDescent="0.2">
      <c r="A720" s="5">
        <v>659</v>
      </c>
      <c r="B720" s="1832">
        <f>'Expenditures 15-22'!C33</f>
        <v>3751892</v>
      </c>
      <c r="C720" s="2" t="s">
        <v>569</v>
      </c>
      <c r="D720" s="2" t="str">
        <f t="shared" si="10"/>
        <v>Error?</v>
      </c>
    </row>
    <row r="721" spans="1:4" x14ac:dyDescent="0.2">
      <c r="A721" s="5">
        <v>660</v>
      </c>
      <c r="B721" s="1832">
        <f>'Expenditures 15-22'!C36</f>
        <v>67</v>
      </c>
      <c r="D721" s="2" t="str">
        <f t="shared" si="10"/>
        <v>Error?</v>
      </c>
    </row>
    <row r="722" spans="1:4" x14ac:dyDescent="0.2">
      <c r="A722" s="5">
        <v>661</v>
      </c>
      <c r="B722" s="1832">
        <f>'Expenditures 15-22'!C37</f>
        <v>85301</v>
      </c>
      <c r="D722" s="2" t="str">
        <f t="shared" si="10"/>
        <v>Error?</v>
      </c>
    </row>
    <row r="723" spans="1:4" x14ac:dyDescent="0.2">
      <c r="A723" s="5">
        <v>662</v>
      </c>
      <c r="B723" s="1832">
        <f>'Expenditures 15-22'!C38</f>
        <v>31777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117145</v>
      </c>
      <c r="C727" s="2" t="s">
        <v>569</v>
      </c>
      <c r="D727" s="2" t="str">
        <f t="shared" si="10"/>
        <v>Error?</v>
      </c>
    </row>
    <row r="728" spans="1:4" x14ac:dyDescent="0.2">
      <c r="A728" s="5">
        <v>667</v>
      </c>
      <c r="B728" s="1832">
        <f>'Expenditures 15-22'!C44</f>
        <v>38707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38707</v>
      </c>
      <c r="C731" s="2" t="s">
        <v>569</v>
      </c>
      <c r="D731" s="2" t="str">
        <f t="shared" si="10"/>
        <v>Error?</v>
      </c>
    </row>
    <row r="732" spans="1:4" x14ac:dyDescent="0.2">
      <c r="A732" s="5">
        <v>671</v>
      </c>
      <c r="B732" s="1832">
        <f>'Expenditures 15-22'!C49</f>
        <v>4404</v>
      </c>
      <c r="D732" s="2" t="str">
        <f t="shared" si="10"/>
        <v>Error?</v>
      </c>
    </row>
    <row r="733" spans="1:4" x14ac:dyDescent="0.2">
      <c r="A733" s="5">
        <v>672</v>
      </c>
      <c r="B733" s="1832">
        <f>'Expenditures 15-22'!C50</f>
        <v>158821</v>
      </c>
      <c r="D733" s="2" t="str">
        <f t="shared" si="10"/>
        <v>Error?</v>
      </c>
    </row>
    <row r="734" spans="1:4" x14ac:dyDescent="0.2">
      <c r="A734" s="5">
        <v>673</v>
      </c>
      <c r="B734" s="1832">
        <f>'Expenditures 15-22'!C53</f>
        <v>163225</v>
      </c>
      <c r="C734" s="2" t="s">
        <v>569</v>
      </c>
      <c r="D734" s="2" t="str">
        <f t="shared" si="10"/>
        <v>Error?</v>
      </c>
    </row>
    <row r="735" spans="1:4" x14ac:dyDescent="0.2">
      <c r="A735" s="5">
        <v>674</v>
      </c>
      <c r="B735" s="1832">
        <f>'Expenditures 15-22'!C55</f>
        <v>390534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390534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53857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125351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179208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888819</v>
      </c>
      <c r="C755" s="2" t="s">
        <v>569</v>
      </c>
      <c r="D755" s="2" t="str">
        <f t="shared" si="10"/>
        <v>Error?</v>
      </c>
    </row>
    <row r="756" spans="1:4" x14ac:dyDescent="0.2">
      <c r="A756" s="5">
        <v>695</v>
      </c>
      <c r="B756" s="1832">
        <f>'Expenditures 15-22'!C75</f>
        <v>179080</v>
      </c>
      <c r="D756" s="2" t="str">
        <f t="shared" si="10"/>
        <v>Error?</v>
      </c>
    </row>
    <row r="757" spans="1:4" x14ac:dyDescent="0.2">
      <c r="A757" s="5">
        <v>696</v>
      </c>
      <c r="B757" s="1832">
        <f>'Expenditures 15-22'!C114</f>
        <v>4819791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448080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41162</v>
      </c>
      <c r="D775" s="2" t="str">
        <f t="shared" si="11"/>
        <v>Error?</v>
      </c>
    </row>
    <row r="776" spans="1:4" x14ac:dyDescent="0.2">
      <c r="A776" s="5">
        <v>715</v>
      </c>
      <c r="B776" s="1832">
        <f>'Expenditures 15-22'!D14</f>
        <v>33148</v>
      </c>
      <c r="D776" s="2" t="str">
        <f t="shared" si="11"/>
        <v>Error?</v>
      </c>
    </row>
    <row r="777" spans="1:4" x14ac:dyDescent="0.2">
      <c r="A777" s="5">
        <v>716</v>
      </c>
      <c r="B777" s="1832">
        <f>'Expenditures 15-22'!D15</f>
        <v>147</v>
      </c>
      <c r="D777" s="2" t="str">
        <f t="shared" si="11"/>
        <v>Error?</v>
      </c>
    </row>
    <row r="778" spans="1:4" x14ac:dyDescent="0.2">
      <c r="A778" s="5">
        <v>717</v>
      </c>
      <c r="B778" s="1832">
        <f>'Expenditures 15-22'!D33</f>
        <v>807449</v>
      </c>
      <c r="C778" s="2" t="s">
        <v>569</v>
      </c>
      <c r="D778" s="2" t="str">
        <f t="shared" si="11"/>
        <v>Error?</v>
      </c>
    </row>
    <row r="779" spans="1:4" x14ac:dyDescent="0.2">
      <c r="A779" s="5">
        <v>718</v>
      </c>
      <c r="B779" s="1832">
        <f>'Expenditures 15-22'!D36</f>
        <v>751</v>
      </c>
      <c r="D779" s="2" t="str">
        <f t="shared" si="11"/>
        <v>Error?</v>
      </c>
    </row>
    <row r="780" spans="1:4" x14ac:dyDescent="0.2">
      <c r="A780" s="5">
        <v>719</v>
      </c>
      <c r="B780" s="1832">
        <f>'Expenditures 15-22'!D37</f>
        <v>17037</v>
      </c>
      <c r="D780" s="2" t="str">
        <f t="shared" si="11"/>
        <v>Error?</v>
      </c>
    </row>
    <row r="781" spans="1:4" x14ac:dyDescent="0.2">
      <c r="A781" s="5">
        <v>720</v>
      </c>
      <c r="B781" s="1832">
        <f>'Expenditures 15-22'!D38</f>
        <v>17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17805</v>
      </c>
      <c r="C785" s="2" t="s">
        <v>569</v>
      </c>
      <c r="D785" s="2" t="str">
        <f t="shared" si="11"/>
        <v>Error?</v>
      </c>
    </row>
    <row r="786" spans="1:4" x14ac:dyDescent="0.2">
      <c r="A786" s="5">
        <v>725</v>
      </c>
      <c r="B786" s="1832">
        <f>'Expenditures 15-22'!D44</f>
        <v>11737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11737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29538</v>
      </c>
      <c r="D791" s="2" t="str">
        <f t="shared" si="11"/>
        <v>Error?</v>
      </c>
    </row>
    <row r="792" spans="1:4" x14ac:dyDescent="0.2">
      <c r="A792" s="5">
        <v>731</v>
      </c>
      <c r="B792" s="1832">
        <f>'Expenditures 15-22'!D53</f>
        <v>29538</v>
      </c>
      <c r="C792" s="2" t="s">
        <v>569</v>
      </c>
      <c r="D792" s="2" t="str">
        <f t="shared" si="11"/>
        <v>Error?</v>
      </c>
    </row>
    <row r="793" spans="1:4" x14ac:dyDescent="0.2">
      <c r="A793" s="5">
        <v>732</v>
      </c>
      <c r="B793" s="1832">
        <f>'Expenditures 15-22'!D55</f>
        <v>87449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87449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11237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12771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24008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170537</v>
      </c>
      <c r="C813" s="2" t="s">
        <v>569</v>
      </c>
      <c r="D813" s="2" t="str">
        <f t="shared" si="11"/>
        <v>Error?</v>
      </c>
    </row>
    <row r="814" spans="1:4" x14ac:dyDescent="0.2">
      <c r="A814" s="5">
        <v>753</v>
      </c>
      <c r="B814" s="1832">
        <f>'Expenditures 15-22'!D75</f>
        <v>28027</v>
      </c>
      <c r="D814" s="2" t="str">
        <f t="shared" si="11"/>
        <v>Error?</v>
      </c>
    </row>
    <row r="815" spans="1:4" x14ac:dyDescent="0.2">
      <c r="A815" s="5">
        <v>754</v>
      </c>
      <c r="B815" s="1832">
        <f>'Expenditures 15-22'!D114</f>
        <v>1006013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228215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1636</v>
      </c>
      <c r="D833" s="2" t="str">
        <f t="shared" si="12"/>
        <v>Error?</v>
      </c>
    </row>
    <row r="834" spans="1:4" x14ac:dyDescent="0.2">
      <c r="A834" s="5">
        <v>773</v>
      </c>
      <c r="B834" s="1832">
        <f>'Expenditures 15-22'!E14</f>
        <v>39737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275465</v>
      </c>
      <c r="C836" s="2" t="s">
        <v>569</v>
      </c>
      <c r="D836" s="2" t="str">
        <f t="shared" si="12"/>
        <v>Error?</v>
      </c>
    </row>
    <row r="837" spans="1:4" x14ac:dyDescent="0.2">
      <c r="A837" s="5">
        <v>776</v>
      </c>
      <c r="B837" s="1832">
        <f>'Expenditures 15-22'!E36</f>
        <v>16263</v>
      </c>
      <c r="D837" s="2" t="str">
        <f t="shared" si="12"/>
        <v>Error?</v>
      </c>
    </row>
    <row r="838" spans="1:4" x14ac:dyDescent="0.2">
      <c r="A838" s="5">
        <v>777</v>
      </c>
      <c r="B838" s="1832">
        <f>'Expenditures 15-22'!E37</f>
        <v>596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16859</v>
      </c>
      <c r="C843" s="2" t="s">
        <v>569</v>
      </c>
      <c r="D843" s="2" t="str">
        <f t="shared" si="12"/>
        <v>Error?</v>
      </c>
    </row>
    <row r="844" spans="1:4" x14ac:dyDescent="0.2">
      <c r="A844" s="5">
        <v>783</v>
      </c>
      <c r="B844" s="1832">
        <f>'Expenditures 15-22'!E44</f>
        <v>6309</v>
      </c>
      <c r="D844" s="2" t="str">
        <f t="shared" si="12"/>
        <v>Error?</v>
      </c>
    </row>
    <row r="845" spans="1:4" x14ac:dyDescent="0.2">
      <c r="A845" s="5">
        <v>784</v>
      </c>
      <c r="B845" s="1832">
        <f>'Expenditures 15-22'!E45</f>
        <v>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6314</v>
      </c>
      <c r="C847" s="2" t="s">
        <v>569</v>
      </c>
      <c r="D847" s="2" t="str">
        <f t="shared" si="12"/>
        <v>Error?</v>
      </c>
    </row>
    <row r="848" spans="1:4" x14ac:dyDescent="0.2">
      <c r="A848" s="5">
        <v>787</v>
      </c>
      <c r="B848" s="1832">
        <f>'Expenditures 15-22'!E49</f>
        <v>17614</v>
      </c>
      <c r="D848" s="2" t="str">
        <f t="shared" si="12"/>
        <v>Error?</v>
      </c>
    </row>
    <row r="849" spans="1:4" x14ac:dyDescent="0.2">
      <c r="A849" s="5">
        <v>788</v>
      </c>
      <c r="B849" s="1832">
        <f>'Expenditures 15-22'!E50</f>
        <v>1596</v>
      </c>
      <c r="D849" s="2" t="str">
        <f t="shared" si="12"/>
        <v>Error?</v>
      </c>
    </row>
    <row r="850" spans="1:4" x14ac:dyDescent="0.2">
      <c r="A850" s="5">
        <v>789</v>
      </c>
      <c r="B850" s="1832">
        <f>'Expenditures 15-22'!E53</f>
        <v>19210</v>
      </c>
      <c r="C850" s="2" t="s">
        <v>569</v>
      </c>
      <c r="D850" s="2" t="str">
        <f t="shared" si="12"/>
        <v>Error?</v>
      </c>
    </row>
    <row r="851" spans="1:4" x14ac:dyDescent="0.2">
      <c r="A851" s="5">
        <v>790</v>
      </c>
      <c r="B851" s="1832">
        <f>'Expenditures 15-22'!E55</f>
        <v>27035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27035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26307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2769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29076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98494</v>
      </c>
      <c r="C871" s="2" t="s">
        <v>569</v>
      </c>
      <c r="D871" s="2" t="str">
        <f t="shared" si="12"/>
        <v>Error?</v>
      </c>
    </row>
    <row r="872" spans="1:4" x14ac:dyDescent="0.2">
      <c r="A872" s="5">
        <v>811</v>
      </c>
      <c r="B872" s="1832">
        <f>'Expenditures 15-22'!E75</f>
        <v>10109</v>
      </c>
      <c r="D872" s="2" t="str">
        <f t="shared" si="12"/>
        <v>Error?</v>
      </c>
    </row>
    <row r="873" spans="1:4" x14ac:dyDescent="0.2">
      <c r="A873" s="5">
        <v>812</v>
      </c>
      <c r="B873" s="1832">
        <f>'Expenditures 15-22'!E114</f>
        <v>716771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138494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16084</v>
      </c>
      <c r="D891" s="2" t="str">
        <f t="shared" si="12"/>
        <v>Error?</v>
      </c>
    </row>
    <row r="892" spans="1:4" x14ac:dyDescent="0.2">
      <c r="A892" s="5">
        <v>831</v>
      </c>
      <c r="B892" s="1832">
        <f>'Expenditures 15-22'!F14</f>
        <v>44509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233708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17680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17680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215</v>
      </c>
      <c r="D903" s="2" t="str">
        <f t="shared" si="13"/>
        <v>Error?</v>
      </c>
    </row>
    <row r="904" spans="1:4" x14ac:dyDescent="0.2">
      <c r="A904" s="5">
        <v>843</v>
      </c>
      <c r="B904" s="1832">
        <f>'Expenditures 15-22'!F46</f>
        <v>897</v>
      </c>
      <c r="D904" s="2" t="str">
        <f t="shared" si="13"/>
        <v>Error?</v>
      </c>
    </row>
    <row r="905" spans="1:4" x14ac:dyDescent="0.2">
      <c r="A905" s="5">
        <v>844</v>
      </c>
      <c r="B905" s="1832">
        <f>'Expenditures 15-22'!F47</f>
        <v>1112</v>
      </c>
      <c r="C905" s="2" t="s">
        <v>569</v>
      </c>
      <c r="D905" s="2" t="str">
        <f t="shared" si="13"/>
        <v>Error?</v>
      </c>
    </row>
    <row r="906" spans="1:4" x14ac:dyDescent="0.2">
      <c r="A906" s="5">
        <v>845</v>
      </c>
      <c r="B906" s="1832">
        <f>'Expenditures 15-22'!F49</f>
        <v>945</v>
      </c>
      <c r="D906" s="2" t="str">
        <f t="shared" si="13"/>
        <v>Error?</v>
      </c>
    </row>
    <row r="907" spans="1:4" x14ac:dyDescent="0.2">
      <c r="A907" s="5">
        <v>846</v>
      </c>
      <c r="B907" s="1832">
        <f>'Expenditures 15-22'!F50</f>
        <v>2830</v>
      </c>
      <c r="D907" s="2" t="str">
        <f t="shared" si="13"/>
        <v>Error?</v>
      </c>
    </row>
    <row r="908" spans="1:4" x14ac:dyDescent="0.2">
      <c r="A908" s="5">
        <v>847</v>
      </c>
      <c r="B908" s="1832">
        <f>'Expenditures 15-22'!F53</f>
        <v>5748</v>
      </c>
      <c r="C908" s="2" t="s">
        <v>569</v>
      </c>
      <c r="D908" s="2" t="str">
        <f t="shared" si="13"/>
        <v>Error?</v>
      </c>
    </row>
    <row r="909" spans="1:4" x14ac:dyDescent="0.2">
      <c r="A909" s="5">
        <v>848</v>
      </c>
      <c r="B909" s="1832">
        <f>'Expenditures 15-22'!F55</f>
        <v>8537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8537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27630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201800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229430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365</v>
      </c>
      <c r="D925" s="2" t="str">
        <f t="shared" si="13"/>
        <v>Error?</v>
      </c>
    </row>
    <row r="926" spans="1:4" x14ac:dyDescent="0.2">
      <c r="A926" s="10">
        <v>865</v>
      </c>
      <c r="B926" s="1832"/>
      <c r="D926" s="2" t="str">
        <f t="shared" si="13"/>
        <v>OK</v>
      </c>
    </row>
    <row r="927" spans="1:4" x14ac:dyDescent="0.2">
      <c r="A927" s="5">
        <v>866</v>
      </c>
      <c r="B927" s="1832">
        <f>'Expenditures 15-22'!F72</f>
        <v>365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262872</v>
      </c>
      <c r="C929" s="2" t="s">
        <v>569</v>
      </c>
      <c r="D929" s="2" t="str">
        <f t="shared" si="13"/>
        <v>Error?</v>
      </c>
    </row>
    <row r="930" spans="1:4" x14ac:dyDescent="0.2">
      <c r="A930" s="5">
        <v>869</v>
      </c>
      <c r="B930" s="1832">
        <f>'Expenditures 15-22'!F75</f>
        <v>10872</v>
      </c>
      <c r="D930" s="2" t="str">
        <f t="shared" si="13"/>
        <v>Error?</v>
      </c>
    </row>
    <row r="931" spans="1:4" x14ac:dyDescent="0.2">
      <c r="A931" s="5">
        <v>870</v>
      </c>
      <c r="B931" s="1832">
        <f>'Expenditures 15-22'!F114</f>
        <v>507452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38032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43180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2739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2739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2739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45919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9654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9654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394</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394</v>
      </c>
      <c r="C1021" s="2" t="s">
        <v>569</v>
      </c>
      <c r="D1021" s="2" t="str">
        <f t="shared" si="14"/>
        <v>Error?</v>
      </c>
    </row>
    <row r="1022" spans="1:4" x14ac:dyDescent="0.2">
      <c r="A1022" s="5">
        <v>961</v>
      </c>
      <c r="B1022" s="1832">
        <f>'Expenditures 15-22'!H49</f>
        <v>5937</v>
      </c>
      <c r="D1022" s="2" t="str">
        <f t="shared" si="14"/>
        <v>Error?</v>
      </c>
    </row>
    <row r="1023" spans="1:4" x14ac:dyDescent="0.2">
      <c r="A1023" s="5">
        <v>962</v>
      </c>
      <c r="B1023" s="1832">
        <f>'Expenditures 15-22'!H50</f>
        <v>1087</v>
      </c>
      <c r="D1023" s="2" t="str">
        <f t="shared" ref="D1023:D1086" si="15">IF(ISBLANK(B1023),"OK",IF(A1023-B1023=0,"OK","Error?"))</f>
        <v>Error?</v>
      </c>
    </row>
    <row r="1024" spans="1:4" x14ac:dyDescent="0.2">
      <c r="A1024" s="5">
        <v>963</v>
      </c>
      <c r="B1024" s="1832">
        <f>'Expenditures 15-22'!H53</f>
        <v>7024</v>
      </c>
      <c r="C1024" s="2" t="s">
        <v>569</v>
      </c>
      <c r="D1024" s="2" t="str">
        <f t="shared" si="15"/>
        <v>Error?</v>
      </c>
    </row>
    <row r="1025" spans="1:4" x14ac:dyDescent="0.2">
      <c r="A1025" s="5">
        <v>964</v>
      </c>
      <c r="B1025" s="1832">
        <f>'Expenditures 15-22'!H55</f>
        <v>1709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1709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750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9877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299220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318751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3027416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227008</v>
      </c>
      <c r="C1105" s="2" t="s">
        <v>569</v>
      </c>
      <c r="D1105" s="2" t="str">
        <f t="shared" si="16"/>
        <v>Error?</v>
      </c>
    </row>
    <row r="1106" spans="1:4" x14ac:dyDescent="0.2">
      <c r="A1106" s="5">
        <v>1045</v>
      </c>
      <c r="B1106" s="1832">
        <f>'Expenditures 15-22'!K14</f>
        <v>357685</v>
      </c>
      <c r="C1106" s="2" t="s">
        <v>569</v>
      </c>
      <c r="D1106" s="2" t="str">
        <f t="shared" si="16"/>
        <v>Error?</v>
      </c>
    </row>
    <row r="1107" spans="1:4" x14ac:dyDescent="0.2">
      <c r="A1107" s="5">
        <v>1046</v>
      </c>
      <c r="B1107" s="1832">
        <f>'Expenditures 15-22'!K15</f>
        <v>1422</v>
      </c>
      <c r="C1107" s="2" t="s">
        <v>569</v>
      </c>
      <c r="D1107" s="2" t="str">
        <f t="shared" si="16"/>
        <v>Error?</v>
      </c>
    </row>
    <row r="1108" spans="1:4" x14ac:dyDescent="0.2">
      <c r="A1108" s="5">
        <v>1047</v>
      </c>
      <c r="B1108" s="1832">
        <f>'Expenditures 15-22'!K33</f>
        <v>5121348</v>
      </c>
      <c r="C1108" s="2" t="s">
        <v>569</v>
      </c>
      <c r="D1108" s="2" t="str">
        <f t="shared" si="16"/>
        <v>Error?</v>
      </c>
    </row>
    <row r="1109" spans="1:4" x14ac:dyDescent="0.2">
      <c r="A1109" s="5">
        <v>1048</v>
      </c>
      <c r="B1109" s="1832">
        <f>'Expenditures 15-22'!K36</f>
        <v>17081</v>
      </c>
      <c r="C1109" s="2" t="s">
        <v>569</v>
      </c>
      <c r="D1109" s="2" t="str">
        <f t="shared" si="16"/>
        <v>Error?</v>
      </c>
    </row>
    <row r="1110" spans="1:4" x14ac:dyDescent="0.2">
      <c r="A1110" s="5">
        <v>1049</v>
      </c>
      <c r="B1110" s="1832">
        <f>'Expenditures 15-22'!K37</f>
        <v>102934</v>
      </c>
      <c r="C1110" s="2" t="s">
        <v>569</v>
      </c>
      <c r="D1110" s="2" t="str">
        <f t="shared" si="16"/>
        <v>Error?</v>
      </c>
    </row>
    <row r="1111" spans="1:4" x14ac:dyDescent="0.2">
      <c r="A1111" s="5">
        <v>1050</v>
      </c>
      <c r="B1111" s="1832">
        <f>'Expenditures 15-22'!K38</f>
        <v>49474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169489</v>
      </c>
      <c r="C1115" s="2" t="s">
        <v>569</v>
      </c>
      <c r="D1115" s="2" t="str">
        <f t="shared" si="16"/>
        <v>Error?</v>
      </c>
    </row>
    <row r="1116" spans="1:4" x14ac:dyDescent="0.2">
      <c r="A1116" s="5">
        <v>1055</v>
      </c>
      <c r="B1116" s="1832">
        <f>'Expenditures 15-22'!K44</f>
        <v>57147</v>
      </c>
      <c r="C1116" s="2" t="s">
        <v>569</v>
      </c>
      <c r="D1116" s="2" t="str">
        <f t="shared" si="16"/>
        <v>Error?</v>
      </c>
    </row>
    <row r="1117" spans="1:4" x14ac:dyDescent="0.2">
      <c r="A1117" s="5">
        <v>1056</v>
      </c>
      <c r="B1117" s="1832">
        <f>'Expenditures 15-22'!K45</f>
        <v>220</v>
      </c>
      <c r="C1117" s="2" t="s">
        <v>569</v>
      </c>
      <c r="D1117" s="2" t="str">
        <f t="shared" si="16"/>
        <v>Error?</v>
      </c>
    </row>
    <row r="1118" spans="1:4" x14ac:dyDescent="0.2">
      <c r="A1118" s="5">
        <v>1057</v>
      </c>
      <c r="B1118" s="1832">
        <f>'Expenditures 15-22'!K46</f>
        <v>897</v>
      </c>
      <c r="C1118" s="2" t="s">
        <v>569</v>
      </c>
      <c r="D1118" s="2" t="str">
        <f t="shared" si="16"/>
        <v>Error?</v>
      </c>
    </row>
    <row r="1119" spans="1:4" x14ac:dyDescent="0.2">
      <c r="A1119" s="5">
        <v>1058</v>
      </c>
      <c r="B1119" s="1832">
        <f>'Expenditures 15-22'!K47</f>
        <v>58264</v>
      </c>
      <c r="C1119" s="2" t="s">
        <v>569</v>
      </c>
      <c r="D1119" s="2" t="str">
        <f t="shared" si="16"/>
        <v>Error?</v>
      </c>
    </row>
    <row r="1120" spans="1:4" x14ac:dyDescent="0.2">
      <c r="A1120" s="5">
        <v>1059</v>
      </c>
      <c r="B1120" s="1832">
        <f>'Expenditures 15-22'!K49</f>
        <v>28900</v>
      </c>
      <c r="C1120" s="2" t="s">
        <v>569</v>
      </c>
      <c r="D1120" s="2" t="str">
        <f t="shared" si="16"/>
        <v>Error?</v>
      </c>
    </row>
    <row r="1121" spans="1:4" x14ac:dyDescent="0.2">
      <c r="A1121" s="5">
        <v>1060</v>
      </c>
      <c r="B1121" s="1832">
        <f>'Expenditures 15-22'!K50</f>
        <v>193872</v>
      </c>
      <c r="C1121" s="2" t="s">
        <v>569</v>
      </c>
      <c r="D1121" s="2" t="str">
        <f t="shared" si="16"/>
        <v>Error?</v>
      </c>
    </row>
    <row r="1122" spans="1:4" x14ac:dyDescent="0.2">
      <c r="A1122" s="5">
        <v>1061</v>
      </c>
      <c r="B1122" s="1832">
        <f>'Expenditures 15-22'!K53</f>
        <v>224745</v>
      </c>
      <c r="C1122" s="2" t="s">
        <v>569</v>
      </c>
      <c r="D1122" s="2" t="str">
        <f t="shared" si="16"/>
        <v>Error?</v>
      </c>
    </row>
    <row r="1123" spans="1:4" x14ac:dyDescent="0.2">
      <c r="A1123" s="5">
        <v>1062</v>
      </c>
      <c r="B1123" s="1832">
        <f>'Expenditures 15-22'!K55</f>
        <v>515264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515264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119031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346180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465211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365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365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1433338</v>
      </c>
      <c r="C1143" s="2" t="s">
        <v>569</v>
      </c>
      <c r="D1143" s="2" t="str">
        <f t="shared" si="16"/>
        <v>Error?</v>
      </c>
    </row>
    <row r="1144" spans="1:4" x14ac:dyDescent="0.2">
      <c r="A1144" s="5">
        <v>1083</v>
      </c>
      <c r="B1144" s="1832">
        <f>'Expenditures 15-22'!K75</f>
        <v>228088</v>
      </c>
      <c r="C1144" s="2" t="s">
        <v>569</v>
      </c>
      <c r="D1144" s="2" t="str">
        <f t="shared" si="16"/>
        <v>Error?</v>
      </c>
    </row>
    <row r="1145" spans="1:4" x14ac:dyDescent="0.2">
      <c r="A1145" s="5">
        <v>1084</v>
      </c>
      <c r="B1145" s="1832">
        <f>'Expenditures 15-22'!K102</f>
        <v>631923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7414697</v>
      </c>
      <c r="C1152" s="2" t="s">
        <v>569</v>
      </c>
      <c r="D1152" s="2" t="str">
        <f t="shared" si="17"/>
        <v>Error?</v>
      </c>
    </row>
    <row r="1153" spans="1:4" x14ac:dyDescent="0.2">
      <c r="A1153" s="5">
        <v>1092</v>
      </c>
      <c r="B1153" s="1832">
        <f>'Expenditures 15-22'!K115</f>
        <v>443952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208182</v>
      </c>
      <c r="D1221" s="2" t="str">
        <f t="shared" si="18"/>
        <v>Error?</v>
      </c>
    </row>
    <row r="1222" spans="1:4" x14ac:dyDescent="0.2">
      <c r="A1222" s="10">
        <v>1161</v>
      </c>
      <c r="B1222" s="1832"/>
      <c r="D1222" s="2" t="str">
        <f t="shared" si="18"/>
        <v>OK</v>
      </c>
    </row>
    <row r="1223" spans="1:4" x14ac:dyDescent="0.2">
      <c r="A1223" s="5">
        <v>1162</v>
      </c>
      <c r="B1223" s="1832">
        <f>'Expenditures 15-22'!C127</f>
        <v>208182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208182</v>
      </c>
      <c r="C1225" s="2" t="s">
        <v>569</v>
      </c>
      <c r="D1225" s="2" t="str">
        <f t="shared" si="18"/>
        <v>Error?</v>
      </c>
    </row>
    <row r="1226" spans="1:4" x14ac:dyDescent="0.2">
      <c r="A1226" s="5">
        <v>1165</v>
      </c>
      <c r="B1226" s="1832">
        <f>'Expenditures 15-22'!C151</f>
        <v>208182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35350</v>
      </c>
      <c r="D1229" s="2" t="str">
        <f t="shared" si="18"/>
        <v>Error?</v>
      </c>
    </row>
    <row r="1230" spans="1:4" x14ac:dyDescent="0.2">
      <c r="A1230" s="10">
        <v>1169</v>
      </c>
      <c r="B1230" s="1832"/>
      <c r="D1230" s="2" t="str">
        <f t="shared" si="18"/>
        <v>OK</v>
      </c>
    </row>
    <row r="1231" spans="1:4" x14ac:dyDescent="0.2">
      <c r="A1231" s="5">
        <v>1170</v>
      </c>
      <c r="B1231" s="1832">
        <f>'Expenditures 15-22'!D127</f>
        <v>35350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35350</v>
      </c>
      <c r="C1233" s="2" t="s">
        <v>569</v>
      </c>
      <c r="D1233" s="2" t="str">
        <f t="shared" si="18"/>
        <v>Error?</v>
      </c>
    </row>
    <row r="1234" spans="1:4" x14ac:dyDescent="0.2">
      <c r="A1234" s="5">
        <v>1173</v>
      </c>
      <c r="B1234" s="1832">
        <f>'Expenditures 15-22'!D151</f>
        <v>35350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184352</v>
      </c>
      <c r="D1237" s="2" t="str">
        <f t="shared" si="18"/>
        <v>Error?</v>
      </c>
    </row>
    <row r="1238" spans="1:4" x14ac:dyDescent="0.2">
      <c r="A1238" s="10">
        <v>1177</v>
      </c>
      <c r="B1238" s="1832"/>
      <c r="D1238" s="2" t="str">
        <f t="shared" si="18"/>
        <v>OK</v>
      </c>
    </row>
    <row r="1239" spans="1:4" x14ac:dyDescent="0.2">
      <c r="A1239" s="5">
        <v>1178</v>
      </c>
      <c r="B1239" s="1832">
        <f>'Expenditures 15-22'!E127</f>
        <v>184352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184352</v>
      </c>
      <c r="C1241" s="2" t="s">
        <v>569</v>
      </c>
      <c r="D1241" s="2" t="str">
        <f t="shared" si="18"/>
        <v>Error?</v>
      </c>
    </row>
    <row r="1242" spans="1:4" x14ac:dyDescent="0.2">
      <c r="A1242" s="5">
        <v>1181</v>
      </c>
      <c r="B1242" s="1832">
        <f>'Expenditures 15-22'!E151</f>
        <v>184352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272103</v>
      </c>
      <c r="D1245" s="2" t="str">
        <f t="shared" si="18"/>
        <v>Error?</v>
      </c>
    </row>
    <row r="1246" spans="1:4" x14ac:dyDescent="0.2">
      <c r="A1246" s="10">
        <v>1185</v>
      </c>
      <c r="B1246" s="1832"/>
      <c r="D1246" s="2" t="str">
        <f t="shared" si="18"/>
        <v>OK</v>
      </c>
    </row>
    <row r="1247" spans="1:4" x14ac:dyDescent="0.2">
      <c r="A1247" s="5">
        <v>1186</v>
      </c>
      <c r="B1247" s="1832">
        <f>'Expenditures 15-22'!F127</f>
        <v>272103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272103</v>
      </c>
      <c r="C1249" s="2" t="s">
        <v>569</v>
      </c>
      <c r="D1249" s="2" t="str">
        <f t="shared" si="18"/>
        <v>Error?</v>
      </c>
    </row>
    <row r="1250" spans="1:4" x14ac:dyDescent="0.2">
      <c r="A1250" s="5">
        <v>1189</v>
      </c>
      <c r="B1250" s="1832">
        <f>'Expenditures 15-22'!F151</f>
        <v>272103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12369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12369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12369</v>
      </c>
      <c r="C1258" s="2" t="s">
        <v>569</v>
      </c>
      <c r="D1258" s="2" t="str">
        <f t="shared" si="18"/>
        <v>Error?</v>
      </c>
    </row>
    <row r="1259" spans="1:4" x14ac:dyDescent="0.2">
      <c r="A1259" s="5">
        <v>1198</v>
      </c>
      <c r="B1259" s="1832">
        <f>'Expenditures 15-22'!G151</f>
        <v>12369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9</v>
      </c>
      <c r="D1262" s="2" t="str">
        <f t="shared" si="18"/>
        <v>Error?</v>
      </c>
    </row>
    <row r="1263" spans="1:4" x14ac:dyDescent="0.2">
      <c r="A1263" s="10">
        <v>1202</v>
      </c>
      <c r="B1263" s="1832"/>
      <c r="D1263" s="2" t="str">
        <f t="shared" si="18"/>
        <v>OK</v>
      </c>
    </row>
    <row r="1264" spans="1:4" x14ac:dyDescent="0.2">
      <c r="A1264" s="5">
        <v>1203</v>
      </c>
      <c r="B1264" s="1832">
        <f>'Expenditures 15-22'!H127</f>
        <v>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712365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712365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712365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712365</v>
      </c>
      <c r="C1288" s="2" t="s">
        <v>569</v>
      </c>
      <c r="D1288" s="2" t="str">
        <f t="shared" si="19"/>
        <v>Error?</v>
      </c>
    </row>
    <row r="1289" spans="1:4" x14ac:dyDescent="0.2">
      <c r="A1289" s="5">
        <v>1228</v>
      </c>
      <c r="B1289" s="1832">
        <f>'Expenditures 15-22'!K152</f>
        <v>3879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288569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2825000</v>
      </c>
      <c r="D1315" s="2" t="str">
        <f t="shared" si="19"/>
        <v>Error?</v>
      </c>
    </row>
    <row r="1316" spans="1:4" x14ac:dyDescent="0.2">
      <c r="A1316" s="5">
        <v>1255</v>
      </c>
      <c r="B1316" s="1832">
        <f>'Expenditures 15-22'!H171</f>
        <v>105986</v>
      </c>
      <c r="D1316" s="2" t="str">
        <f t="shared" si="19"/>
        <v>Error?</v>
      </c>
    </row>
    <row r="1317" spans="1:4" x14ac:dyDescent="0.2">
      <c r="A1317" s="5">
        <v>1256</v>
      </c>
      <c r="B1317" s="1832">
        <f>'Expenditures 15-22'!H172</f>
        <v>3219555</v>
      </c>
      <c r="C1317" s="2" t="s">
        <v>569</v>
      </c>
      <c r="D1317" s="2" t="str">
        <f t="shared" si="19"/>
        <v>Error?</v>
      </c>
    </row>
    <row r="1318" spans="1:4" x14ac:dyDescent="0.2">
      <c r="A1318" s="5">
        <v>1257</v>
      </c>
      <c r="B1318" s="1832">
        <f>'Expenditures 15-22'!H174</f>
        <v>3219555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288569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2825000</v>
      </c>
      <c r="C1329" s="2" t="s">
        <v>569</v>
      </c>
      <c r="D1329" s="2" t="str">
        <f t="shared" si="19"/>
        <v>Error?</v>
      </c>
    </row>
    <row r="1330" spans="1:4" x14ac:dyDescent="0.2">
      <c r="A1330" s="5">
        <v>1269</v>
      </c>
      <c r="B1330" s="1832">
        <f>'Expenditures 15-22'!K171</f>
        <v>105986</v>
      </c>
      <c r="C1330" s="2" t="s">
        <v>569</v>
      </c>
      <c r="D1330" s="2" t="str">
        <f t="shared" si="19"/>
        <v>Error?</v>
      </c>
    </row>
    <row r="1331" spans="1:4" x14ac:dyDescent="0.2">
      <c r="A1331" s="5">
        <v>1270</v>
      </c>
      <c r="B1331" s="1832">
        <f>'Expenditures 15-22'!K172</f>
        <v>3219555</v>
      </c>
      <c r="C1331" s="2" t="s">
        <v>569</v>
      </c>
      <c r="D1331" s="2" t="str">
        <f t="shared" si="19"/>
        <v>Error?</v>
      </c>
    </row>
    <row r="1332" spans="1:4" x14ac:dyDescent="0.2">
      <c r="A1332" s="5">
        <v>1271</v>
      </c>
      <c r="B1332" s="1832">
        <f>'Expenditures 15-22'!K174</f>
        <v>3219555</v>
      </c>
      <c r="C1332" s="2" t="s">
        <v>569</v>
      </c>
      <c r="D1332" s="2" t="str">
        <f t="shared" si="19"/>
        <v>Error?</v>
      </c>
    </row>
    <row r="1333" spans="1:4" x14ac:dyDescent="0.2">
      <c r="A1333" s="5">
        <v>1272</v>
      </c>
      <c r="B1333" s="1832">
        <f>'Expenditures 15-22'!K175</f>
        <v>-2300416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5810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5810</v>
      </c>
      <c r="C1339" s="2" t="s">
        <v>569</v>
      </c>
      <c r="D1339" s="2" t="str">
        <f t="shared" si="19"/>
        <v>Error?</v>
      </c>
    </row>
    <row r="1340" spans="1:4" x14ac:dyDescent="0.2">
      <c r="A1340" s="5">
        <v>1279</v>
      </c>
      <c r="B1340" s="1832">
        <f>'Expenditures 15-22'!C210</f>
        <v>5810</v>
      </c>
      <c r="C1340" s="2" t="s">
        <v>569</v>
      </c>
      <c r="D1340" s="2" t="str">
        <f t="shared" si="19"/>
        <v>Error?</v>
      </c>
    </row>
    <row r="1341" spans="1:4" x14ac:dyDescent="0.2">
      <c r="A1341" s="5">
        <v>1280</v>
      </c>
      <c r="B1341" s="1832">
        <f>'Expenditures 15-22'!D182</f>
        <v>1089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1089</v>
      </c>
      <c r="C1345" s="2" t="s">
        <v>569</v>
      </c>
      <c r="D1345" s="2" t="str">
        <f t="shared" si="20"/>
        <v>Error?</v>
      </c>
    </row>
    <row r="1346" spans="1:4" x14ac:dyDescent="0.2">
      <c r="A1346" s="5">
        <v>1285</v>
      </c>
      <c r="B1346" s="1832">
        <f>'Expenditures 15-22'!D210</f>
        <v>1089</v>
      </c>
      <c r="C1346" s="2" t="s">
        <v>569</v>
      </c>
      <c r="D1346" s="2" t="str">
        <f t="shared" si="20"/>
        <v>Error?</v>
      </c>
    </row>
    <row r="1347" spans="1:4" x14ac:dyDescent="0.2">
      <c r="A1347" s="5">
        <v>1286</v>
      </c>
      <c r="B1347" s="1832">
        <f>'Expenditures 15-22'!E182</f>
        <v>613701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613701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613701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620600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620600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620600</v>
      </c>
      <c r="C1388" s="2" t="s">
        <v>569</v>
      </c>
      <c r="D1388" s="2" t="str">
        <f t="shared" si="20"/>
        <v>Error?</v>
      </c>
    </row>
    <row r="1389" spans="1:4" x14ac:dyDescent="0.2">
      <c r="A1389" s="5">
        <v>1328</v>
      </c>
      <c r="B1389" s="1832">
        <f>'Expenditures 15-22'!K211</f>
        <v>133574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2304</v>
      </c>
      <c r="D1407" s="2" t="str">
        <f t="shared" ref="D1407:D1470" si="21">IF(ISBLANK(B1407),"OK",IF(A1407-B1407=0,"OK","Error?"))</f>
        <v>Error?</v>
      </c>
    </row>
    <row r="1408" spans="1:4" x14ac:dyDescent="0.2">
      <c r="A1408" s="5">
        <v>1347</v>
      </c>
      <c r="B1408" s="1832">
        <f>'Expenditures 15-22'!D223</f>
        <v>8153</v>
      </c>
      <c r="D1408" s="2" t="str">
        <f t="shared" si="21"/>
        <v>Error?</v>
      </c>
    </row>
    <row r="1409" spans="1:4" x14ac:dyDescent="0.2">
      <c r="A1409" s="5">
        <v>1348</v>
      </c>
      <c r="B1409" s="1832">
        <f>'Expenditures 15-22'!D224</f>
        <v>19</v>
      </c>
      <c r="D1409" s="2" t="str">
        <f t="shared" si="21"/>
        <v>Error?</v>
      </c>
    </row>
    <row r="1410" spans="1:4" x14ac:dyDescent="0.2">
      <c r="A1410" s="5">
        <v>1349</v>
      </c>
      <c r="B1410" s="1832">
        <f>'Expenditures 15-22'!D229</f>
        <v>114583</v>
      </c>
      <c r="C1410" s="2" t="s">
        <v>569</v>
      </c>
      <c r="D1410" s="2" t="str">
        <f t="shared" si="21"/>
        <v>Error?</v>
      </c>
    </row>
    <row r="1411" spans="1:4" x14ac:dyDescent="0.2">
      <c r="A1411" s="5">
        <v>1350</v>
      </c>
      <c r="B1411" s="1832">
        <f>'Expenditures 15-22'!D232</f>
        <v>1</v>
      </c>
      <c r="D1411" s="2" t="str">
        <f t="shared" si="21"/>
        <v>Error?</v>
      </c>
    </row>
    <row r="1412" spans="1:4" x14ac:dyDescent="0.2">
      <c r="A1412" s="5">
        <v>1351</v>
      </c>
      <c r="B1412" s="1832">
        <f>'Expenditures 15-22'!D233</f>
        <v>7999</v>
      </c>
      <c r="D1412" s="2" t="str">
        <f t="shared" si="21"/>
        <v>Error?</v>
      </c>
    </row>
    <row r="1413" spans="1:4" x14ac:dyDescent="0.2">
      <c r="A1413" s="5">
        <v>1352</v>
      </c>
      <c r="B1413" s="1832">
        <f>'Expenditures 15-22'!D234</f>
        <v>5920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13920</v>
      </c>
      <c r="C1417" s="2" t="s">
        <v>569</v>
      </c>
      <c r="D1417" s="2" t="str">
        <f t="shared" si="21"/>
        <v>Error?</v>
      </c>
    </row>
    <row r="1418" spans="1:4" x14ac:dyDescent="0.2">
      <c r="A1418" s="5">
        <v>1357</v>
      </c>
      <c r="B1418" s="1832">
        <f>'Expenditures 15-22'!D240</f>
        <v>561</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561</v>
      </c>
      <c r="C1421" s="2" t="s">
        <v>569</v>
      </c>
      <c r="D1421" s="2" t="str">
        <f t="shared" si="21"/>
        <v>Error?</v>
      </c>
    </row>
    <row r="1422" spans="1:4" x14ac:dyDescent="0.2">
      <c r="A1422" s="5">
        <v>1361</v>
      </c>
      <c r="B1422" s="1832">
        <f>'Expenditures 15-22'!D245</f>
        <v>666</v>
      </c>
      <c r="D1422" s="2" t="str">
        <f t="shared" si="21"/>
        <v>Error?</v>
      </c>
    </row>
    <row r="1423" spans="1:4" x14ac:dyDescent="0.2">
      <c r="A1423" s="5">
        <v>1362</v>
      </c>
      <c r="B1423" s="1832">
        <f>'Expenditures 15-22'!D246</f>
        <v>10683</v>
      </c>
      <c r="D1423" s="2" t="str">
        <f t="shared" si="21"/>
        <v>Error?</v>
      </c>
    </row>
    <row r="1424" spans="1:4" x14ac:dyDescent="0.2">
      <c r="A1424" s="5">
        <v>1363</v>
      </c>
      <c r="B1424" s="1832">
        <f>'Expenditures 15-22'!D257</f>
        <v>11349</v>
      </c>
      <c r="C1424" s="2" t="s">
        <v>569</v>
      </c>
      <c r="D1424" s="2" t="str">
        <f t="shared" si="21"/>
        <v>Error?</v>
      </c>
    </row>
    <row r="1425" spans="1:4" x14ac:dyDescent="0.2">
      <c r="A1425" s="5">
        <v>1364</v>
      </c>
      <c r="B1425" s="1832">
        <f>'Expenditures 15-22'!D259</f>
        <v>18311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18311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9510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35459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19890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64859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109000</v>
      </c>
      <c r="C1446" s="2" t="s">
        <v>569</v>
      </c>
      <c r="D1446" s="2" t="str">
        <f t="shared" si="21"/>
        <v>Error?</v>
      </c>
    </row>
    <row r="1447" spans="1:4" x14ac:dyDescent="0.2">
      <c r="A1447" s="5">
        <v>1386</v>
      </c>
      <c r="B1447" s="1832">
        <f>'Expenditures 15-22'!D280</f>
        <v>32101</v>
      </c>
      <c r="D1447" s="2" t="str">
        <f t="shared" si="21"/>
        <v>Error?</v>
      </c>
    </row>
    <row r="1448" spans="1:4" x14ac:dyDescent="0.2">
      <c r="A1448" s="5">
        <v>1387</v>
      </c>
      <c r="B1448" s="1832">
        <f>'Expenditures 15-22'!D295</f>
        <v>255684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2304</v>
      </c>
      <c r="C1471" s="2" t="s">
        <v>569</v>
      </c>
      <c r="D1471" s="2" t="str">
        <f t="shared" ref="D1471:D1534" si="22">IF(ISBLANK(B1471),"OK",IF(A1471-B1471=0,"OK","Error?"))</f>
        <v>Error?</v>
      </c>
    </row>
    <row r="1472" spans="1:4" x14ac:dyDescent="0.2">
      <c r="A1472" s="5">
        <v>1411</v>
      </c>
      <c r="B1472" s="1832">
        <f>'Expenditures 15-22'!K223</f>
        <v>8153</v>
      </c>
      <c r="C1472" s="2" t="s">
        <v>569</v>
      </c>
      <c r="D1472" s="2" t="str">
        <f t="shared" si="22"/>
        <v>Error?</v>
      </c>
    </row>
    <row r="1473" spans="1:4" x14ac:dyDescent="0.2">
      <c r="A1473" s="5">
        <v>1412</v>
      </c>
      <c r="B1473" s="1832">
        <f>'Expenditures 15-22'!K224</f>
        <v>19</v>
      </c>
      <c r="C1473" s="2" t="s">
        <v>569</v>
      </c>
      <c r="D1473" s="2" t="str">
        <f t="shared" si="22"/>
        <v>Error?</v>
      </c>
    </row>
    <row r="1474" spans="1:4" x14ac:dyDescent="0.2">
      <c r="A1474" s="5">
        <v>1413</v>
      </c>
      <c r="B1474" s="1832">
        <f>'Expenditures 15-22'!K229</f>
        <v>114583</v>
      </c>
      <c r="C1474" s="2" t="s">
        <v>569</v>
      </c>
      <c r="D1474" s="2" t="str">
        <f t="shared" si="22"/>
        <v>Error?</v>
      </c>
    </row>
    <row r="1475" spans="1:4" x14ac:dyDescent="0.2">
      <c r="A1475" s="5">
        <v>1414</v>
      </c>
      <c r="B1475" s="1832">
        <f>'Expenditures 15-22'!K232</f>
        <v>1</v>
      </c>
      <c r="C1475" s="2" t="s">
        <v>569</v>
      </c>
      <c r="D1475" s="2" t="str">
        <f t="shared" si="22"/>
        <v>Error?</v>
      </c>
    </row>
    <row r="1476" spans="1:4" x14ac:dyDescent="0.2">
      <c r="A1476" s="5">
        <v>1415</v>
      </c>
      <c r="B1476" s="1832">
        <f>'Expenditures 15-22'!K233</f>
        <v>7999</v>
      </c>
      <c r="C1476" s="2" t="s">
        <v>569</v>
      </c>
      <c r="D1476" s="2" t="str">
        <f t="shared" si="22"/>
        <v>Error?</v>
      </c>
    </row>
    <row r="1477" spans="1:4" x14ac:dyDescent="0.2">
      <c r="A1477" s="5">
        <v>1416</v>
      </c>
      <c r="B1477" s="1832">
        <f>'Expenditures 15-22'!K234</f>
        <v>5920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13920</v>
      </c>
      <c r="C1481" s="2" t="s">
        <v>569</v>
      </c>
      <c r="D1481" s="2" t="str">
        <f t="shared" si="22"/>
        <v>Error?</v>
      </c>
    </row>
    <row r="1482" spans="1:4" x14ac:dyDescent="0.2">
      <c r="A1482" s="5">
        <v>1421</v>
      </c>
      <c r="B1482" s="1832">
        <f>'Expenditures 15-22'!K240</f>
        <v>561</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561</v>
      </c>
      <c r="C1485" s="2" t="s">
        <v>569</v>
      </c>
      <c r="D1485" s="2" t="str">
        <f t="shared" si="22"/>
        <v>Error?</v>
      </c>
    </row>
    <row r="1486" spans="1:4" x14ac:dyDescent="0.2">
      <c r="A1486" s="5">
        <v>1425</v>
      </c>
      <c r="B1486" s="1832">
        <f>'Expenditures 15-22'!K245</f>
        <v>666</v>
      </c>
      <c r="C1486" s="2" t="s">
        <v>569</v>
      </c>
      <c r="D1486" s="2" t="str">
        <f t="shared" si="22"/>
        <v>Error?</v>
      </c>
    </row>
    <row r="1487" spans="1:4" x14ac:dyDescent="0.2">
      <c r="A1487" s="5">
        <v>1426</v>
      </c>
      <c r="B1487" s="1832">
        <f>'Expenditures 15-22'!K246</f>
        <v>10683</v>
      </c>
      <c r="C1487" s="2" t="s">
        <v>569</v>
      </c>
      <c r="D1487" s="2" t="str">
        <f t="shared" si="22"/>
        <v>Error?</v>
      </c>
    </row>
    <row r="1488" spans="1:4" x14ac:dyDescent="0.2">
      <c r="A1488" s="5">
        <v>1427</v>
      </c>
      <c r="B1488" s="1832">
        <f>'Expenditures 15-22'!K257</f>
        <v>11349</v>
      </c>
      <c r="C1488" s="2" t="s">
        <v>569</v>
      </c>
      <c r="D1488" s="2" t="str">
        <f t="shared" si="22"/>
        <v>Error?</v>
      </c>
    </row>
    <row r="1489" spans="1:4" x14ac:dyDescent="0.2">
      <c r="A1489" s="5">
        <v>1428</v>
      </c>
      <c r="B1489" s="1832">
        <f>'Expenditures 15-22'!K259</f>
        <v>18311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18311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9510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35459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19890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64859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109000</v>
      </c>
      <c r="C1510" s="2" t="s">
        <v>569</v>
      </c>
      <c r="D1510" s="2" t="str">
        <f t="shared" si="22"/>
        <v>Error?</v>
      </c>
    </row>
    <row r="1511" spans="1:4" x14ac:dyDescent="0.2">
      <c r="A1511" s="5">
        <v>1450</v>
      </c>
      <c r="B1511" s="1832">
        <f>'Expenditures 15-22'!K280</f>
        <v>32101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255684</v>
      </c>
      <c r="C1517" s="2" t="s">
        <v>569</v>
      </c>
      <c r="D1517" s="2" t="str">
        <f t="shared" si="22"/>
        <v>Error?</v>
      </c>
    </row>
    <row r="1518" spans="1:4" x14ac:dyDescent="0.2">
      <c r="A1518" s="5">
        <v>1457</v>
      </c>
      <c r="B1518" s="1832">
        <f>'Expenditures 15-22'!K296</f>
        <v>8841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334167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334167</v>
      </c>
      <c r="C1535" s="2" t="s">
        <v>569</v>
      </c>
      <c r="D1535" s="2" t="str">
        <f t="shared" ref="D1535:D1598" si="23">IF(ISBLANK(B1535),"OK",IF(A1535-B1535=0,"OK","Error?"))</f>
        <v>Error?</v>
      </c>
    </row>
    <row r="1536" spans="1:4" x14ac:dyDescent="0.2">
      <c r="A1536" s="5">
        <v>1475</v>
      </c>
      <c r="B1536" s="1832">
        <f>'Expenditures 15-22'!E312</f>
        <v>334167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282640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282640</v>
      </c>
      <c r="C1547" s="2" t="s">
        <v>569</v>
      </c>
      <c r="D1547" s="2" t="str">
        <f t="shared" si="23"/>
        <v>Error?</v>
      </c>
    </row>
    <row r="1548" spans="1:4" x14ac:dyDescent="0.2">
      <c r="A1548" s="5">
        <v>1487</v>
      </c>
      <c r="B1548" s="1832">
        <f>'Expenditures 15-22'!G312</f>
        <v>282640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616807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616807</v>
      </c>
      <c r="C1559" s="2" t="s">
        <v>569</v>
      </c>
      <c r="D1559" s="2" t="str">
        <f t="shared" si="23"/>
        <v>Error?</v>
      </c>
    </row>
    <row r="1560" spans="1:4" x14ac:dyDescent="0.2">
      <c r="A1560" s="5">
        <v>1499</v>
      </c>
      <c r="B1560" s="1832">
        <f>'Expenditures 15-22'!K312</f>
        <v>616807</v>
      </c>
      <c r="C1560" s="2" t="s">
        <v>569</v>
      </c>
      <c r="D1560" s="2" t="str">
        <f t="shared" si="23"/>
        <v>Error?</v>
      </c>
    </row>
    <row r="1561" spans="1:4" x14ac:dyDescent="0.2">
      <c r="A1561" s="5">
        <v>1500</v>
      </c>
      <c r="B1561" s="1832">
        <f>'Expenditures 15-22'!K313</f>
        <v>-508583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1302283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1746235</v>
      </c>
      <c r="C1630" s="2" t="s">
        <v>569</v>
      </c>
      <c r="D1630" s="2" t="str">
        <f t="shared" si="24"/>
        <v>Error?</v>
      </c>
    </row>
    <row r="1631" spans="1:4" x14ac:dyDescent="0.2">
      <c r="A1631" s="5">
        <v>1570</v>
      </c>
      <c r="B1631" s="1832">
        <f>'Acct Summary 7-8'!D79</f>
        <v>72935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76814</v>
      </c>
      <c r="C1644" s="2" t="s">
        <v>569</v>
      </c>
      <c r="D1644" s="2" t="str">
        <f t="shared" si="24"/>
        <v>Error?</v>
      </c>
    </row>
    <row r="1645" spans="1:4" x14ac:dyDescent="0.2">
      <c r="A1645" s="5">
        <v>1584</v>
      </c>
      <c r="B1645" s="1832">
        <f>'Acct Summary 7-8'!E79</f>
        <v>949642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834226</v>
      </c>
      <c r="C1658" s="2" t="s">
        <v>569</v>
      </c>
      <c r="D1658" s="2" t="str">
        <f t="shared" si="24"/>
        <v>Error?</v>
      </c>
    </row>
    <row r="1659" spans="1:4" x14ac:dyDescent="0.2">
      <c r="A1659" s="5">
        <v>1598</v>
      </c>
      <c r="B1659" s="1832">
        <f>'Acct Summary 7-8'!F79</f>
        <v>94461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228035</v>
      </c>
      <c r="C1672" s="2" t="s">
        <v>569</v>
      </c>
      <c r="D1672" s="2" t="str">
        <f t="shared" si="25"/>
        <v>Error?</v>
      </c>
    </row>
    <row r="1673" spans="1:4" x14ac:dyDescent="0.2">
      <c r="A1673" s="5">
        <v>1612</v>
      </c>
      <c r="B1673" s="1832">
        <f>'Acct Summary 7-8'!G79</f>
        <v>60385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69226</v>
      </c>
      <c r="C1686" s="2" t="s">
        <v>569</v>
      </c>
      <c r="D1686" s="2" t="str">
        <f t="shared" si="25"/>
        <v>Error?</v>
      </c>
    </row>
    <row r="1687" spans="1:4" x14ac:dyDescent="0.2">
      <c r="A1687" s="5">
        <v>1626</v>
      </c>
      <c r="B1687" s="1832">
        <f>'Acct Summary 7-8'!H79</f>
        <v>1058532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549949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1707434</v>
      </c>
      <c r="C1744" s="2" t="s">
        <v>569</v>
      </c>
      <c r="D1744" s="2" t="str">
        <f t="shared" si="26"/>
        <v>Error?</v>
      </c>
    </row>
    <row r="1745" spans="1:5" x14ac:dyDescent="0.2">
      <c r="A1745" s="5">
        <v>1684</v>
      </c>
      <c r="B1745" s="1832">
        <f>'Tax Sched 23'!B5</f>
        <v>464441</v>
      </c>
      <c r="C1745" s="2" t="s">
        <v>569</v>
      </c>
      <c r="D1745" s="2" t="str">
        <f t="shared" si="26"/>
        <v>Error?</v>
      </c>
    </row>
    <row r="1746" spans="1:5" x14ac:dyDescent="0.2">
      <c r="A1746" s="5">
        <v>1685</v>
      </c>
      <c r="B1746" s="1832">
        <f>'Tax Sched 23'!B6</f>
        <v>319806</v>
      </c>
      <c r="C1746" s="2" t="s">
        <v>569</v>
      </c>
      <c r="D1746" s="2" t="str">
        <f t="shared" si="26"/>
        <v>Error?</v>
      </c>
    </row>
    <row r="1747" spans="1:5" x14ac:dyDescent="0.2">
      <c r="A1747" s="5">
        <v>1686</v>
      </c>
      <c r="B1747" s="1832">
        <f>'Tax Sched 23'!B7</f>
        <v>185839</v>
      </c>
      <c r="C1747" s="2" t="s">
        <v>569</v>
      </c>
      <c r="D1747" s="2" t="str">
        <f t="shared" si="26"/>
        <v>Error?</v>
      </c>
    </row>
    <row r="1748" spans="1:5" x14ac:dyDescent="0.2">
      <c r="A1748" s="5">
        <v>1687</v>
      </c>
      <c r="B1748" s="1832">
        <f>'Tax Sched 23'!B8</f>
        <v>119124</v>
      </c>
      <c r="C1748" s="2" t="s">
        <v>569</v>
      </c>
      <c r="D1748" s="2" t="str">
        <f t="shared" si="26"/>
        <v>Error?</v>
      </c>
    </row>
    <row r="1749" spans="1:5" x14ac:dyDescent="0.2">
      <c r="A1749" s="5">
        <v>1688</v>
      </c>
      <c r="B1749" s="1832">
        <f>'Tax Sched 23'!B10</f>
        <v>43653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119124</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39726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3079560</v>
      </c>
      <c r="C1759" s="2" t="s">
        <v>569</v>
      </c>
      <c r="D1759" s="2" t="str">
        <f t="shared" si="26"/>
        <v>Error?</v>
      </c>
    </row>
    <row r="1760" spans="1:5" x14ac:dyDescent="0.2">
      <c r="A1760" s="5">
        <v>1699</v>
      </c>
      <c r="B1760" s="1832">
        <f>'Tax Sched 23'!D4</f>
        <v>1707434</v>
      </c>
      <c r="C1760" s="2" t="s">
        <v>569</v>
      </c>
      <c r="D1760" s="2" t="str">
        <f t="shared" si="26"/>
        <v>Error?</v>
      </c>
    </row>
    <row r="1761" spans="1:7" x14ac:dyDescent="0.2">
      <c r="A1761" s="5">
        <v>1700</v>
      </c>
      <c r="B1761" s="1832">
        <f>'Tax Sched 23'!D5</f>
        <v>464441</v>
      </c>
      <c r="C1761" s="2" t="s">
        <v>569</v>
      </c>
      <c r="D1761" s="2" t="str">
        <f t="shared" si="26"/>
        <v>Error?</v>
      </c>
    </row>
    <row r="1762" spans="1:7" s="8" customFormat="1" x14ac:dyDescent="0.2">
      <c r="A1762" s="5">
        <v>1701</v>
      </c>
      <c r="B1762" s="1832">
        <f>'Tax Sched 23'!D6</f>
        <v>319806</v>
      </c>
      <c r="C1762" s="2" t="s">
        <v>569</v>
      </c>
      <c r="D1762" s="2" t="str">
        <f t="shared" si="26"/>
        <v>Error?</v>
      </c>
      <c r="E1762" s="9"/>
      <c r="G1762"/>
    </row>
    <row r="1763" spans="1:7" x14ac:dyDescent="0.2">
      <c r="A1763" s="5">
        <v>1702</v>
      </c>
      <c r="B1763" s="1832">
        <f>'Tax Sched 23'!D7</f>
        <v>185839</v>
      </c>
      <c r="C1763" s="2" t="s">
        <v>569</v>
      </c>
      <c r="D1763" s="2" t="str">
        <f t="shared" si="26"/>
        <v>Error?</v>
      </c>
    </row>
    <row r="1764" spans="1:7" x14ac:dyDescent="0.2">
      <c r="A1764" s="5">
        <v>1703</v>
      </c>
      <c r="B1764" s="1832">
        <f>'Tax Sched 23'!D8</f>
        <v>119124</v>
      </c>
      <c r="C1764" s="2" t="s">
        <v>569</v>
      </c>
      <c r="D1764" s="2" t="str">
        <f t="shared" si="26"/>
        <v>Error?</v>
      </c>
    </row>
    <row r="1765" spans="1:7" x14ac:dyDescent="0.2">
      <c r="A1765" s="5">
        <v>1704</v>
      </c>
      <c r="B1765" s="1832">
        <f>'Tax Sched 23'!D10</f>
        <v>43653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119124</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39726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3079560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1761833</v>
      </c>
      <c r="C1792" s="2" t="s">
        <v>569</v>
      </c>
      <c r="D1792" s="2" t="str">
        <f t="shared" si="27"/>
        <v>Error?</v>
      </c>
    </row>
    <row r="1793" spans="1:4" x14ac:dyDescent="0.2">
      <c r="A1793" s="5">
        <v>1732</v>
      </c>
      <c r="B1793" s="1832">
        <f>'Tax Sched 23'!F5</f>
        <v>474612</v>
      </c>
      <c r="C1793" s="2" t="s">
        <v>569</v>
      </c>
      <c r="D1793" s="2" t="str">
        <f t="shared" si="27"/>
        <v>Error?</v>
      </c>
    </row>
    <row r="1794" spans="1:4" x14ac:dyDescent="0.2">
      <c r="A1794" s="5">
        <v>1733</v>
      </c>
      <c r="B1794" s="1832">
        <f>'Tax Sched 23'!F6</f>
        <v>695266</v>
      </c>
      <c r="C1794" s="2" t="s">
        <v>569</v>
      </c>
      <c r="D1794" s="2" t="str">
        <f t="shared" si="27"/>
        <v>Error?</v>
      </c>
    </row>
    <row r="1795" spans="1:4" x14ac:dyDescent="0.2">
      <c r="A1795" s="5">
        <v>1734</v>
      </c>
      <c r="B1795" s="1832">
        <f>'Tax Sched 23'!F7</f>
        <v>189918</v>
      </c>
      <c r="C1795" s="2" t="s">
        <v>569</v>
      </c>
      <c r="D1795" s="2" t="str">
        <f t="shared" si="27"/>
        <v>Error?</v>
      </c>
    </row>
    <row r="1796" spans="1:4" x14ac:dyDescent="0.2">
      <c r="A1796" s="5">
        <v>1735</v>
      </c>
      <c r="B1796" s="1832">
        <f>'Tax Sched 23'!F8</f>
        <v>119357</v>
      </c>
      <c r="C1796" s="2" t="s">
        <v>569</v>
      </c>
      <c r="D1796" s="2" t="str">
        <f t="shared" si="27"/>
        <v>Error?</v>
      </c>
    </row>
    <row r="1797" spans="1:4" x14ac:dyDescent="0.2">
      <c r="A1797" s="5">
        <v>1736</v>
      </c>
      <c r="B1797" s="1832">
        <f>'Tax Sched 23'!F10</f>
        <v>43737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119357</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40596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3525242</v>
      </c>
      <c r="C1807" s="2" t="s">
        <v>569</v>
      </c>
      <c r="D1807" s="2" t="str">
        <f t="shared" si="27"/>
        <v>Error?</v>
      </c>
    </row>
    <row r="1808" spans="1:4" x14ac:dyDescent="0.2">
      <c r="A1808" s="5">
        <v>1747</v>
      </c>
      <c r="B1808" s="1832">
        <f>'Tax Sched 23'!E4</f>
        <v>1761833</v>
      </c>
      <c r="D1808" s="2" t="str">
        <f t="shared" si="27"/>
        <v>Error?</v>
      </c>
    </row>
    <row r="1809" spans="1:4" x14ac:dyDescent="0.2">
      <c r="A1809" s="5">
        <v>1748</v>
      </c>
      <c r="B1809" s="1832">
        <f>'Tax Sched 23'!E5</f>
        <v>474612</v>
      </c>
      <c r="D1809" s="2" t="str">
        <f t="shared" si="27"/>
        <v>Error?</v>
      </c>
    </row>
    <row r="1810" spans="1:4" x14ac:dyDescent="0.2">
      <c r="A1810" s="5">
        <v>1749</v>
      </c>
      <c r="B1810" s="1832">
        <f>'Tax Sched 23'!E6</f>
        <v>695266</v>
      </c>
      <c r="D1810" s="2" t="str">
        <f t="shared" si="27"/>
        <v>Error?</v>
      </c>
    </row>
    <row r="1811" spans="1:4" x14ac:dyDescent="0.2">
      <c r="A1811" s="5">
        <v>1750</v>
      </c>
      <c r="B1811" s="1832">
        <f>'Tax Sched 23'!E7</f>
        <v>189918</v>
      </c>
      <c r="D1811" s="2" t="str">
        <f t="shared" si="27"/>
        <v>Error?</v>
      </c>
    </row>
    <row r="1812" spans="1:4" x14ac:dyDescent="0.2">
      <c r="A1812" s="5">
        <v>1751</v>
      </c>
      <c r="B1812" s="1832">
        <f>'Tax Sched 23'!E8</f>
        <v>119357</v>
      </c>
      <c r="D1812" s="2" t="str">
        <f t="shared" si="27"/>
        <v>Error?</v>
      </c>
    </row>
    <row r="1813" spans="1:4" x14ac:dyDescent="0.2">
      <c r="A1813" s="5">
        <v>1752</v>
      </c>
      <c r="B1813" s="1832">
        <f>'Tax Sched 23'!E10</f>
        <v>43737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119357</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40596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3525242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7010000</v>
      </c>
      <c r="C1939" s="2" t="s">
        <v>569</v>
      </c>
      <c r="D1939" s="2" t="str">
        <f t="shared" si="29"/>
        <v>Error?</v>
      </c>
    </row>
    <row r="1940" spans="1:5" x14ac:dyDescent="0.2">
      <c r="A1940" s="5">
        <v>1879</v>
      </c>
      <c r="B1940" s="1832">
        <f>'Short-Term Long-Term Debt 24'!F49</f>
        <v>3295000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39726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39726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39726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251280</v>
      </c>
      <c r="D2008" s="2" t="str">
        <f t="shared" si="30"/>
        <v>Error?</v>
      </c>
    </row>
    <row r="2009" spans="1:4" x14ac:dyDescent="0.2">
      <c r="A2009" s="5">
        <v>1948</v>
      </c>
      <c r="B2009" s="1832">
        <f>'Cap Outlay Deprec 26'!C8</f>
        <v>23125164</v>
      </c>
      <c r="D2009" s="2" t="str">
        <f t="shared" si="30"/>
        <v>Error?</v>
      </c>
    </row>
    <row r="2010" spans="1:4" x14ac:dyDescent="0.2">
      <c r="A2010" s="5">
        <v>1949</v>
      </c>
      <c r="B2010" s="1832">
        <f>'Cap Outlay Deprec 26'!C10</f>
        <v>1386375</v>
      </c>
      <c r="D2010" s="2" t="str">
        <f t="shared" si="30"/>
        <v>Error?</v>
      </c>
    </row>
    <row r="2011" spans="1:4" x14ac:dyDescent="0.2">
      <c r="A2011" s="5">
        <v>1950</v>
      </c>
      <c r="B2011" s="1832">
        <f>'Cap Outlay Deprec 26'!C12</f>
        <v>1399022</v>
      </c>
      <c r="D2011" s="2" t="str">
        <f t="shared" si="30"/>
        <v>Error?</v>
      </c>
    </row>
    <row r="2012" spans="1:4" x14ac:dyDescent="0.2">
      <c r="A2012" s="5">
        <v>1951</v>
      </c>
      <c r="B2012" s="1832">
        <f>'Cap Outlay Deprec 26'!C13</f>
        <v>775480</v>
      </c>
      <c r="D2012" s="2" t="str">
        <f t="shared" si="30"/>
        <v>Error?</v>
      </c>
    </row>
    <row r="2013" spans="1:4" x14ac:dyDescent="0.2">
      <c r="A2013" s="5">
        <v>1952</v>
      </c>
      <c r="B2013" s="1832">
        <f>'Cap Outlay Deprec 26'!C16</f>
        <v>27219560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747838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6752</v>
      </c>
      <c r="D2017" s="2" t="str">
        <f t="shared" si="30"/>
        <v>Error?</v>
      </c>
    </row>
    <row r="2018" spans="1:4" x14ac:dyDescent="0.2">
      <c r="A2018" s="5">
        <v>1957</v>
      </c>
      <c r="B2018" s="1832">
        <f>'Cap Outlay Deprec 26'!D13</f>
        <v>32993</v>
      </c>
      <c r="D2018" s="2" t="str">
        <f t="shared" si="30"/>
        <v>Error?</v>
      </c>
    </row>
    <row r="2019" spans="1:4" x14ac:dyDescent="0.2">
      <c r="A2019" s="5">
        <v>1958</v>
      </c>
      <c r="B2019" s="1832">
        <f>'Cap Outlay Deprec 26'!D16</f>
        <v>1873555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432423</v>
      </c>
      <c r="C2025" s="2" t="s">
        <v>569</v>
      </c>
      <c r="D2025" s="2" t="str">
        <f t="shared" si="30"/>
        <v>Error?</v>
      </c>
    </row>
    <row r="2026" spans="1:4" x14ac:dyDescent="0.2">
      <c r="A2026" s="5">
        <v>1965</v>
      </c>
      <c r="B2026" s="1832">
        <f>'Cap Outlay Deprec 26'!F5</f>
        <v>251280</v>
      </c>
      <c r="C2026" s="2" t="s">
        <v>569</v>
      </c>
      <c r="D2026" s="2" t="str">
        <f t="shared" si="30"/>
        <v>Error?</v>
      </c>
    </row>
    <row r="2027" spans="1:4" x14ac:dyDescent="0.2">
      <c r="A2027" s="5">
        <v>1966</v>
      </c>
      <c r="B2027" s="1832">
        <f>'Cap Outlay Deprec 26'!F8</f>
        <v>23873002</v>
      </c>
      <c r="C2027" s="2" t="s">
        <v>569</v>
      </c>
      <c r="D2027" s="2" t="str">
        <f t="shared" si="30"/>
        <v>Error?</v>
      </c>
    </row>
    <row r="2028" spans="1:4" x14ac:dyDescent="0.2">
      <c r="A2028" s="5">
        <v>1967</v>
      </c>
      <c r="B2028" s="1832">
        <f>'Cap Outlay Deprec 26'!F10</f>
        <v>1386375</v>
      </c>
      <c r="C2028" s="2" t="s">
        <v>569</v>
      </c>
      <c r="D2028" s="2" t="str">
        <f t="shared" si="30"/>
        <v>Error?</v>
      </c>
    </row>
    <row r="2029" spans="1:4" x14ac:dyDescent="0.2">
      <c r="A2029" s="5">
        <v>1968</v>
      </c>
      <c r="B2029" s="1832">
        <f>'Cap Outlay Deprec 26'!F12</f>
        <v>1405774</v>
      </c>
      <c r="C2029" s="2" t="s">
        <v>569</v>
      </c>
      <c r="D2029" s="2" t="str">
        <f t="shared" si="30"/>
        <v>Error?</v>
      </c>
    </row>
    <row r="2030" spans="1:4" x14ac:dyDescent="0.2">
      <c r="A2030" s="5">
        <v>1969</v>
      </c>
      <c r="B2030" s="1832">
        <f>'Cap Outlay Deprec 26'!F13</f>
        <v>808473</v>
      </c>
      <c r="C2030" s="2" t="s">
        <v>569</v>
      </c>
      <c r="D2030" s="2" t="str">
        <f t="shared" si="30"/>
        <v>Error?</v>
      </c>
    </row>
    <row r="2031" spans="1:4" x14ac:dyDescent="0.2">
      <c r="A2031" s="5">
        <v>1970</v>
      </c>
      <c r="B2031" s="1832">
        <f>'Cap Outlay Deprec 26'!F16</f>
        <v>28660692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9892993</v>
      </c>
      <c r="D2033" s="2" t="str">
        <f t="shared" si="30"/>
        <v>Error?</v>
      </c>
    </row>
    <row r="2034" spans="1:4" x14ac:dyDescent="0.2">
      <c r="A2034" s="5">
        <v>1973</v>
      </c>
      <c r="B2034" s="1832">
        <f>'Cap Outlay Deprec 26'!H10</f>
        <v>767925</v>
      </c>
      <c r="D2034" s="2" t="str">
        <f t="shared" si="30"/>
        <v>Error?</v>
      </c>
    </row>
    <row r="2035" spans="1:4" x14ac:dyDescent="0.2">
      <c r="A2035" s="5">
        <v>1974</v>
      </c>
      <c r="B2035" s="1832">
        <f>'Cap Outlay Deprec 26'!H12</f>
        <v>1295184</v>
      </c>
      <c r="D2035" s="2" t="str">
        <f t="shared" si="30"/>
        <v>Error?</v>
      </c>
    </row>
    <row r="2036" spans="1:4" x14ac:dyDescent="0.2">
      <c r="A2036" s="5">
        <v>1975</v>
      </c>
      <c r="B2036" s="1832">
        <f>'Cap Outlay Deprec 26'!H13</f>
        <v>691242</v>
      </c>
      <c r="D2036" s="2" t="str">
        <f t="shared" si="30"/>
        <v>Error?</v>
      </c>
    </row>
    <row r="2037" spans="1:4" x14ac:dyDescent="0.2">
      <c r="A2037" s="5">
        <v>1976</v>
      </c>
      <c r="B2037" s="1832">
        <f>'Cap Outlay Deprec 26'!H16</f>
        <v>12689224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632938</v>
      </c>
      <c r="D2039" s="2" t="str">
        <f t="shared" si="30"/>
        <v>Error?</v>
      </c>
    </row>
    <row r="2040" spans="1:4" x14ac:dyDescent="0.2">
      <c r="A2040" s="5">
        <v>1979</v>
      </c>
      <c r="B2040" s="1832">
        <f>'Cap Outlay Deprec 26'!I10</f>
        <v>70534</v>
      </c>
      <c r="D2040" s="2" t="str">
        <f t="shared" si="30"/>
        <v>Error?</v>
      </c>
    </row>
    <row r="2041" spans="1:4" x14ac:dyDescent="0.2">
      <c r="A2041" s="5">
        <v>1980</v>
      </c>
      <c r="B2041" s="1832">
        <f>'Cap Outlay Deprec 26'!I12</f>
        <v>25666</v>
      </c>
      <c r="D2041" s="2" t="str">
        <f t="shared" si="30"/>
        <v>Error?</v>
      </c>
    </row>
    <row r="2042" spans="1:4" x14ac:dyDescent="0.2">
      <c r="A2042" s="5">
        <v>1981</v>
      </c>
      <c r="B2042" s="1832">
        <f>'Cap Outlay Deprec 26'!I13</f>
        <v>27009</v>
      </c>
      <c r="D2042" s="2" t="str">
        <f t="shared" si="30"/>
        <v>Error?</v>
      </c>
    </row>
    <row r="2043" spans="1:4" x14ac:dyDescent="0.2">
      <c r="A2043" s="5">
        <v>1982</v>
      </c>
      <c r="B2043" s="1832">
        <f>'Cap Outlay Deprec 26'!I16</f>
        <v>758099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10525931</v>
      </c>
      <c r="C2051" s="2" t="s">
        <v>569</v>
      </c>
      <c r="D2051" s="2" t="str">
        <f t="shared" si="31"/>
        <v>Error?</v>
      </c>
    </row>
    <row r="2052" spans="1:4" x14ac:dyDescent="0.2">
      <c r="A2052" s="5">
        <v>1991</v>
      </c>
      <c r="B2052" s="1832">
        <f>'Cap Outlay Deprec 26'!K10</f>
        <v>838459</v>
      </c>
      <c r="C2052" s="2" t="s">
        <v>569</v>
      </c>
      <c r="D2052" s="2" t="str">
        <f t="shared" si="31"/>
        <v>Error?</v>
      </c>
    </row>
    <row r="2053" spans="1:4" x14ac:dyDescent="0.2">
      <c r="A2053" s="5">
        <v>1992</v>
      </c>
      <c r="B2053" s="1832">
        <f>'Cap Outlay Deprec 26'!K12</f>
        <v>1320850</v>
      </c>
      <c r="C2053" s="2" t="s">
        <v>569</v>
      </c>
      <c r="D2053" s="2" t="str">
        <f t="shared" si="31"/>
        <v>Error?</v>
      </c>
    </row>
    <row r="2054" spans="1:4" x14ac:dyDescent="0.2">
      <c r="A2054" s="5">
        <v>1993</v>
      </c>
      <c r="B2054" s="1832">
        <f>'Cap Outlay Deprec 26'!K13</f>
        <v>718251</v>
      </c>
      <c r="C2054" s="2" t="s">
        <v>569</v>
      </c>
      <c r="D2054" s="2" t="str">
        <f t="shared" si="31"/>
        <v>Error?</v>
      </c>
    </row>
    <row r="2055" spans="1:4" x14ac:dyDescent="0.2">
      <c r="A2055" s="5">
        <v>1994</v>
      </c>
      <c r="B2055" s="1832">
        <f>'Cap Outlay Deprec 26'!K16</f>
        <v>13447323</v>
      </c>
      <c r="C2055" s="2" t="s">
        <v>569</v>
      </c>
      <c r="D2055" s="2" t="str">
        <f t="shared" si="31"/>
        <v>Error?</v>
      </c>
    </row>
    <row r="2056" spans="1:4" x14ac:dyDescent="0.2">
      <c r="A2056" s="5">
        <v>1995</v>
      </c>
      <c r="B2056" s="1832">
        <f>'Cap Outlay Deprec 26'!L5</f>
        <v>251280</v>
      </c>
      <c r="C2056" s="2" t="s">
        <v>569</v>
      </c>
      <c r="D2056" s="2" t="str">
        <f t="shared" si="31"/>
        <v>Error?</v>
      </c>
    </row>
    <row r="2057" spans="1:4" x14ac:dyDescent="0.2">
      <c r="A2057" s="5">
        <v>1996</v>
      </c>
      <c r="B2057" s="1832">
        <f>'Cap Outlay Deprec 26'!L8</f>
        <v>13347071</v>
      </c>
      <c r="C2057" s="2" t="s">
        <v>569</v>
      </c>
      <c r="D2057" s="2" t="str">
        <f t="shared" si="31"/>
        <v>Error?</v>
      </c>
    </row>
    <row r="2058" spans="1:4" x14ac:dyDescent="0.2">
      <c r="A2058" s="5">
        <v>1997</v>
      </c>
      <c r="B2058" s="1832">
        <f>'Cap Outlay Deprec 26'!L10</f>
        <v>547916</v>
      </c>
      <c r="C2058" s="2" t="s">
        <v>569</v>
      </c>
      <c r="D2058" s="2" t="str">
        <f t="shared" si="31"/>
        <v>Error?</v>
      </c>
    </row>
    <row r="2059" spans="1:4" x14ac:dyDescent="0.2">
      <c r="A2059" s="5">
        <v>1998</v>
      </c>
      <c r="B2059" s="1832">
        <f>'Cap Outlay Deprec 26'!L12</f>
        <v>84924</v>
      </c>
      <c r="C2059" s="2" t="s">
        <v>569</v>
      </c>
      <c r="D2059" s="2" t="str">
        <f t="shared" si="31"/>
        <v>Error?</v>
      </c>
    </row>
    <row r="2060" spans="1:4" x14ac:dyDescent="0.2">
      <c r="A2060" s="5">
        <v>1999</v>
      </c>
      <c r="B2060" s="1832">
        <f>'Cap Outlay Deprec 26'!L13</f>
        <v>90222</v>
      </c>
      <c r="C2060" s="2" t="s">
        <v>569</v>
      </c>
      <c r="D2060" s="2" t="str">
        <f t="shared" si="31"/>
        <v>Error?</v>
      </c>
    </row>
    <row r="2061" spans="1:4" x14ac:dyDescent="0.2">
      <c r="A2061" s="5">
        <v>2000</v>
      </c>
      <c r="B2061" s="1832">
        <f>'Cap Outlay Deprec 26'!L16</f>
        <v>15213369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332703</v>
      </c>
      <c r="C2088" s="2" t="s">
        <v>569</v>
      </c>
      <c r="D2088" s="2" t="str">
        <f t="shared" si="31"/>
        <v>Error?</v>
      </c>
    </row>
    <row r="2089" spans="1:4" x14ac:dyDescent="0.2">
      <c r="A2089" s="5">
        <v>2028</v>
      </c>
      <c r="B2089" s="1832">
        <f>'Expenditures 15-22'!K92</f>
        <v>299220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81221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133574</v>
      </c>
      <c r="D2475" s="2" t="str">
        <f t="shared" si="37"/>
        <v>Error?</v>
      </c>
    </row>
    <row r="2476" spans="1:4" x14ac:dyDescent="0.2">
      <c r="A2476" s="10">
        <v>2415</v>
      </c>
      <c r="B2476" s="1832"/>
      <c r="D2476" s="2" t="str">
        <f t="shared" si="37"/>
        <v>OK</v>
      </c>
    </row>
    <row r="2477" spans="1:4" x14ac:dyDescent="0.2">
      <c r="A2477" s="5">
        <v>2416</v>
      </c>
      <c r="B2477" s="1832">
        <f>'Assets-Liab 5-6'!G38</f>
        <v>69226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834226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549949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2277182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4771733</v>
      </c>
      <c r="C2553" s="2" t="s">
        <v>569</v>
      </c>
      <c r="D2553" s="2" t="str">
        <f t="shared" si="38"/>
        <v>Error?</v>
      </c>
    </row>
    <row r="2554" spans="1:4" x14ac:dyDescent="0.2">
      <c r="A2554" s="5">
        <v>2493</v>
      </c>
      <c r="B2554" s="1832">
        <f>'Acct Summary 7-8'!C7</f>
        <v>809734</v>
      </c>
      <c r="C2554" s="2" t="s">
        <v>569</v>
      </c>
      <c r="D2554" s="2" t="str">
        <f t="shared" si="38"/>
        <v>Error?</v>
      </c>
    </row>
    <row r="2555" spans="1:4" x14ac:dyDescent="0.2">
      <c r="A2555" s="5">
        <v>2494</v>
      </c>
      <c r="B2555" s="1832">
        <f>'Acct Summary 7-8'!C8</f>
        <v>7858649</v>
      </c>
      <c r="C2555" s="2" t="s">
        <v>569</v>
      </c>
      <c r="D2555" s="2" t="str">
        <f t="shared" si="38"/>
        <v>Error?</v>
      </c>
    </row>
    <row r="2556" spans="1:4" x14ac:dyDescent="0.2">
      <c r="A2556" s="5">
        <v>2495</v>
      </c>
      <c r="B2556" s="1832">
        <f>'Acct Summary 7-8'!C12</f>
        <v>5121348</v>
      </c>
      <c r="C2556" s="2" t="s">
        <v>569</v>
      </c>
      <c r="D2556" s="2" t="str">
        <f t="shared" si="38"/>
        <v>Error?</v>
      </c>
    </row>
    <row r="2557" spans="1:4" x14ac:dyDescent="0.2">
      <c r="A2557" s="5">
        <v>2496</v>
      </c>
      <c r="B2557" s="1832">
        <f>'Acct Summary 7-8'!C13</f>
        <v>1433338</v>
      </c>
      <c r="C2557" s="2" t="s">
        <v>569</v>
      </c>
      <c r="D2557" s="2" t="str">
        <f t="shared" si="38"/>
        <v>Error?</v>
      </c>
    </row>
    <row r="2558" spans="1:4" x14ac:dyDescent="0.2">
      <c r="A2558" s="5">
        <v>2497</v>
      </c>
      <c r="B2558" s="1832">
        <f>'Acct Summary 7-8'!C14</f>
        <v>228088</v>
      </c>
      <c r="C2558" s="2" t="s">
        <v>569</v>
      </c>
      <c r="D2558" s="2" t="str">
        <f t="shared" si="38"/>
        <v>Error?</v>
      </c>
    </row>
    <row r="2559" spans="1:4" x14ac:dyDescent="0.2">
      <c r="A2559" s="5">
        <v>2498</v>
      </c>
      <c r="B2559" s="1832">
        <f>'Acct Summary 7-8'!C15</f>
        <v>631923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7414697</v>
      </c>
      <c r="C2561" s="2" t="s">
        <v>569</v>
      </c>
      <c r="D2561" s="2" t="str">
        <f t="shared" si="39"/>
        <v>Error?</v>
      </c>
    </row>
    <row r="2562" spans="1:4" x14ac:dyDescent="0.2">
      <c r="A2562" s="5">
        <v>2501</v>
      </c>
      <c r="B2562" s="1832">
        <f>'Acct Summary 7-8'!C20</f>
        <v>443952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466244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716244</v>
      </c>
      <c r="C2568" s="2" t="s">
        <v>569</v>
      </c>
      <c r="D2568" s="2" t="str">
        <f t="shared" si="39"/>
        <v>Error?</v>
      </c>
    </row>
    <row r="2569" spans="1:4" x14ac:dyDescent="0.2">
      <c r="A2569" s="5">
        <v>2508</v>
      </c>
      <c r="B2569" s="1832">
        <f>'Acct Summary 7-8'!D13</f>
        <v>712365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712365</v>
      </c>
      <c r="C2573" s="2" t="s">
        <v>569</v>
      </c>
      <c r="D2573" s="2" t="str">
        <f t="shared" si="39"/>
        <v>Error?</v>
      </c>
    </row>
    <row r="2574" spans="1:4" x14ac:dyDescent="0.2">
      <c r="A2574" s="5">
        <v>2513</v>
      </c>
      <c r="B2574" s="1832">
        <f>'Acct Summary 7-8'!D20</f>
        <v>3879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186483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567691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754174</v>
      </c>
      <c r="C2595" s="2" t="s">
        <v>569</v>
      </c>
      <c r="D2595" s="2" t="str">
        <f t="shared" si="39"/>
        <v>Error?</v>
      </c>
    </row>
    <row r="2596" spans="1:4" x14ac:dyDescent="0.2">
      <c r="A2596" s="5">
        <v>2535</v>
      </c>
      <c r="B2596" s="1832">
        <f>'Acct Summary 7-8'!F13</f>
        <v>620600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620600</v>
      </c>
      <c r="C2600" s="2" t="s">
        <v>569</v>
      </c>
      <c r="D2600" s="2" t="str">
        <f t="shared" si="39"/>
        <v>Error?</v>
      </c>
    </row>
    <row r="2601" spans="1:4" x14ac:dyDescent="0.2">
      <c r="A2601" s="5">
        <v>2540</v>
      </c>
      <c r="B2601" s="1832">
        <f>'Acct Summary 7-8'!F20</f>
        <v>133574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209228</v>
      </c>
      <c r="C2603" s="2" t="s">
        <v>569</v>
      </c>
      <c r="D2603" s="2" t="str">
        <f t="shared" si="39"/>
        <v>Error?</v>
      </c>
    </row>
    <row r="2604" spans="1:4" x14ac:dyDescent="0.2">
      <c r="A2604" s="5">
        <v>2543</v>
      </c>
      <c r="B2604" s="1832">
        <f>'Acct Summary 7-8'!G6</f>
        <v>50000</v>
      </c>
      <c r="C2604" s="2" t="s">
        <v>569</v>
      </c>
      <c r="D2604" s="2" t="str">
        <f t="shared" si="39"/>
        <v>Error?</v>
      </c>
    </row>
    <row r="2605" spans="1:4" x14ac:dyDescent="0.2">
      <c r="A2605" s="5">
        <v>2544</v>
      </c>
      <c r="B2605" s="1832">
        <f>'Acct Summary 7-8'!G7</f>
        <v>5297</v>
      </c>
      <c r="C2605" s="2" t="s">
        <v>569</v>
      </c>
      <c r="D2605" s="2" t="str">
        <f t="shared" si="39"/>
        <v>Error?</v>
      </c>
    </row>
    <row r="2606" spans="1:4" x14ac:dyDescent="0.2">
      <c r="A2606" s="5">
        <v>2545</v>
      </c>
      <c r="B2606" s="1832">
        <f>'Acct Summary 7-8'!G8</f>
        <v>264525</v>
      </c>
      <c r="C2606" s="2" t="s">
        <v>569</v>
      </c>
      <c r="D2606" s="2" t="str">
        <f t="shared" si="39"/>
        <v>Error?</v>
      </c>
    </row>
    <row r="2607" spans="1:4" x14ac:dyDescent="0.2">
      <c r="A2607" s="5">
        <v>2546</v>
      </c>
      <c r="B2607" s="1832">
        <f>'Acct Summary 7-8'!G12</f>
        <v>114583</v>
      </c>
      <c r="C2607" s="2" t="s">
        <v>569</v>
      </c>
      <c r="D2607" s="2" t="str">
        <f t="shared" si="39"/>
        <v>Error?</v>
      </c>
    </row>
    <row r="2608" spans="1:4" x14ac:dyDescent="0.2">
      <c r="A2608" s="5">
        <v>2547</v>
      </c>
      <c r="B2608" s="1832">
        <f>'Acct Summary 7-8'!G13</f>
        <v>109000</v>
      </c>
      <c r="C2608" s="2" t="s">
        <v>569</v>
      </c>
      <c r="D2608" s="2" t="str">
        <f t="shared" si="39"/>
        <v>Error?</v>
      </c>
    </row>
    <row r="2609" spans="1:4" x14ac:dyDescent="0.2">
      <c r="A2609" s="5">
        <v>2548</v>
      </c>
      <c r="B2609" s="1832">
        <f>'Acct Summary 7-8'!G14</f>
        <v>32101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255684</v>
      </c>
      <c r="C2612" s="2" t="s">
        <v>569</v>
      </c>
      <c r="D2612" s="2" t="str">
        <f t="shared" si="39"/>
        <v>Error?</v>
      </c>
    </row>
    <row r="2613" spans="1:4" x14ac:dyDescent="0.2">
      <c r="A2613" s="5">
        <v>2552</v>
      </c>
      <c r="B2613" s="1832">
        <f>'Acct Summary 7-8'!G20</f>
        <v>8841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919139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919139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3219555</v>
      </c>
      <c r="C2634" s="2" t="s">
        <v>569</v>
      </c>
      <c r="D2634" s="2" t="str">
        <f t="shared" si="40"/>
        <v>Error?</v>
      </c>
    </row>
    <row r="2635" spans="1:4" x14ac:dyDescent="0.2">
      <c r="A2635" s="5">
        <v>2574</v>
      </c>
      <c r="B2635" s="1832">
        <f>'Acct Summary 7-8'!E17</f>
        <v>3219555</v>
      </c>
      <c r="C2635" s="2" t="s">
        <v>569</v>
      </c>
      <c r="D2635" s="2" t="str">
        <f t="shared" si="40"/>
        <v>Error?</v>
      </c>
    </row>
    <row r="2636" spans="1:4" x14ac:dyDescent="0.2">
      <c r="A2636" s="5">
        <v>2575</v>
      </c>
      <c r="B2636" s="1832">
        <f>'Acct Summary 7-8'!E20</f>
        <v>-2300416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58224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108224</v>
      </c>
      <c r="C2658" s="2" t="s">
        <v>569</v>
      </c>
      <c r="D2658" s="2" t="str">
        <f t="shared" si="40"/>
        <v>Error?</v>
      </c>
    </row>
    <row r="2659" spans="1:4" x14ac:dyDescent="0.2">
      <c r="A2659" s="5">
        <v>2598</v>
      </c>
      <c r="B2659" s="1832">
        <f>'Acct Summary 7-8'!H13</f>
        <v>616807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616807</v>
      </c>
      <c r="C2661" s="2" t="s">
        <v>569</v>
      </c>
      <c r="D2661" s="2" t="str">
        <f t="shared" si="40"/>
        <v>Error?</v>
      </c>
    </row>
    <row r="2662" spans="1:4" x14ac:dyDescent="0.2">
      <c r="A2662" s="5">
        <v>2601</v>
      </c>
      <c r="B2662" s="1832">
        <f>'Acct Summary 7-8'!H20</f>
        <v>-508583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1973</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1973</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332703</v>
      </c>
      <c r="C2789" s="2" t="s">
        <v>569</v>
      </c>
      <c r="D2789" s="2" t="str">
        <f t="shared" si="42"/>
        <v>Error?</v>
      </c>
    </row>
    <row r="2790" spans="1:4" x14ac:dyDescent="0.2">
      <c r="A2790" s="5">
        <v>2729</v>
      </c>
      <c r="B2790" s="1832">
        <f>'Expenditures 15-22'!E102</f>
        <v>332703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53937</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889191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323246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220464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323246</v>
      </c>
      <c r="D2912" s="2" t="str">
        <f t="shared" si="44"/>
        <v>Error?</v>
      </c>
    </row>
    <row r="2913" spans="1:4" x14ac:dyDescent="0.2">
      <c r="A2913" s="5">
        <v>2852</v>
      </c>
      <c r="B2913" s="1832">
        <f>'Assets-Liab 5-6'!I41</f>
        <v>323246</v>
      </c>
      <c r="C2913" s="2" t="s">
        <v>569</v>
      </c>
      <c r="D2913" s="2" t="str">
        <f t="shared" si="44"/>
        <v>Error?</v>
      </c>
    </row>
    <row r="2914" spans="1:4" x14ac:dyDescent="0.2">
      <c r="A2914" s="5">
        <v>2853</v>
      </c>
      <c r="B2914" s="1832">
        <f>'Assets-Liab 5-6'!L33</f>
        <v>220464</v>
      </c>
      <c r="D2914" s="2" t="str">
        <f t="shared" si="44"/>
        <v>Error?</v>
      </c>
    </row>
    <row r="2915" spans="1:4" x14ac:dyDescent="0.2">
      <c r="A2915" s="10">
        <v>2854</v>
      </c>
      <c r="B2915" s="1832"/>
      <c r="D2915" s="2" t="str">
        <f t="shared" si="44"/>
        <v>OK</v>
      </c>
    </row>
    <row r="2916" spans="1:4" x14ac:dyDescent="0.2">
      <c r="A2916" s="5">
        <v>2855</v>
      </c>
      <c r="B2916" s="1832">
        <f>'Assets-Liab 5-6'!L34</f>
        <v>220464</v>
      </c>
      <c r="C2916" s="2" t="s">
        <v>569</v>
      </c>
      <c r="D2916" s="2" t="str">
        <f t="shared" si="44"/>
        <v>Error?</v>
      </c>
    </row>
    <row r="2917" spans="1:4" x14ac:dyDescent="0.2">
      <c r="A2917" s="5">
        <v>2856</v>
      </c>
      <c r="B2917" s="1832">
        <f>'Assets-Liab 5-6'!L41</f>
        <v>220464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3088</v>
      </c>
      <c r="D2949" s="2" t="str">
        <f t="shared" si="45"/>
        <v>Error?</v>
      </c>
    </row>
    <row r="2950" spans="1:4" x14ac:dyDescent="0.2">
      <c r="A2950" s="5">
        <v>2889</v>
      </c>
      <c r="B2950" s="1832">
        <f>'Expenditures 15-22'!E79</f>
        <v>324078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5537</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3088</v>
      </c>
      <c r="C2973" s="2" t="s">
        <v>569</v>
      </c>
      <c r="D2973" s="2" t="str">
        <f t="shared" si="45"/>
        <v>Error?</v>
      </c>
    </row>
    <row r="2974" spans="1:4" x14ac:dyDescent="0.2">
      <c r="A2974" s="5">
        <v>2913</v>
      </c>
      <c r="B2974" s="1832">
        <f>'Expenditures 15-22'!K79</f>
        <v>324078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5537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147363</v>
      </c>
      <c r="D3055" s="2" t="str">
        <f t="shared" si="46"/>
        <v>Error?</v>
      </c>
    </row>
    <row r="3056" spans="1:4" x14ac:dyDescent="0.2">
      <c r="A3056" s="5">
        <v>2995</v>
      </c>
      <c r="B3056" s="1832">
        <f>'Expenditures 15-22'!D10</f>
        <v>51355</v>
      </c>
      <c r="D3056" s="2" t="str">
        <f t="shared" si="46"/>
        <v>Error?</v>
      </c>
    </row>
    <row r="3057" spans="1:4" x14ac:dyDescent="0.2">
      <c r="A3057" s="5">
        <v>2996</v>
      </c>
      <c r="B3057" s="1832">
        <f>'Expenditures 15-22'!E10</f>
        <v>3600</v>
      </c>
      <c r="D3057" s="2" t="str">
        <f t="shared" si="46"/>
        <v>Error?</v>
      </c>
    </row>
    <row r="3058" spans="1:4" x14ac:dyDescent="0.2">
      <c r="A3058" s="5">
        <v>2997</v>
      </c>
      <c r="B3058" s="1832">
        <f>'Expenditures 15-22'!F10</f>
        <v>26762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229080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18128</v>
      </c>
      <c r="D3064" s="2" t="str">
        <f t="shared" si="46"/>
        <v>Error?</v>
      </c>
    </row>
    <row r="3065" spans="1:4" x14ac:dyDescent="0.2">
      <c r="A3065" s="5">
        <v>3004</v>
      </c>
      <c r="B3065" s="1832">
        <f>'Expenditures 15-22'!K219</f>
        <v>18128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2185000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43804</v>
      </c>
      <c r="C3225" s="2" t="s">
        <v>569</v>
      </c>
      <c r="D3225" s="2" t="str">
        <f t="shared" si="49"/>
        <v>Error?</v>
      </c>
    </row>
    <row r="3226" spans="1:4" x14ac:dyDescent="0.2">
      <c r="A3226" s="5">
        <v>3165</v>
      </c>
      <c r="B3226" s="1832">
        <f>'Acct Summary 7-8'!I8</f>
        <v>43804</v>
      </c>
      <c r="C3226" s="2" t="s">
        <v>569</v>
      </c>
      <c r="D3226" s="2" t="str">
        <f t="shared" si="49"/>
        <v>Error?</v>
      </c>
    </row>
    <row r="3227" spans="1:4" x14ac:dyDescent="0.2">
      <c r="A3227" s="5">
        <v>3166</v>
      </c>
      <c r="B3227" s="1832">
        <f>'Acct Summary 7-8'!I20</f>
        <v>43804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443952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3879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133574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8841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2185000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2185000</v>
      </c>
      <c r="C3277" s="2" t="s">
        <v>569</v>
      </c>
      <c r="D3277" s="2" t="str">
        <f t="shared" si="50"/>
        <v>Error?</v>
      </c>
    </row>
    <row r="3278" spans="1:4" x14ac:dyDescent="0.2">
      <c r="A3278" s="5">
        <v>3217</v>
      </c>
      <c r="B3278" s="1832">
        <f>'Acct Summary 7-8'!E78</f>
        <v>-115416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-508583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43804</v>
      </c>
      <c r="C3320" s="2" t="s">
        <v>569</v>
      </c>
      <c r="D3320" s="2" t="str">
        <f t="shared" si="50"/>
        <v>Error?</v>
      </c>
    </row>
    <row r="3321" spans="1:4" x14ac:dyDescent="0.2">
      <c r="A3321" s="5">
        <v>3260</v>
      </c>
      <c r="B3321" s="1832">
        <f>'Acct Summary 7-8'!I79</f>
        <v>279442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323246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911149</v>
      </c>
      <c r="D3366" s="2" t="str">
        <f t="shared" si="51"/>
        <v>Error?</v>
      </c>
    </row>
    <row r="3367" spans="1:4" x14ac:dyDescent="0.2">
      <c r="A3367" s="5">
        <v>3306</v>
      </c>
      <c r="B3367" s="1832">
        <f>'Expenditures 15-22'!C19</f>
        <v>2581</v>
      </c>
      <c r="D3367" s="2" t="str">
        <f t="shared" si="51"/>
        <v>Error?</v>
      </c>
    </row>
    <row r="3368" spans="1:4" x14ac:dyDescent="0.2">
      <c r="A3368" s="5">
        <v>3307</v>
      </c>
      <c r="B3368" s="1832">
        <f>'Expenditures 15-22'!D8</f>
        <v>207787</v>
      </c>
      <c r="D3368" s="2" t="str">
        <f t="shared" si="51"/>
        <v>Error?</v>
      </c>
    </row>
    <row r="3369" spans="1:4" x14ac:dyDescent="0.2">
      <c r="A3369" s="5">
        <v>3308</v>
      </c>
      <c r="B3369" s="1832">
        <f>'Expenditures 15-22'!D19</f>
        <v>223</v>
      </c>
      <c r="D3369" s="2" t="str">
        <f t="shared" si="51"/>
        <v>Error?</v>
      </c>
    </row>
    <row r="3370" spans="1:4" x14ac:dyDescent="0.2">
      <c r="A3370" s="5">
        <v>3309</v>
      </c>
      <c r="B3370" s="1832">
        <f>'Expenditures 15-22'!E8</f>
        <v>2159</v>
      </c>
      <c r="D3370" s="2" t="str">
        <f t="shared" si="51"/>
        <v>Error?</v>
      </c>
    </row>
    <row r="3371" spans="1:4" x14ac:dyDescent="0.2">
      <c r="A3371" s="5">
        <v>3310</v>
      </c>
      <c r="B3371" s="1832">
        <f>'Expenditures 15-22'!E19</f>
        <v>43</v>
      </c>
      <c r="D3371" s="2" t="str">
        <f t="shared" si="51"/>
        <v>Error?</v>
      </c>
    </row>
    <row r="3372" spans="1:4" x14ac:dyDescent="0.2">
      <c r="A3372" s="5">
        <v>3311</v>
      </c>
      <c r="B3372" s="1832">
        <f>'Expenditures 15-22'!F8</f>
        <v>3672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1124767</v>
      </c>
      <c r="C3380" s="2" t="s">
        <v>569</v>
      </c>
      <c r="D3380" s="2" t="str">
        <f t="shared" si="51"/>
        <v>Error?</v>
      </c>
    </row>
    <row r="3381" spans="1:4" x14ac:dyDescent="0.2">
      <c r="A3381" s="5">
        <v>3320</v>
      </c>
      <c r="B3381" s="1832">
        <f>'Expenditures 15-22'!K19</f>
        <v>2847</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37786</v>
      </c>
      <c r="D3387" s="2" t="str">
        <f t="shared" si="51"/>
        <v>Error?</v>
      </c>
    </row>
    <row r="3388" spans="1:4" x14ac:dyDescent="0.2">
      <c r="A3388" s="5">
        <v>3327</v>
      </c>
      <c r="B3388" s="1832">
        <f>'Expenditures 15-22'!D217</f>
        <v>47566</v>
      </c>
      <c r="D3388" s="2" t="str">
        <f t="shared" si="51"/>
        <v>Error?</v>
      </c>
    </row>
    <row r="3389" spans="1:4" x14ac:dyDescent="0.2">
      <c r="A3389" s="5">
        <v>3328</v>
      </c>
      <c r="B3389" s="1832">
        <f>'Expenditures 15-22'!D228</f>
        <v>37</v>
      </c>
      <c r="D3389" s="2" t="str">
        <f t="shared" si="51"/>
        <v>Error?</v>
      </c>
    </row>
    <row r="3390" spans="1:4" x14ac:dyDescent="0.2">
      <c r="A3390" s="5">
        <v>3329</v>
      </c>
      <c r="B3390" s="1832">
        <f>'Expenditures 15-22'!K215</f>
        <v>37786</v>
      </c>
      <c r="C3390" s="2" t="s">
        <v>569</v>
      </c>
      <c r="D3390" s="2" t="str">
        <f t="shared" si="51"/>
        <v>Error?</v>
      </c>
    </row>
    <row r="3391" spans="1:4" x14ac:dyDescent="0.2">
      <c r="A3391" s="5">
        <v>3330</v>
      </c>
      <c r="B3391" s="1832">
        <f>'Expenditures 15-22'!K217</f>
        <v>47566</v>
      </c>
      <c r="C3391" s="2" t="s">
        <v>569</v>
      </c>
      <c r="D3391" s="2" t="str">
        <f t="shared" ref="D3391:D3454" si="52">IF(ISBLANK(B3391),"OK",IF(A3391-B3391=0,"OK","Error?"))</f>
        <v>Error?</v>
      </c>
    </row>
    <row r="3392" spans="1:4" x14ac:dyDescent="0.2">
      <c r="A3392" s="5">
        <v>3331</v>
      </c>
      <c r="B3392" s="1832">
        <f>'Expenditures 15-22'!K228</f>
        <v>37</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1743862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75711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834226</v>
      </c>
      <c r="D3417" s="2" t="str">
        <f t="shared" si="52"/>
        <v>Error?</v>
      </c>
    </row>
    <row r="3418" spans="1:4" x14ac:dyDescent="0.2">
      <c r="A3418" s="10">
        <v>3357</v>
      </c>
      <c r="B3418" s="1832"/>
      <c r="D3418" s="2" t="str">
        <f t="shared" si="52"/>
        <v>OK</v>
      </c>
    </row>
    <row r="3419" spans="1:4" x14ac:dyDescent="0.2">
      <c r="A3419" s="5">
        <v>3358</v>
      </c>
      <c r="B3419" s="1832">
        <f>'Assets-Liab 5-6'!F4</f>
        <v>228035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69226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549949</v>
      </c>
      <c r="D3425" s="2" t="str">
        <f t="shared" si="52"/>
        <v>Error?</v>
      </c>
    </row>
    <row r="3426" spans="1:4" x14ac:dyDescent="0.2">
      <c r="A3426" s="10">
        <v>3365</v>
      </c>
      <c r="B3426" s="1832"/>
      <c r="D3426" s="2" t="str">
        <f t="shared" si="52"/>
        <v>OK</v>
      </c>
    </row>
    <row r="3427" spans="1:4" x14ac:dyDescent="0.2">
      <c r="A3427" s="5">
        <v>3366</v>
      </c>
      <c r="B3427" s="1832">
        <f>'Assets-Liab 5-6'!I4</f>
        <v>323246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220464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80413</v>
      </c>
      <c r="C3446" s="2" t="s">
        <v>569</v>
      </c>
      <c r="D3446" s="2" t="str">
        <f t="shared" si="52"/>
        <v>Error?</v>
      </c>
    </row>
    <row r="3447" spans="1:4" x14ac:dyDescent="0.2">
      <c r="A3447" s="5">
        <v>3386</v>
      </c>
      <c r="B3447" s="1832">
        <f>'Tax Sched 23'!D16</f>
        <v>80413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80566</v>
      </c>
      <c r="C3449" s="2" t="s">
        <v>569</v>
      </c>
      <c r="D3449" s="2" t="str">
        <f t="shared" si="52"/>
        <v>Error?</v>
      </c>
    </row>
    <row r="3450" spans="1:4" x14ac:dyDescent="0.2">
      <c r="A3450" s="5">
        <v>3389</v>
      </c>
      <c r="B3450" s="1832">
        <f>'Tax Sched 23'!E16</f>
        <v>80566</v>
      </c>
      <c r="D3450" s="2" t="str">
        <f t="shared" si="52"/>
        <v>Error?</v>
      </c>
    </row>
    <row r="3451" spans="1:4" x14ac:dyDescent="0.2">
      <c r="A3451" s="5">
        <v>3390</v>
      </c>
      <c r="B3451" s="1832">
        <f>'Cap Outlay Deprec 26'!C15</f>
        <v>235642</v>
      </c>
      <c r="D3451" s="2" t="str">
        <f t="shared" si="52"/>
        <v>Error?</v>
      </c>
    </row>
    <row r="3452" spans="1:4" x14ac:dyDescent="0.2">
      <c r="A3452" s="5">
        <v>3391</v>
      </c>
      <c r="B3452" s="1832">
        <f>'Cap Outlay Deprec 26'!D15</f>
        <v>1085972</v>
      </c>
      <c r="D3452" s="2" t="str">
        <f t="shared" si="52"/>
        <v>Error?</v>
      </c>
    </row>
    <row r="3453" spans="1:4" x14ac:dyDescent="0.2">
      <c r="A3453" s="5">
        <v>3392</v>
      </c>
      <c r="B3453" s="1832">
        <f>'Cap Outlay Deprec 26'!E15</f>
        <v>432423</v>
      </c>
      <c r="D3453" s="2" t="str">
        <f t="shared" si="52"/>
        <v>Error?</v>
      </c>
    </row>
    <row r="3454" spans="1:4" x14ac:dyDescent="0.2">
      <c r="A3454" s="5">
        <v>3393</v>
      </c>
      <c r="B3454" s="1832">
        <f>'Cap Outlay Deprec 26'!F15</f>
        <v>889191</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889191</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535875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535875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535875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535875</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749016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749016</v>
      </c>
      <c r="C3575" s="2" t="s">
        <v>569</v>
      </c>
      <c r="D3575" s="2" t="str">
        <f t="shared" si="54"/>
        <v>Error?</v>
      </c>
    </row>
    <row r="3576" spans="1:4" x14ac:dyDescent="0.2">
      <c r="A3576" s="5">
        <v>3515</v>
      </c>
      <c r="B3576" s="1832">
        <f>'Acct Summary 7-8'!K20</f>
        <v>-749016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1110000</v>
      </c>
      <c r="D3579" s="2" t="str">
        <f t="shared" si="54"/>
        <v>Error?</v>
      </c>
    </row>
    <row r="3580" spans="1:4" x14ac:dyDescent="0.2">
      <c r="A3580" s="5">
        <v>3519</v>
      </c>
      <c r="B3580" s="1832">
        <f>'Acct Summary 7-8'!K34</f>
        <v>152009</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4367</v>
      </c>
      <c r="D3583" s="2" t="str">
        <f t="shared" ref="D3583:D3646" si="55">IF(ISBLANK(B3583),"OK",IF(A3583-B3583=0,"OK","Error?"))</f>
        <v>Error?</v>
      </c>
    </row>
    <row r="3584" spans="1:4" x14ac:dyDescent="0.2">
      <c r="A3584" s="5">
        <v>3523</v>
      </c>
      <c r="B3584" s="1832">
        <f>'Acct Summary 7-8'!K44</f>
        <v>1266376</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1266376</v>
      </c>
      <c r="C3587" s="2" t="s">
        <v>569</v>
      </c>
      <c r="D3587" s="2" t="str">
        <f t="shared" si="55"/>
        <v>Error?</v>
      </c>
    </row>
    <row r="3588" spans="1:4" x14ac:dyDescent="0.2">
      <c r="A3588" s="5">
        <v>3527</v>
      </c>
      <c r="B3588" s="1832">
        <f>'Acct Summary 7-8'!K78</f>
        <v>517360</v>
      </c>
      <c r="C3588" s="2" t="s">
        <v>569</v>
      </c>
      <c r="D3588" s="2" t="str">
        <f t="shared" si="55"/>
        <v>Error?</v>
      </c>
    </row>
    <row r="3589" spans="1:4" x14ac:dyDescent="0.2">
      <c r="A3589" s="5">
        <v>3528</v>
      </c>
      <c r="B3589" s="1832">
        <f>'Acct Summary 7-8'!K79</f>
        <v>18515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535875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6548</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6548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6548</v>
      </c>
      <c r="C3635" s="2" t="s">
        <v>569</v>
      </c>
      <c r="D3635" s="2" t="str">
        <f t="shared" si="55"/>
        <v>Error?</v>
      </c>
    </row>
    <row r="3636" spans="1:4" x14ac:dyDescent="0.2">
      <c r="A3636" s="5">
        <v>3575</v>
      </c>
      <c r="B3636" s="1832">
        <f>'Expenditures 15-22'!E367</f>
        <v>6548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742468</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742468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742468</v>
      </c>
      <c r="C3649" s="2" t="s">
        <v>569</v>
      </c>
      <c r="D3649" s="2" t="str">
        <f t="shared" si="56"/>
        <v>Error?</v>
      </c>
    </row>
    <row r="3650" spans="1:4" x14ac:dyDescent="0.2">
      <c r="A3650" s="5">
        <v>3589</v>
      </c>
      <c r="B3650" s="1832">
        <f>'Expenditures 15-22'!G367</f>
        <v>742468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749016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749016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749016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749016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-749016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204569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3238179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11096828</v>
      </c>
      <c r="C4122" s="2" t="s">
        <v>569</v>
      </c>
      <c r="D4122" s="2" t="str">
        <f t="shared" si="63"/>
        <v>Error?</v>
      </c>
    </row>
    <row r="4123" spans="1:4" x14ac:dyDescent="0.2">
      <c r="A4123" s="5">
        <v>4062</v>
      </c>
      <c r="B4123" s="1832">
        <f>'Acct Summary 7-8'!D10</f>
        <v>716244</v>
      </c>
      <c r="C4123" s="2" t="s">
        <v>569</v>
      </c>
      <c r="D4123" s="2" t="str">
        <f t="shared" si="63"/>
        <v>Error?</v>
      </c>
    </row>
    <row r="4124" spans="1:4" x14ac:dyDescent="0.2">
      <c r="A4124" s="5">
        <v>4063</v>
      </c>
      <c r="B4124" s="1832">
        <f>'Acct Summary 7-8'!E10</f>
        <v>919139</v>
      </c>
      <c r="C4124" s="2" t="s">
        <v>569</v>
      </c>
      <c r="D4124" s="2" t="str">
        <f t="shared" si="63"/>
        <v>Error?</v>
      </c>
    </row>
    <row r="4125" spans="1:4" x14ac:dyDescent="0.2">
      <c r="A4125" s="5">
        <v>4064</v>
      </c>
      <c r="B4125" s="1832">
        <f>'Acct Summary 7-8'!F10</f>
        <v>754174</v>
      </c>
      <c r="C4125" s="2" t="s">
        <v>569</v>
      </c>
      <c r="D4125" s="2" t="str">
        <f t="shared" si="63"/>
        <v>Error?</v>
      </c>
    </row>
    <row r="4126" spans="1:4" x14ac:dyDescent="0.2">
      <c r="A4126" s="5">
        <v>4065</v>
      </c>
      <c r="B4126" s="1832">
        <f>'Acct Summary 7-8'!G10</f>
        <v>264525</v>
      </c>
      <c r="C4126" s="2" t="s">
        <v>569</v>
      </c>
      <c r="D4126" s="2" t="str">
        <f t="shared" si="63"/>
        <v>Error?</v>
      </c>
    </row>
    <row r="4127" spans="1:4" x14ac:dyDescent="0.2">
      <c r="A4127" s="5">
        <v>4066</v>
      </c>
      <c r="B4127" s="1832">
        <f>'Acct Summary 7-8'!H10</f>
        <v>108224</v>
      </c>
      <c r="C4127" s="2" t="s">
        <v>569</v>
      </c>
      <c r="D4127" s="2" t="str">
        <f t="shared" si="63"/>
        <v>Error?</v>
      </c>
    </row>
    <row r="4128" spans="1:4" x14ac:dyDescent="0.2">
      <c r="A4128" s="5">
        <v>4067</v>
      </c>
      <c r="B4128" s="1832">
        <f>'Acct Summary 7-8'!I10</f>
        <v>43804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3238179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10652876</v>
      </c>
      <c r="C4136" s="2" t="s">
        <v>569</v>
      </c>
      <c r="D4136" s="2" t="str">
        <f t="shared" si="63"/>
        <v>Error?</v>
      </c>
    </row>
    <row r="4137" spans="1:4" x14ac:dyDescent="0.2">
      <c r="A4137" s="5">
        <v>4076</v>
      </c>
      <c r="B4137" s="1832">
        <f>'Acct Summary 7-8'!D19</f>
        <v>712365</v>
      </c>
      <c r="C4137" s="2" t="s">
        <v>569</v>
      </c>
      <c r="D4137" s="2" t="str">
        <f t="shared" si="63"/>
        <v>Error?</v>
      </c>
    </row>
    <row r="4138" spans="1:4" x14ac:dyDescent="0.2">
      <c r="A4138" s="5">
        <v>4077</v>
      </c>
      <c r="B4138" s="1832">
        <f>'Acct Summary 7-8'!E19</f>
        <v>3219555</v>
      </c>
      <c r="C4138" s="2" t="s">
        <v>569</v>
      </c>
      <c r="D4138" s="2" t="str">
        <f t="shared" si="63"/>
        <v>Error?</v>
      </c>
    </row>
    <row r="4139" spans="1:4" x14ac:dyDescent="0.2">
      <c r="A4139" s="5">
        <v>4078</v>
      </c>
      <c r="B4139" s="1832">
        <f>'Acct Summary 7-8'!F19</f>
        <v>620600</v>
      </c>
      <c r="C4139" s="2" t="s">
        <v>569</v>
      </c>
      <c r="D4139" s="2" t="str">
        <f t="shared" si="63"/>
        <v>Error?</v>
      </c>
    </row>
    <row r="4140" spans="1:4" x14ac:dyDescent="0.2">
      <c r="A4140" s="5">
        <v>4079</v>
      </c>
      <c r="B4140" s="1832">
        <f>'Acct Summary 7-8'!G19</f>
        <v>255684</v>
      </c>
      <c r="C4140" s="2" t="s">
        <v>569</v>
      </c>
      <c r="D4140" s="2" t="str">
        <f t="shared" si="63"/>
        <v>Error?</v>
      </c>
    </row>
    <row r="4141" spans="1:4" x14ac:dyDescent="0.2">
      <c r="A4141" s="5">
        <v>4080</v>
      </c>
      <c r="B4141" s="1832">
        <f>'Acct Summary 7-8'!H19</f>
        <v>616807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749016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7480000</v>
      </c>
      <c r="C4171" s="2" t="s">
        <v>569</v>
      </c>
      <c r="D4171" s="2" t="str">
        <f t="shared" si="64"/>
        <v>Error?</v>
      </c>
    </row>
    <row r="4172" spans="1:4" x14ac:dyDescent="0.2">
      <c r="A4172" s="5">
        <v>4111</v>
      </c>
      <c r="B4172" s="1832">
        <f>'Short-Term Long-Term Debt 24'!J49</f>
        <v>6645774</v>
      </c>
      <c r="C4172" s="2" t="s">
        <v>569</v>
      </c>
      <c r="D4172" s="2" t="str">
        <f t="shared" si="64"/>
        <v>Error?</v>
      </c>
    </row>
    <row r="4173" spans="1:4" x14ac:dyDescent="0.2">
      <c r="A4173" s="5">
        <v>4112</v>
      </c>
      <c r="B4173" s="1832">
        <f>'Short-Term Long-Term Debt 24'!H49</f>
        <v>2825000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1689.9999999999998</v>
      </c>
      <c r="C4265" s="2" t="s">
        <v>569</v>
      </c>
      <c r="D4265" s="2" t="str">
        <f t="shared" si="65"/>
        <v>Error?</v>
      </c>
      <c r="E4265" s="125"/>
    </row>
    <row r="4266" spans="1:5" x14ac:dyDescent="0.2">
      <c r="A4266" s="12">
        <v>4205</v>
      </c>
      <c r="B4266" s="1832">
        <f>('FP Info 3'!F10)*100000</f>
        <v>449.99999999999994</v>
      </c>
      <c r="C4266" s="2" t="s">
        <v>569</v>
      </c>
      <c r="D4266" s="2" t="str">
        <f t="shared" si="65"/>
        <v>Error?</v>
      </c>
      <c r="E4266" s="125"/>
    </row>
    <row r="4267" spans="1:5" x14ac:dyDescent="0.2">
      <c r="A4267" s="12">
        <v>4206</v>
      </c>
      <c r="B4267" s="1832">
        <f>('FP Info 3'!H10)*100000</f>
        <v>180</v>
      </c>
      <c r="C4267" s="2" t="s">
        <v>569</v>
      </c>
      <c r="D4267" s="2" t="str">
        <f t="shared" si="65"/>
        <v>Error?</v>
      </c>
      <c r="E4267" s="125"/>
    </row>
    <row r="4268" spans="1:5" x14ac:dyDescent="0.2">
      <c r="A4268" s="12">
        <v>4207</v>
      </c>
      <c r="B4268" s="1832">
        <f>('FP Info 3'!J10)*100000</f>
        <v>2320</v>
      </c>
      <c r="C4268" s="2" t="s">
        <v>569</v>
      </c>
      <c r="D4268" s="2" t="str">
        <f t="shared" si="65"/>
        <v>Error?</v>
      </c>
    </row>
    <row r="4269" spans="1:5" x14ac:dyDescent="0.2">
      <c r="A4269" s="12">
        <v>4208</v>
      </c>
      <c r="B4269" s="1832">
        <f>'FP Info 3'!J16</f>
        <v>2374330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2080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13365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29273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5297</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419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958</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104333207</v>
      </c>
      <c r="D4995" s="2" t="str">
        <f t="shared" si="77"/>
        <v>Error?</v>
      </c>
    </row>
    <row r="4996" spans="1:4" x14ac:dyDescent="0.2">
      <c r="A4996" s="12">
        <v>4935</v>
      </c>
      <c r="B4996" s="1832">
        <f>'FP Info 3'!H31</f>
        <v>14397982.566000002</v>
      </c>
      <c r="D4996" s="2" t="str">
        <f t="shared" si="77"/>
        <v>Error?</v>
      </c>
    </row>
    <row r="4997" spans="1:4" x14ac:dyDescent="0.2">
      <c r="A4997" s="12">
        <v>4936</v>
      </c>
      <c r="B4997" s="1832">
        <f>'FP Info 3'!H37</f>
        <v>7480000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1707434</v>
      </c>
      <c r="D5061" s="2" t="str">
        <f t="shared" si="78"/>
        <v>Error?</v>
      </c>
    </row>
    <row r="5062" spans="1:4" x14ac:dyDescent="0.2">
      <c r="A5062" s="10">
        <v>5001</v>
      </c>
      <c r="B5062" s="1832"/>
      <c r="D5062" s="2" t="str">
        <f t="shared" si="78"/>
        <v>OK</v>
      </c>
    </row>
    <row r="5063" spans="1:4" x14ac:dyDescent="0.2">
      <c r="A5063" s="5">
        <v>5002</v>
      </c>
      <c r="B5063" s="1832">
        <f>'Revenues 9-14'!C7</f>
        <v>39726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1747160</v>
      </c>
      <c r="C5066" s="2" t="s">
        <v>569</v>
      </c>
      <c r="D5066" s="2" t="str">
        <f t="shared" si="78"/>
        <v>Error?</v>
      </c>
    </row>
    <row r="5067" spans="1:4" x14ac:dyDescent="0.2">
      <c r="A5067" s="5">
        <v>5006</v>
      </c>
      <c r="B5067" s="1832">
        <f>'Revenues 9-14'!C14</f>
        <v>6052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199260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205312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9809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9809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7361</v>
      </c>
      <c r="D5094" s="2" t="str">
        <f t="shared" si="78"/>
        <v>Error?</v>
      </c>
    </row>
    <row r="5095" spans="1:4" x14ac:dyDescent="0.2">
      <c r="A5095" s="5">
        <v>5034</v>
      </c>
      <c r="B5095" s="1832">
        <f>'Revenues 9-14'!C74</f>
        <v>9834</v>
      </c>
      <c r="D5095" s="2" t="str">
        <f t="shared" si="78"/>
        <v>Error?</v>
      </c>
    </row>
    <row r="5096" spans="1:4" x14ac:dyDescent="0.2">
      <c r="A5096" s="5">
        <v>5035</v>
      </c>
      <c r="B5096" s="1832">
        <f>'Revenues 9-14'!C75</f>
        <v>151123</v>
      </c>
      <c r="C5096" s="2" t="s">
        <v>569</v>
      </c>
      <c r="D5096" s="2" t="str">
        <f t="shared" si="78"/>
        <v>Error?</v>
      </c>
    </row>
    <row r="5097" spans="1:4" x14ac:dyDescent="0.2">
      <c r="A5097" s="5">
        <v>5036</v>
      </c>
      <c r="B5097" s="1832">
        <f>'Revenues 9-14'!C77</f>
        <v>31265</v>
      </c>
      <c r="D5097" s="2" t="str">
        <f t="shared" si="78"/>
        <v>Error?</v>
      </c>
    </row>
    <row r="5098" spans="1:4" x14ac:dyDescent="0.2">
      <c r="A5098" s="5">
        <v>5037</v>
      </c>
      <c r="B5098" s="1832">
        <f>'Revenues 9-14'!C78</f>
        <v>12544</v>
      </c>
      <c r="D5098" s="2" t="str">
        <f t="shared" si="78"/>
        <v>Error?</v>
      </c>
    </row>
    <row r="5099" spans="1:4" x14ac:dyDescent="0.2">
      <c r="A5099" s="5">
        <v>5038</v>
      </c>
      <c r="B5099" s="1832">
        <f>'Revenues 9-14'!C79</f>
        <v>28109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71918</v>
      </c>
      <c r="C5102" s="2" t="s">
        <v>569</v>
      </c>
      <c r="D5102" s="2" t="str">
        <f t="shared" si="78"/>
        <v>Error?</v>
      </c>
    </row>
    <row r="5103" spans="1:4" x14ac:dyDescent="0.2">
      <c r="A5103" s="5">
        <v>5042</v>
      </c>
      <c r="B5103" s="1832">
        <f>'Revenues 9-14'!C84</f>
        <v>32586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32586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24000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33224</v>
      </c>
      <c r="D5118" s="2" t="str">
        <f t="shared" si="78"/>
        <v>Error?</v>
      </c>
    </row>
    <row r="5119" spans="1:4" x14ac:dyDescent="0.2">
      <c r="A5119" s="5">
        <v>5058</v>
      </c>
      <c r="B5119" s="1832">
        <f>'Revenues 9-14'!C107</f>
        <v>2050</v>
      </c>
      <c r="D5119" s="2" t="str">
        <f t="shared" ref="D5119:D5182" si="79">IF(ISBLANK(B5119),"OK",IF(A5119-B5119=0,"OK","Error?"))</f>
        <v>Error?</v>
      </c>
    </row>
    <row r="5120" spans="1:4" x14ac:dyDescent="0.2">
      <c r="A5120" s="5">
        <v>5059</v>
      </c>
      <c r="B5120" s="1832">
        <f>'Revenues 9-14'!C108</f>
        <v>59274</v>
      </c>
      <c r="C5120" s="2" t="s">
        <v>569</v>
      </c>
      <c r="D5120" s="2" t="str">
        <f t="shared" si="79"/>
        <v>Error?</v>
      </c>
    </row>
    <row r="5121" spans="1:4" x14ac:dyDescent="0.2">
      <c r="A5121" s="5">
        <v>5060</v>
      </c>
      <c r="B5121" s="1832">
        <f>'Revenues 9-14'!C109</f>
        <v>2277182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4342343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4342343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6324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6324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4576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22465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2890</v>
      </c>
      <c r="D5167" s="2" t="str">
        <f t="shared" si="79"/>
        <v>Error?</v>
      </c>
    </row>
    <row r="5168" spans="1:4" x14ac:dyDescent="0.2">
      <c r="A5168" s="5">
        <v>5107</v>
      </c>
      <c r="B5168" s="1832">
        <f>'Revenues 9-14'!C148</f>
        <v>11900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384853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429390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4771733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171081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31145</v>
      </c>
      <c r="D5241" s="2" t="str">
        <f t="shared" si="80"/>
        <v>Error?</v>
      </c>
    </row>
    <row r="5242" spans="1:4" x14ac:dyDescent="0.2">
      <c r="A5242" s="5">
        <v>5181</v>
      </c>
      <c r="B5242" s="1832">
        <f>'Revenues 9-14'!C194</f>
        <v>38591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240817</v>
      </c>
      <c r="C5246" s="2" t="s">
        <v>569</v>
      </c>
      <c r="D5246" s="2" t="str">
        <f t="shared" si="80"/>
        <v>Error?</v>
      </c>
    </row>
    <row r="5247" spans="1:4" x14ac:dyDescent="0.2">
      <c r="A5247" s="5">
        <v>5186</v>
      </c>
      <c r="B5247" s="1832">
        <f>'Revenues 9-14'!C200</f>
        <v>267588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267588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243071</v>
      </c>
      <c r="D5278" s="2" t="str">
        <f t="shared" si="81"/>
        <v>Error?</v>
      </c>
    </row>
    <row r="5279" spans="1:4" x14ac:dyDescent="0.2">
      <c r="A5279" s="5">
        <v>5218</v>
      </c>
      <c r="B5279" s="1832">
        <f>'Revenues 9-14'!C214</f>
        <v>13540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256611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2080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809734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809734</v>
      </c>
      <c r="C5326" s="2" t="s">
        <v>569</v>
      </c>
      <c r="D5326" s="2" t="str">
        <f t="shared" si="82"/>
        <v>Error?</v>
      </c>
    </row>
    <row r="5327" spans="1:5" x14ac:dyDescent="0.2">
      <c r="A5327" s="5">
        <v>5266</v>
      </c>
      <c r="B5327" s="1832">
        <f>'Revenues 9-14'!C268</f>
        <v>7858649</v>
      </c>
      <c r="C5327" s="2" t="s">
        <v>569</v>
      </c>
      <c r="D5327" s="2" t="str">
        <f t="shared" si="82"/>
        <v>Error?</v>
      </c>
    </row>
    <row r="5328" spans="1:5" x14ac:dyDescent="0.2">
      <c r="A5328" s="5">
        <v>5267</v>
      </c>
      <c r="B5328" s="1832">
        <f>'Revenues 9-14'!D5</f>
        <v>464441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464441</v>
      </c>
      <c r="C5334" s="2" t="s">
        <v>569</v>
      </c>
      <c r="D5334" s="2" t="str">
        <f t="shared" si="82"/>
        <v>Error?</v>
      </c>
    </row>
    <row r="5335" spans="1:4" x14ac:dyDescent="0.2">
      <c r="A5335" s="5">
        <v>5274</v>
      </c>
      <c r="B5335" s="1832">
        <f>'Revenues 9-14'!D14</f>
        <v>1609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1609</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194</v>
      </c>
      <c r="D5354" s="2" t="str">
        <f t="shared" si="82"/>
        <v>Error?</v>
      </c>
    </row>
    <row r="5355" spans="1:4" x14ac:dyDescent="0.2">
      <c r="A5355" s="5">
        <v>5294</v>
      </c>
      <c r="B5355" s="1832">
        <f>'Revenues 9-14'!D108</f>
        <v>194</v>
      </c>
      <c r="C5355" s="2" t="s">
        <v>569</v>
      </c>
      <c r="D5355" s="2" t="str">
        <f t="shared" si="82"/>
        <v>Error?</v>
      </c>
    </row>
    <row r="5356" spans="1:4" x14ac:dyDescent="0.2">
      <c r="A5356" s="5">
        <v>5295</v>
      </c>
      <c r="B5356" s="1832">
        <f>'Revenues 9-14'!D109</f>
        <v>466244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716244</v>
      </c>
      <c r="C5508" s="2" t="s">
        <v>569</v>
      </c>
      <c r="D5508" s="2" t="str">
        <f t="shared" si="85"/>
        <v>Error?</v>
      </c>
    </row>
    <row r="5509" spans="1:4" x14ac:dyDescent="0.2">
      <c r="A5509" s="5">
        <v>5448</v>
      </c>
      <c r="B5509" s="1832">
        <f>'Revenues 9-14'!E5</f>
        <v>319806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319806</v>
      </c>
      <c r="C5513" s="2" t="s">
        <v>569</v>
      </c>
      <c r="D5513" s="2" t="str">
        <f t="shared" si="85"/>
        <v>Error?</v>
      </c>
    </row>
    <row r="5514" spans="1:4" x14ac:dyDescent="0.2">
      <c r="A5514" s="5">
        <v>5453</v>
      </c>
      <c r="B5514" s="1832">
        <f>'Revenues 9-14'!E14</f>
        <v>1108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1108</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598225</v>
      </c>
      <c r="C5526" s="2" t="s">
        <v>569</v>
      </c>
      <c r="D5526" s="2" t="str">
        <f t="shared" si="85"/>
        <v>Error?</v>
      </c>
    </row>
    <row r="5527" spans="1:4" x14ac:dyDescent="0.2">
      <c r="A5527" s="5">
        <v>5466</v>
      </c>
      <c r="B5527" s="1832">
        <f>'Revenues 9-14'!E109</f>
        <v>919139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919139</v>
      </c>
      <c r="C5552" s="2" t="s">
        <v>569</v>
      </c>
      <c r="D5552" s="2" t="str">
        <f t="shared" si="85"/>
        <v>Error?</v>
      </c>
    </row>
    <row r="5553" spans="1:4" x14ac:dyDescent="0.2">
      <c r="A5553" s="5">
        <v>5492</v>
      </c>
      <c r="B5553" s="1832">
        <f>'Revenues 9-14'!F5</f>
        <v>185839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185839</v>
      </c>
      <c r="C5557" s="2" t="s">
        <v>569</v>
      </c>
      <c r="D5557" s="2" t="str">
        <f t="shared" si="85"/>
        <v>Error?</v>
      </c>
    </row>
    <row r="5558" spans="1:4" x14ac:dyDescent="0.2">
      <c r="A5558" s="5">
        <v>5497</v>
      </c>
      <c r="B5558" s="1832">
        <f>'Revenues 9-14'!F14</f>
        <v>644</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644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186483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298614</v>
      </c>
      <c r="D5615" s="2" t="str">
        <f t="shared" si="86"/>
        <v>Error?</v>
      </c>
    </row>
    <row r="5616" spans="1:4" x14ac:dyDescent="0.2">
      <c r="A5616" s="10">
        <v>5555</v>
      </c>
      <c r="B5616" s="1832"/>
      <c r="D5616" s="2" t="str">
        <f t="shared" si="86"/>
        <v>OK</v>
      </c>
    </row>
    <row r="5617" spans="1:5" x14ac:dyDescent="0.2">
      <c r="A5617" s="5">
        <v>5556</v>
      </c>
      <c r="B5617" s="1832">
        <f>'Revenues 9-14'!F153</f>
        <v>69077</v>
      </c>
      <c r="D5617" s="2" t="str">
        <f t="shared" si="86"/>
        <v>Error?</v>
      </c>
    </row>
    <row r="5618" spans="1:5" x14ac:dyDescent="0.2">
      <c r="A5618" s="5">
        <v>5557</v>
      </c>
      <c r="B5618" s="1832">
        <f>'Revenues 9-14'!F155</f>
        <v>367691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367691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567691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754174</v>
      </c>
      <c r="C5720" s="2" t="s">
        <v>569</v>
      </c>
      <c r="D5720" s="2" t="str">
        <f t="shared" si="88"/>
        <v>Error?</v>
      </c>
    </row>
    <row r="5721" spans="1:4" x14ac:dyDescent="0.2">
      <c r="A5721" s="5">
        <v>5660</v>
      </c>
      <c r="B5721" s="1832">
        <f>'Revenues 9-14'!G5</f>
        <v>119124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80413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199537</v>
      </c>
      <c r="C5725" s="2" t="s">
        <v>569</v>
      </c>
      <c r="D5725" s="2" t="str">
        <f t="shared" si="88"/>
        <v>Error?</v>
      </c>
    </row>
    <row r="5726" spans="1:4" x14ac:dyDescent="0.2">
      <c r="A5726" s="5">
        <v>5665</v>
      </c>
      <c r="B5726" s="1832">
        <f>'Revenues 9-14'!G14</f>
        <v>691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9691</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50000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50000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50000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5297</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5297</v>
      </c>
      <c r="C5869" s="2" t="s">
        <v>569</v>
      </c>
      <c r="D5869" s="2" t="str">
        <f t="shared" si="90"/>
        <v>Error?</v>
      </c>
    </row>
    <row r="5870" spans="1:4" x14ac:dyDescent="0.2">
      <c r="A5870" s="5">
        <v>5809</v>
      </c>
      <c r="B5870" s="1832">
        <f>'Revenues 9-14'!G268</f>
        <v>264525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58224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108224</v>
      </c>
      <c r="C5915" s="2" t="s">
        <v>569</v>
      </c>
      <c r="D5915" s="2" t="str">
        <f t="shared" si="91"/>
        <v>Error?</v>
      </c>
    </row>
    <row r="5916" spans="1:4" x14ac:dyDescent="0.2">
      <c r="A5916" s="5">
        <v>5855</v>
      </c>
      <c r="B5916" s="1832">
        <f>'Revenues 9-14'!I5</f>
        <v>43653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43653</v>
      </c>
      <c r="C5918" s="2" t="s">
        <v>569</v>
      </c>
      <c r="D5918" s="2" t="str">
        <f t="shared" si="91"/>
        <v>Error?</v>
      </c>
    </row>
    <row r="5919" spans="1:4" x14ac:dyDescent="0.2">
      <c r="A5919" s="5">
        <v>5858</v>
      </c>
      <c r="B5919" s="1832">
        <f>'Revenues 9-14'!I14</f>
        <v>151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151</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43804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209228</v>
      </c>
      <c r="C6024" s="2" t="s">
        <v>569</v>
      </c>
      <c r="D6024" s="2" t="str">
        <f t="shared" si="93"/>
        <v>Error?</v>
      </c>
    </row>
    <row r="6025" spans="1:5" x14ac:dyDescent="0.2">
      <c r="A6025" s="5">
        <v>5964</v>
      </c>
      <c r="B6025" s="1832">
        <f>'Revenues 9-14'!H109</f>
        <v>58224</v>
      </c>
      <c r="C6025" s="2" t="s">
        <v>569</v>
      </c>
      <c r="D6025" s="2" t="str">
        <f t="shared" si="93"/>
        <v>Error?</v>
      </c>
    </row>
    <row r="6026" spans="1:5" x14ac:dyDescent="0.2">
      <c r="A6026" s="5">
        <v>5965</v>
      </c>
      <c r="B6026" s="1832">
        <f>'Revenues 9-14'!I109</f>
        <v>43804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133928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38899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918.6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46851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46851</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46851</v>
      </c>
      <c r="D6216" s="2" t="str">
        <f t="shared" si="96"/>
        <v>Error?</v>
      </c>
      <c r="E6216" s="2" t="s">
        <v>189</v>
      </c>
    </row>
    <row r="6217" spans="1:5" x14ac:dyDescent="0.2">
      <c r="A6217">
        <v>6156</v>
      </c>
      <c r="B6217" s="1832">
        <f>'Assets-Liab 5-6'!J4</f>
        <v>46851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119537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119537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119537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140165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140165</v>
      </c>
      <c r="D6229" s="2" t="str">
        <f t="shared" si="96"/>
        <v>Error?</v>
      </c>
      <c r="E6229" s="2" t="s">
        <v>189</v>
      </c>
    </row>
    <row r="6230" spans="1:5" x14ac:dyDescent="0.2">
      <c r="A6230">
        <v>6169</v>
      </c>
      <c r="B6230" s="1832">
        <f>'Acct Summary 7-8'!J20</f>
        <v>-20628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-20628</v>
      </c>
      <c r="D6263" s="2" t="str">
        <f t="shared" si="96"/>
        <v>Error?</v>
      </c>
      <c r="E6263" s="2" t="s">
        <v>189</v>
      </c>
    </row>
    <row r="6264" spans="1:5" x14ac:dyDescent="0.2">
      <c r="A6264">
        <v>6203</v>
      </c>
      <c r="B6264" s="1832">
        <f>'Acct Summary 7-8'!J79</f>
        <v>67479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46851</v>
      </c>
      <c r="D6266" s="2" t="str">
        <f t="shared" si="96"/>
        <v>Error?</v>
      </c>
      <c r="E6266" s="2" t="s">
        <v>189</v>
      </c>
    </row>
    <row r="6267" spans="1:5" x14ac:dyDescent="0.2">
      <c r="A6267">
        <v>6206</v>
      </c>
      <c r="B6267" s="1832">
        <f>'Acct Summary 7-8'!C82</f>
        <v>443952</v>
      </c>
      <c r="D6267" s="2" t="str">
        <f t="shared" si="96"/>
        <v>Error?</v>
      </c>
      <c r="E6267" s="2" t="s">
        <v>189</v>
      </c>
    </row>
    <row r="6268" spans="1:5" x14ac:dyDescent="0.2">
      <c r="A6268">
        <v>6207</v>
      </c>
      <c r="B6268" s="1832">
        <f>'Acct Summary 7-8'!D82</f>
        <v>3879</v>
      </c>
      <c r="D6268" s="2" t="str">
        <f t="shared" si="96"/>
        <v>Error?</v>
      </c>
      <c r="E6268" s="2" t="s">
        <v>189</v>
      </c>
    </row>
    <row r="6269" spans="1:5" x14ac:dyDescent="0.2">
      <c r="A6269">
        <v>6208</v>
      </c>
      <c r="B6269" s="1832">
        <f>'Acct Summary 7-8'!E82</f>
        <v>-115416</v>
      </c>
      <c r="D6269" s="2" t="str">
        <f t="shared" si="96"/>
        <v>Error?</v>
      </c>
      <c r="E6269" s="2" t="s">
        <v>189</v>
      </c>
    </row>
    <row r="6270" spans="1:5" x14ac:dyDescent="0.2">
      <c r="A6270">
        <v>6209</v>
      </c>
      <c r="B6270" s="1832">
        <f>'Acct Summary 7-8'!F82</f>
        <v>133574</v>
      </c>
      <c r="D6270" s="2" t="str">
        <f t="shared" si="96"/>
        <v>Error?</v>
      </c>
      <c r="E6270" s="2" t="s">
        <v>189</v>
      </c>
    </row>
    <row r="6271" spans="1:5" x14ac:dyDescent="0.2">
      <c r="A6271">
        <v>6210</v>
      </c>
      <c r="B6271" s="1832">
        <f>'Acct Summary 7-8'!G82</f>
        <v>8841</v>
      </c>
      <c r="D6271" s="2" t="str">
        <f t="shared" ref="D6271:D6334" si="97">IF(ISBLANK(B6271),"OK",IF(A6271-B6271=0,"OK","Error?"))</f>
        <v>Error?</v>
      </c>
      <c r="E6271" s="2" t="s">
        <v>189</v>
      </c>
    </row>
    <row r="6272" spans="1:5" x14ac:dyDescent="0.2">
      <c r="A6272">
        <v>6211</v>
      </c>
      <c r="B6272" s="1832">
        <f>'Acct Summary 7-8'!H82</f>
        <v>-508583</v>
      </c>
      <c r="D6272" s="2" t="str">
        <f t="shared" si="97"/>
        <v>Error?</v>
      </c>
      <c r="E6272" s="2" t="s">
        <v>189</v>
      </c>
    </row>
    <row r="6273" spans="1:5" x14ac:dyDescent="0.2">
      <c r="A6273">
        <v>6212</v>
      </c>
      <c r="B6273" s="1832">
        <f>'Acct Summary 7-8'!I82</f>
        <v>43804</v>
      </c>
      <c r="D6273" s="2" t="str">
        <f t="shared" si="97"/>
        <v>Error?</v>
      </c>
      <c r="E6273" s="2" t="s">
        <v>189</v>
      </c>
    </row>
    <row r="6274" spans="1:5" x14ac:dyDescent="0.2">
      <c r="A6274">
        <v>6213</v>
      </c>
      <c r="B6274" s="1832">
        <f>'Acct Summary 7-8'!J82</f>
        <v>-20628</v>
      </c>
      <c r="D6274" s="2" t="str">
        <f t="shared" si="97"/>
        <v>Error?</v>
      </c>
      <c r="E6274" s="2" t="s">
        <v>189</v>
      </c>
    </row>
    <row r="6275" spans="1:5" x14ac:dyDescent="0.2">
      <c r="A6275">
        <v>6214</v>
      </c>
      <c r="B6275" s="1832">
        <f>'Acct Summary 7-8'!K82</f>
        <v>517360</v>
      </c>
      <c r="D6275" s="2" t="str">
        <f t="shared" si="97"/>
        <v>Error?</v>
      </c>
      <c r="E6275" s="2" t="s">
        <v>189</v>
      </c>
    </row>
    <row r="6276" spans="1:5" x14ac:dyDescent="0.2">
      <c r="A6276">
        <v>6215</v>
      </c>
      <c r="B6276" s="1832">
        <f>'Acct Summary 7-8'!C83</f>
        <v>0.25423382305359815</v>
      </c>
      <c r="D6276" s="2" t="str">
        <f t="shared" si="97"/>
        <v>Error?</v>
      </c>
      <c r="E6276" s="2" t="s">
        <v>189</v>
      </c>
    </row>
    <row r="6277" spans="1:5" x14ac:dyDescent="0.2">
      <c r="A6277">
        <v>6216</v>
      </c>
      <c r="B6277" s="1832">
        <f>'Acct Summary 7-8'!D83</f>
        <v>5.0498607024761111E-2</v>
      </c>
      <c r="D6277" s="2" t="str">
        <f t="shared" si="97"/>
        <v>Error?</v>
      </c>
      <c r="E6277" s="2" t="s">
        <v>189</v>
      </c>
    </row>
    <row r="6278" spans="1:5" x14ac:dyDescent="0.2">
      <c r="A6278">
        <v>6217</v>
      </c>
      <c r="B6278" s="1832">
        <f>'Acct Summary 7-8'!E83</f>
        <v>-0.13835099841050266</v>
      </c>
      <c r="D6278" s="2" t="str">
        <f t="shared" si="97"/>
        <v>Error?</v>
      </c>
      <c r="E6278" s="2" t="s">
        <v>189</v>
      </c>
    </row>
    <row r="6279" spans="1:5" x14ac:dyDescent="0.2">
      <c r="A6279">
        <v>6218</v>
      </c>
      <c r="B6279" s="1832">
        <f>'Acct Summary 7-8'!F83</f>
        <v>0.58576095774771419</v>
      </c>
      <c r="D6279" s="2" t="str">
        <f t="shared" si="97"/>
        <v>Error?</v>
      </c>
      <c r="E6279" s="2" t="s">
        <v>189</v>
      </c>
    </row>
    <row r="6280" spans="1:5" x14ac:dyDescent="0.2">
      <c r="A6280">
        <v>6219</v>
      </c>
      <c r="B6280" s="1832">
        <f>'Acct Summary 7-8'!G83</f>
        <v>0.12771213128015485</v>
      </c>
      <c r="D6280" s="2" t="str">
        <f t="shared" si="97"/>
        <v>Error?</v>
      </c>
      <c r="E6280" s="2" t="s">
        <v>189</v>
      </c>
    </row>
    <row r="6281" spans="1:5" x14ac:dyDescent="0.2">
      <c r="A6281">
        <v>6220</v>
      </c>
      <c r="B6281" s="1832">
        <f>'Acct Summary 7-8'!H83</f>
        <v>-0.92478211615986206</v>
      </c>
      <c r="D6281" s="2" t="str">
        <f t="shared" si="97"/>
        <v>Error?</v>
      </c>
      <c r="E6281" s="2" t="s">
        <v>189</v>
      </c>
    </row>
    <row r="6282" spans="1:5" x14ac:dyDescent="0.2">
      <c r="A6282">
        <v>6221</v>
      </c>
      <c r="B6282" s="1832">
        <f>'Acct Summary 7-8'!I83</f>
        <v>0.13551289111079487</v>
      </c>
      <c r="D6282" s="2" t="str">
        <f t="shared" si="97"/>
        <v>Error?</v>
      </c>
      <c r="E6282" s="2" t="s">
        <v>189</v>
      </c>
    </row>
    <row r="6283" spans="1:5" x14ac:dyDescent="0.2">
      <c r="A6283">
        <v>6222</v>
      </c>
      <c r="B6283" s="1832">
        <f>'Acct Summary 7-8'!J83</f>
        <v>-0.44028942818723188</v>
      </c>
      <c r="D6283" s="2" t="str">
        <f t="shared" si="97"/>
        <v>Error?</v>
      </c>
      <c r="E6283" s="2" t="s">
        <v>189</v>
      </c>
    </row>
    <row r="6284" spans="1:5" x14ac:dyDescent="0.2">
      <c r="A6284">
        <v>6223</v>
      </c>
      <c r="B6284" s="1832">
        <f>'Acct Summary 7-8'!K83</f>
        <v>0.96544903195707954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119124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119124</v>
      </c>
      <c r="D6301" s="2" t="str">
        <f t="shared" si="97"/>
        <v>Error?</v>
      </c>
      <c r="E6301" s="2" t="s">
        <v>189</v>
      </c>
    </row>
    <row r="6302" spans="1:5" x14ac:dyDescent="0.2">
      <c r="A6302">
        <v>6241</v>
      </c>
      <c r="B6302" s="1832">
        <f>'Revenues 9-14'!J14</f>
        <v>413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413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119537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17889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71348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86604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64519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78232</v>
      </c>
      <c r="D6981" s="2" t="str">
        <f t="shared" si="108"/>
        <v>Error?</v>
      </c>
    </row>
    <row r="6982" spans="1:4" x14ac:dyDescent="0.2">
      <c r="A6982">
        <v>6921</v>
      </c>
      <c r="B6982" s="1832">
        <f>'Expenditures 15-22'!K85</f>
        <v>78232</v>
      </c>
      <c r="D6982" s="2" t="str">
        <f t="shared" si="108"/>
        <v>Error?</v>
      </c>
    </row>
    <row r="6983" spans="1:4" x14ac:dyDescent="0.2">
      <c r="A6983">
        <v>6922</v>
      </c>
      <c r="B6983" s="1832">
        <f>'Expenditures 15-22'!H86</f>
        <v>173880</v>
      </c>
      <c r="D6983" s="2" t="str">
        <f t="shared" si="108"/>
        <v>Error?</v>
      </c>
    </row>
    <row r="6984" spans="1:4" x14ac:dyDescent="0.2">
      <c r="A6984">
        <v>6923</v>
      </c>
      <c r="B6984" s="1832">
        <f>'Expenditures 15-22'!K86</f>
        <v>173880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47108</v>
      </c>
      <c r="D6987" s="2" t="str">
        <f t="shared" si="108"/>
        <v>Error?</v>
      </c>
    </row>
    <row r="6988" spans="1:4" x14ac:dyDescent="0.2">
      <c r="A6988">
        <v>6927</v>
      </c>
      <c r="B6988" s="1832">
        <f>'Expenditures 15-22'!K88</f>
        <v>47108</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299220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140165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119537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590</v>
      </c>
      <c r="D7079" s="2" t="str">
        <f t="shared" si="109"/>
        <v>Error?</v>
      </c>
    </row>
    <row r="7080" spans="1:4" x14ac:dyDescent="0.2">
      <c r="A7080">
        <v>7019</v>
      </c>
      <c r="B7080" s="1832">
        <f>'Expenditures 15-22'!K226</f>
        <v>590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49780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49780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4242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4242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42284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42284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43859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43859</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140165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140165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140165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140165</v>
      </c>
      <c r="D7224" s="2" t="str">
        <f t="shared" si="111"/>
        <v>Error?</v>
      </c>
    </row>
    <row r="7225" spans="1:4" x14ac:dyDescent="0.2">
      <c r="A7225">
        <v>7164</v>
      </c>
      <c r="B7225" s="1832">
        <f>'Expenditures 15-22'!K343</f>
        <v>-20628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12658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2598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44818</v>
      </c>
      <c r="D7263" s="2" t="str">
        <f t="shared" si="112"/>
        <v>Error?</v>
      </c>
    </row>
    <row r="7264" spans="1:4" x14ac:dyDescent="0.2">
      <c r="A7264">
        <f t="shared" si="113"/>
        <v>7203</v>
      </c>
      <c r="B7264" s="1832">
        <f>'Expenditures 15-22'!D17</f>
        <v>12889</v>
      </c>
      <c r="D7264" s="2" t="str">
        <f t="shared" si="112"/>
        <v>Error?</v>
      </c>
    </row>
    <row r="7265" spans="1:5" x14ac:dyDescent="0.2">
      <c r="A7265">
        <f t="shared" si="113"/>
        <v>7204</v>
      </c>
      <c r="B7265" s="1832">
        <f>'Expenditures 15-22'!E17</f>
        <v>75</v>
      </c>
      <c r="D7265" s="2" t="str">
        <f t="shared" si="112"/>
        <v>Error?</v>
      </c>
    </row>
    <row r="7266" spans="1:5" x14ac:dyDescent="0.2">
      <c r="A7266">
        <f t="shared" si="113"/>
        <v>7205</v>
      </c>
      <c r="B7266" s="1832">
        <f>'Expenditures 15-22'!F17</f>
        <v>1589</v>
      </c>
      <c r="D7266" s="2" t="str">
        <f t="shared" si="112"/>
        <v>Error?</v>
      </c>
    </row>
    <row r="7267" spans="1:5" x14ac:dyDescent="0.2">
      <c r="A7267">
        <f t="shared" si="113"/>
        <v>7206</v>
      </c>
      <c r="B7267" s="1832">
        <f>'Expenditures 15-22'!G17</f>
        <v>5148</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46597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46597</v>
      </c>
      <c r="D7618" s="2" t="str">
        <f t="shared" si="124"/>
        <v>Error?</v>
      </c>
      <c r="E7618" s="2" t="s">
        <v>19</v>
      </c>
    </row>
    <row r="7619" spans="1:5" x14ac:dyDescent="0.2">
      <c r="A7619">
        <f t="shared" si="123"/>
        <v>7558</v>
      </c>
      <c r="B7619" s="1832">
        <f>'Cap Outlay Deprec 26'!H14</f>
        <v>41880</v>
      </c>
      <c r="D7619" s="2" t="str">
        <f t="shared" si="124"/>
        <v>Error?</v>
      </c>
      <c r="E7619" s="2" t="s">
        <v>19</v>
      </c>
    </row>
    <row r="7620" spans="1:5" x14ac:dyDescent="0.2">
      <c r="A7620">
        <f t="shared" si="123"/>
        <v>7559</v>
      </c>
      <c r="B7620" s="1832">
        <f>'Cap Outlay Deprec 26'!I14</f>
        <v>1952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43832</v>
      </c>
      <c r="D7622" s="2" t="str">
        <f t="shared" si="124"/>
        <v>Error?</v>
      </c>
      <c r="E7622" s="2" t="s">
        <v>19</v>
      </c>
    </row>
    <row r="7623" spans="1:5" x14ac:dyDescent="0.2">
      <c r="A7623">
        <f t="shared" si="123"/>
        <v>7562</v>
      </c>
      <c r="B7623" s="1832">
        <f>'Cap Outlay Deprec 26'!L14</f>
        <v>2765</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758099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907461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656449</v>
      </c>
      <c r="D7713" s="2" t="str">
        <f t="shared" si="126"/>
        <v>Error?</v>
      </c>
      <c r="E7713" s="2" t="s">
        <v>822</v>
      </c>
    </row>
    <row r="7714" spans="1:6" x14ac:dyDescent="0.2">
      <c r="A7714">
        <v>7653</v>
      </c>
      <c r="B7714" s="1832">
        <f>'Rest Tax Levies-Tort Im 25'!K9</f>
        <v>11900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656449</v>
      </c>
      <c r="D7718" s="2" t="str">
        <f t="shared" si="126"/>
        <v>Error?</v>
      </c>
      <c r="E7718" s="2" t="s">
        <v>822</v>
      </c>
    </row>
    <row r="7719" spans="1:6" x14ac:dyDescent="0.2">
      <c r="A7719">
        <v>7658</v>
      </c>
      <c r="B7719" s="1832">
        <f>'Rest Tax Levies-Tort Im 25'!K12</f>
        <v>11900</v>
      </c>
      <c r="D7719" s="2" t="str">
        <f t="shared" si="126"/>
        <v>Error?</v>
      </c>
      <c r="E7719" s="2" t="s">
        <v>822</v>
      </c>
    </row>
    <row r="7720" spans="1:6" x14ac:dyDescent="0.2">
      <c r="A7720">
        <v>7659</v>
      </c>
      <c r="B7720" s="1832">
        <f>'Rest Tax Levies-Tort Im 25'!H14</f>
        <v>39726</v>
      </c>
      <c r="D7720" s="2" t="str">
        <f t="shared" si="126"/>
        <v>Error?</v>
      </c>
      <c r="E7720" s="2" t="s">
        <v>822</v>
      </c>
    </row>
    <row r="7721" spans="1:6" x14ac:dyDescent="0.2">
      <c r="A7721">
        <v>7660</v>
      </c>
      <c r="B7721" s="1832">
        <f>'Rest Tax Levies-Tort Im 25'!K14</f>
        <v>64519</v>
      </c>
      <c r="D7721" s="2" t="str">
        <f t="shared" si="126"/>
        <v>Error?</v>
      </c>
      <c r="E7721" s="2" t="s">
        <v>822</v>
      </c>
    </row>
    <row r="7722" spans="1:6" x14ac:dyDescent="0.2">
      <c r="A7722">
        <v>7661</v>
      </c>
      <c r="B7722" s="1832">
        <f>'Rest Tax Levies-Tort Im 25'!J15</f>
        <v>267773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183225</v>
      </c>
      <c r="D7724" s="2" t="str">
        <f t="shared" si="126"/>
        <v>Error?</v>
      </c>
      <c r="E7724" s="2" t="s">
        <v>822</v>
      </c>
      <c r="F7724" s="2"/>
    </row>
    <row r="7725" spans="1:6" x14ac:dyDescent="0.2">
      <c r="A7725">
        <v>7664</v>
      </c>
      <c r="B7725" s="1832">
        <f>'Rest Tax Levies-Tort Im 25'!J19</f>
        <v>415000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598225</v>
      </c>
      <c r="D7727" s="2" t="str">
        <f t="shared" si="126"/>
        <v>Error?</v>
      </c>
      <c r="E7727" s="2" t="s">
        <v>822</v>
      </c>
    </row>
    <row r="7728" spans="1:6" x14ac:dyDescent="0.2">
      <c r="A7728">
        <v>7667</v>
      </c>
      <c r="B7728" s="1832">
        <f>'Revenues 9-14'!E103</f>
        <v>598225</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865998</v>
      </c>
      <c r="D7730" s="2" t="str">
        <f t="shared" si="126"/>
        <v>Error?</v>
      </c>
      <c r="E7730" s="2" t="s">
        <v>822</v>
      </c>
    </row>
    <row r="7731" spans="1:6" x14ac:dyDescent="0.2">
      <c r="A7731">
        <v>7670</v>
      </c>
      <c r="B7731" s="1832">
        <f>'Revenues 9-14'!H103</f>
        <v>58224</v>
      </c>
      <c r="D7731" s="2" t="str">
        <f t="shared" si="126"/>
        <v>Error?</v>
      </c>
      <c r="E7731" s="2" t="s">
        <v>822</v>
      </c>
    </row>
    <row r="7732" spans="1:6" x14ac:dyDescent="0.2">
      <c r="A7732">
        <v>7671</v>
      </c>
      <c r="B7732" s="1832">
        <f>'Rest Tax Levies-Tort Im 25'!J24</f>
        <v>697912</v>
      </c>
      <c r="D7732" s="2" t="str">
        <f t="shared" si="126"/>
        <v>Error?</v>
      </c>
      <c r="E7732" s="2" t="s">
        <v>822</v>
      </c>
    </row>
    <row r="7733" spans="1:6" x14ac:dyDescent="0.2">
      <c r="A7733">
        <v>7672</v>
      </c>
      <c r="B7733" s="1832">
        <f>'Rest Tax Levies-Tort Im 25'!K24</f>
        <v>-52619</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697912</v>
      </c>
      <c r="D7742" s="2" t="str">
        <f t="shared" si="126"/>
        <v>Error?</v>
      </c>
      <c r="E7742" s="2" t="s">
        <v>822</v>
      </c>
    </row>
    <row r="7743" spans="1:6" x14ac:dyDescent="0.2">
      <c r="A7743">
        <v>7682</v>
      </c>
      <c r="B7743" s="1832">
        <f>'Rest Tax Levies-Tort Im 25'!K26</f>
        <v>-52619</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64519</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12545000</v>
      </c>
      <c r="D7817" s="2" t="str">
        <f t="shared" si="128"/>
        <v>Error?</v>
      </c>
      <c r="E7817" s="4" t="s">
        <v>1963</v>
      </c>
    </row>
    <row r="7818" spans="1:5" x14ac:dyDescent="0.2">
      <c r="A7818">
        <v>7757</v>
      </c>
      <c r="B7818" s="1832">
        <f>'PCTC-OEPP 27-28'!F172</f>
        <v>381187</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-607176</v>
      </c>
      <c r="D7820" s="2" t="str">
        <f t="shared" si="128"/>
        <v>Error?</v>
      </c>
    </row>
    <row r="7821" spans="1:5" x14ac:dyDescent="0.2">
      <c r="A7821">
        <v>7760</v>
      </c>
      <c r="B7821" s="1832">
        <f>'ICR Computation 30'!G40</f>
        <v>-607176</v>
      </c>
      <c r="D7821" s="2" t="str">
        <f t="shared" si="128"/>
        <v>Error?</v>
      </c>
    </row>
    <row r="7822" spans="1:5" x14ac:dyDescent="0.2">
      <c r="A7822" s="1">
        <v>7761</v>
      </c>
      <c r="B7822" s="1832">
        <f>'PCTC-OEPP 27-28'!F14</f>
        <v>12363066</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86604</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1422</v>
      </c>
      <c r="D7830" s="2" t="str">
        <f t="shared" si="129"/>
        <v>Error?</v>
      </c>
      <c r="E7830" s="4" t="s">
        <v>1995</v>
      </c>
    </row>
    <row r="7831" spans="1:5" x14ac:dyDescent="0.2">
      <c r="A7831">
        <v>7770</v>
      </c>
      <c r="B7831" s="1832">
        <f>'PCTC-OEPP 27-28'!F52</f>
        <v>228088</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3863445</v>
      </c>
      <c r="D7834" s="2" t="str">
        <f t="shared" si="129"/>
        <v>Error?</v>
      </c>
      <c r="E7834" s="4" t="s">
        <v>1995</v>
      </c>
    </row>
    <row r="7835" spans="1:5" x14ac:dyDescent="0.2">
      <c r="A7835">
        <v>7774</v>
      </c>
      <c r="B7835" s="1832">
        <f>'PCTC-OEPP 27-28'!F78</f>
        <v>8499621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9252.7988242978445</v>
      </c>
      <c r="D7837" s="2" t="str">
        <f t="shared" si="129"/>
        <v>Error?</v>
      </c>
      <c r="E7837" s="4" t="s">
        <v>1995</v>
      </c>
    </row>
    <row r="7838" spans="1:5" x14ac:dyDescent="0.2">
      <c r="A7838">
        <v>7777</v>
      </c>
      <c r="B7838" s="1832">
        <f>'PCTC-OEPP 27-28'!F96</f>
        <v>71918</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6324</v>
      </c>
      <c r="D7842" s="2" t="str">
        <f t="shared" si="129"/>
        <v>Error?</v>
      </c>
      <c r="E7842" s="4" t="s">
        <v>1995</v>
      </c>
    </row>
    <row r="7843" spans="1:5" x14ac:dyDescent="0.2">
      <c r="A7843">
        <v>7782</v>
      </c>
      <c r="B7843" s="1832">
        <f>'PCTC-OEPP 27-28'!F107</f>
        <v>22465</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11900</v>
      </c>
      <c r="D7846" s="2" t="str">
        <f t="shared" si="129"/>
        <v>Error?</v>
      </c>
      <c r="E7846" s="4" t="s">
        <v>1995</v>
      </c>
    </row>
    <row r="7847" spans="1:5" x14ac:dyDescent="0.2">
      <c r="A7847">
        <v>7786</v>
      </c>
      <c r="B7847" s="1832">
        <f>'PCTC-OEPP 27-28'!F112</f>
        <v>367691</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958</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240817</v>
      </c>
      <c r="D7858" s="2" t="str">
        <f t="shared" si="129"/>
        <v>Error?</v>
      </c>
      <c r="E7858" s="4" t="s">
        <v>1995</v>
      </c>
    </row>
    <row r="7859" spans="1:5" x14ac:dyDescent="0.2">
      <c r="A7859">
        <v>7798</v>
      </c>
      <c r="B7859" s="1832">
        <f>'PCTC-OEPP 27-28'!F127</f>
        <v>267588</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243071</v>
      </c>
      <c r="D7861" s="2" t="str">
        <f t="shared" si="129"/>
        <v>Error?</v>
      </c>
      <c r="E7861" s="4" t="s">
        <v>1995</v>
      </c>
    </row>
    <row r="7862" spans="1:5" x14ac:dyDescent="0.2">
      <c r="A7862">
        <v>7801</v>
      </c>
      <c r="B7862" s="1832">
        <f>'PCTC-OEPP 27-28'!F130</f>
        <v>13540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2080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34570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13365</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1897297</v>
      </c>
      <c r="D7877" s="2" t="str">
        <f t="shared" si="129"/>
        <v>Error?</v>
      </c>
      <c r="E7877" s="4" t="s">
        <v>1995</v>
      </c>
    </row>
    <row r="7878" spans="1:5" x14ac:dyDescent="0.2">
      <c r="A7878">
        <v>7817</v>
      </c>
      <c r="B7878" s="1832">
        <f>'PCTC-OEPP 27-28'!F176</f>
        <v>6602324</v>
      </c>
      <c r="D7878" s="2" t="str">
        <f t="shared" si="129"/>
        <v>Error?</v>
      </c>
      <c r="E7878" s="4" t="s">
        <v>1995</v>
      </c>
    </row>
    <row r="7879" spans="1:5" x14ac:dyDescent="0.2">
      <c r="A7879">
        <v>7818</v>
      </c>
      <c r="B7879" s="1832">
        <f>'PCTC-OEPP 27-28'!F178</f>
        <v>7360423</v>
      </c>
      <c r="D7879" s="2" t="str">
        <f t="shared" si="129"/>
        <v>Error?</v>
      </c>
      <c r="E7879" s="4" t="s">
        <v>1995</v>
      </c>
    </row>
    <row r="7880" spans="1:5" x14ac:dyDescent="0.2">
      <c r="A7880">
        <v>7819</v>
      </c>
      <c r="B7880" s="1832">
        <f>'PCTC-OEPP 27-28'!F180</f>
        <v>8012.6529501415198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63"/>
  <sheetViews>
    <sheetView showGridLines="0" zoomScale="110" zoomScaleNormal="110" workbookViewId="0">
      <selection activeCell="M11" sqref="M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5" t="str">
        <f>'Single Audit Cover'!A7</f>
        <v>Chester Community Unit School District No. 139</v>
      </c>
      <c r="C1" s="2526"/>
      <c r="D1" s="2526"/>
      <c r="E1" s="2526"/>
      <c r="F1" s="2526"/>
      <c r="G1" s="2526"/>
      <c r="H1" s="2526"/>
      <c r="I1" s="2526"/>
      <c r="J1" s="1178"/>
    </row>
    <row r="2" spans="2:10" s="295" customFormat="1" ht="12.75" customHeight="1" x14ac:dyDescent="0.2">
      <c r="B2" s="2527" t="str">
        <f>'Single Audit Cover'!E7</f>
        <v>45-079-1390-26</v>
      </c>
      <c r="C2" s="2528"/>
      <c r="D2" s="2528"/>
      <c r="E2" s="2528"/>
      <c r="F2" s="2528"/>
      <c r="G2" s="2528"/>
      <c r="H2" s="2528"/>
      <c r="I2" s="2528"/>
      <c r="J2" s="1178"/>
    </row>
    <row r="3" spans="2:10" s="295" customFormat="1" ht="12.75" customHeight="1" x14ac:dyDescent="0.2">
      <c r="B3" s="2529" t="s">
        <v>1274</v>
      </c>
      <c r="C3" s="2530"/>
      <c r="D3" s="2530"/>
      <c r="E3" s="2530"/>
      <c r="F3" s="2530"/>
      <c r="G3" s="2530"/>
      <c r="H3" s="2530"/>
      <c r="I3" s="2530"/>
      <c r="J3" s="1179"/>
    </row>
    <row r="4" spans="2:10" s="295" customFormat="1" ht="12.75" customHeight="1" x14ac:dyDescent="0.2">
      <c r="B4" s="2529" t="str">
        <f>'Single Audit Cover'!A4</f>
        <v>Year Ending June 30, 2020</v>
      </c>
      <c r="C4" s="2530"/>
      <c r="D4" s="2530"/>
      <c r="E4" s="2530"/>
      <c r="F4" s="2530"/>
      <c r="G4" s="2530"/>
      <c r="H4" s="2530"/>
      <c r="I4" s="253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29" t="s">
        <v>1273</v>
      </c>
      <c r="C7" s="2530"/>
      <c r="D7" s="2530"/>
      <c r="E7" s="2530"/>
      <c r="F7" s="2530"/>
      <c r="G7" s="2530"/>
      <c r="H7" s="2530"/>
      <c r="I7" s="253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31" t="s">
        <v>1154</v>
      </c>
      <c r="D11" s="253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2048</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t="s">
        <v>2048</v>
      </c>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32" t="s">
        <v>2053</v>
      </c>
      <c r="E29" s="2532"/>
      <c r="F29" s="2532"/>
      <c r="G29" s="2532"/>
      <c r="H29" s="2532"/>
      <c r="I29" s="2532"/>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33" t="s">
        <v>1725</v>
      </c>
      <c r="D37" s="2534"/>
      <c r="E37" s="2534"/>
      <c r="F37" s="2535"/>
      <c r="G37" s="2533" t="s">
        <v>1575</v>
      </c>
      <c r="H37" s="2534"/>
      <c r="I37" s="2535"/>
    </row>
    <row r="38" spans="2:9" ht="16.5" customHeight="1" x14ac:dyDescent="0.2">
      <c r="B38" s="1200">
        <v>84.01</v>
      </c>
      <c r="C38" s="2521" t="s">
        <v>912</v>
      </c>
      <c r="D38" s="2522"/>
      <c r="E38" s="2522"/>
      <c r="F38" s="2523"/>
      <c r="G38" s="2536">
        <v>246179</v>
      </c>
      <c r="H38" s="2537"/>
      <c r="I38" s="2538"/>
    </row>
    <row r="39" spans="2:9" ht="16.5" customHeight="1" x14ac:dyDescent="0.2">
      <c r="B39" s="1200">
        <v>84.027000000000001</v>
      </c>
      <c r="C39" s="2521" t="s">
        <v>2200</v>
      </c>
      <c r="D39" s="2522"/>
      <c r="E39" s="2522"/>
      <c r="F39" s="2523"/>
      <c r="G39" s="2524">
        <v>256611</v>
      </c>
      <c r="H39" s="2524"/>
      <c r="I39" s="2524"/>
    </row>
    <row r="40" spans="2:9" ht="16.5" customHeight="1" x14ac:dyDescent="0.2">
      <c r="B40" s="1200"/>
      <c r="C40" s="2521"/>
      <c r="D40" s="2522"/>
      <c r="E40" s="2522"/>
      <c r="F40" s="2523"/>
      <c r="G40" s="2524"/>
      <c r="H40" s="2524"/>
      <c r="I40" s="2524"/>
    </row>
    <row r="41" spans="2:9" ht="16.5" customHeight="1" x14ac:dyDescent="0.2">
      <c r="B41" s="1200"/>
      <c r="C41" s="2521"/>
      <c r="D41" s="2522"/>
      <c r="E41" s="2522"/>
      <c r="F41" s="2523"/>
      <c r="G41" s="2524"/>
      <c r="H41" s="2524"/>
      <c r="I41" s="2524"/>
    </row>
    <row r="42" spans="2:9" ht="16.5" customHeight="1" x14ac:dyDescent="0.2">
      <c r="B42" s="1200"/>
      <c r="C42" s="2521"/>
      <c r="D42" s="2522"/>
      <c r="E42" s="2522"/>
      <c r="F42" s="2523"/>
      <c r="G42" s="2524"/>
      <c r="H42" s="2524"/>
      <c r="I42" s="2524"/>
    </row>
    <row r="43" spans="2:9" ht="16.5" customHeight="1" x14ac:dyDescent="0.2">
      <c r="B43" s="1200"/>
      <c r="C43" s="2539" t="s">
        <v>1576</v>
      </c>
      <c r="D43" s="2540"/>
      <c r="E43" s="2540"/>
      <c r="F43" s="2541"/>
      <c r="G43" s="2542">
        <f>SUM(G38:I42)</f>
        <v>502790</v>
      </c>
      <c r="H43" s="2542"/>
      <c r="I43" s="2542"/>
    </row>
    <row r="44" spans="2:9" ht="12.75" customHeight="1" x14ac:dyDescent="0.2"/>
    <row r="45" spans="2:9" ht="12.75" customHeight="1" x14ac:dyDescent="0.2">
      <c r="B45" s="1917" t="str">
        <f>"Total Federal Expenditures for 7/1/"&amp;MID('AFR20'!E2,3,2)-1&amp;"-6/30/"&amp;MID('AFR20'!E2,3,2)</f>
        <v>Total Federal Expenditures for 7/1/19-6/30/20</v>
      </c>
      <c r="C45" s="1918"/>
      <c r="D45" s="2543">
        <v>900020</v>
      </c>
      <c r="E45" s="2544"/>
    </row>
    <row r="46" spans="2:9" ht="5.25" customHeight="1" x14ac:dyDescent="0.2">
      <c r="B46" s="1201"/>
      <c r="D46" s="1202"/>
      <c r="E46" s="1203"/>
    </row>
    <row r="47" spans="2:9" ht="12.75" customHeight="1" x14ac:dyDescent="0.2">
      <c r="B47" s="1076" t="s">
        <v>1577</v>
      </c>
      <c r="C47" s="1076"/>
      <c r="D47" s="1204">
        <f>+G43/D45</f>
        <v>0.55864314126352743</v>
      </c>
      <c r="E47" s="1205"/>
      <c r="F47" s="1206"/>
      <c r="I47" s="1207"/>
    </row>
    <row r="48" spans="2:9" ht="9.9499999999999993" customHeight="1" x14ac:dyDescent="0.2"/>
    <row r="49" spans="1:9" x14ac:dyDescent="0.2">
      <c r="B49" s="1138" t="s">
        <v>1262</v>
      </c>
      <c r="C49" s="1058"/>
      <c r="D49" s="1058"/>
      <c r="E49" s="2545">
        <v>750000</v>
      </c>
      <c r="F49" s="2545"/>
      <c r="G49" s="2545"/>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topLeftCell="A4" zoomScale="110" zoomScaleNormal="110" workbookViewId="0">
      <selection activeCell="S43" sqref="S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9" t="s">
        <v>1181</v>
      </c>
      <c r="B2" s="2569"/>
      <c r="C2" s="2569"/>
      <c r="D2" s="2569"/>
      <c r="E2" s="2569"/>
      <c r="F2" s="2569"/>
      <c r="G2" s="2569"/>
      <c r="H2" s="2569"/>
      <c r="I2" s="2569"/>
      <c r="J2" s="2569"/>
      <c r="K2" s="2569"/>
      <c r="L2" s="2569"/>
    </row>
    <row r="3" spans="1:29" ht="13.5" customHeight="1" x14ac:dyDescent="0.2">
      <c r="A3" s="2555" t="s">
        <v>1180</v>
      </c>
      <c r="B3" s="2555"/>
      <c r="C3" s="2555"/>
      <c r="D3" s="2555"/>
      <c r="E3" s="2555"/>
      <c r="F3" s="2555"/>
      <c r="G3" s="2555"/>
      <c r="H3" s="2555"/>
      <c r="I3" s="2555"/>
      <c r="J3" s="2555"/>
      <c r="K3" s="2555"/>
      <c r="L3" s="2555"/>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9" t="str">
        <f>COVER!A17</f>
        <v>Chester Community Unit School District No. 139</v>
      </c>
      <c r="B7" s="2550"/>
      <c r="C7" s="2550"/>
      <c r="D7" s="2588"/>
      <c r="E7" s="2589" t="str">
        <f>COVER!A13</f>
        <v>45-079-1390-26</v>
      </c>
      <c r="F7" s="2590"/>
      <c r="G7" s="2556" t="str">
        <f>COVER!T23</f>
        <v>065-014460</v>
      </c>
      <c r="H7" s="2557"/>
      <c r="I7" s="2557"/>
      <c r="J7" s="2557"/>
      <c r="K7" s="2557"/>
      <c r="L7" s="255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9"/>
      <c r="B9" s="2560"/>
      <c r="C9" s="2560"/>
      <c r="D9" s="2560"/>
      <c r="E9" s="2560"/>
      <c r="F9" s="2561"/>
      <c r="G9" s="2562" t="str">
        <f>COVER!T13</f>
        <v>Scheffel Boyle</v>
      </c>
      <c r="H9" s="2563"/>
      <c r="I9" s="2563"/>
      <c r="J9" s="2563"/>
      <c r="K9" s="2563"/>
      <c r="L9" s="2564"/>
    </row>
    <row r="10" spans="1:29" ht="13.5" customHeight="1" x14ac:dyDescent="0.2">
      <c r="A10" s="2546">
        <f>COVER!A38</f>
        <v>0</v>
      </c>
      <c r="B10" s="2547"/>
      <c r="C10" s="2547"/>
      <c r="D10" s="2547"/>
      <c r="E10" s="2547"/>
      <c r="F10" s="2548"/>
      <c r="G10" s="2562" t="str">
        <f>COVER!T17</f>
        <v xml:space="preserve">7 Hill Castle </v>
      </c>
      <c r="H10" s="2575"/>
      <c r="I10" s="2575"/>
      <c r="J10" s="2575"/>
      <c r="K10" s="2575"/>
      <c r="L10" s="2576"/>
    </row>
    <row r="11" spans="1:29" ht="13.5" customHeight="1" x14ac:dyDescent="0.2">
      <c r="A11" s="963" t="s">
        <v>1502</v>
      </c>
      <c r="B11" s="964"/>
      <c r="C11" s="965"/>
      <c r="D11" s="970"/>
      <c r="E11" s="965"/>
      <c r="F11" s="969"/>
      <c r="G11" s="2562" t="str">
        <f>COVER!T19</f>
        <v>Columbia</v>
      </c>
      <c r="H11" s="2575"/>
      <c r="I11" s="2575"/>
      <c r="J11" s="2575"/>
      <c r="K11" s="2575"/>
      <c r="L11" s="2576"/>
    </row>
    <row r="12" spans="1:29" ht="13.5" customHeight="1" x14ac:dyDescent="0.2">
      <c r="A12" s="2580" t="s">
        <v>1501</v>
      </c>
      <c r="B12" s="2581"/>
      <c r="C12" s="2581"/>
      <c r="D12" s="2581"/>
      <c r="E12" s="2581"/>
      <c r="F12" s="2582"/>
      <c r="G12" s="2577"/>
      <c r="H12" s="2578"/>
      <c r="I12" s="2578"/>
      <c r="J12" s="2578"/>
      <c r="K12" s="2578"/>
      <c r="L12" s="2579"/>
    </row>
    <row r="13" spans="1:29" ht="13.5" customHeight="1" x14ac:dyDescent="0.2">
      <c r="A13" s="2562"/>
      <c r="B13" s="2575"/>
      <c r="C13" s="2575"/>
      <c r="D13" s="2575"/>
      <c r="E13" s="2575"/>
      <c r="F13" s="2576"/>
      <c r="G13" s="2570" t="s">
        <v>1503</v>
      </c>
      <c r="H13" s="2571"/>
      <c r="I13" s="2583" t="str">
        <f>COVER!T25</f>
        <v>keith.brinkmann@scheffelboyle.com</v>
      </c>
      <c r="J13" s="2584"/>
      <c r="K13" s="2584"/>
      <c r="L13" s="2585"/>
    </row>
    <row r="14" spans="1:29" ht="13.5" customHeight="1" x14ac:dyDescent="0.2">
      <c r="A14" s="2562" t="str">
        <f>COVER!A19</f>
        <v>1940 Swanwick St.</v>
      </c>
      <c r="B14" s="2575"/>
      <c r="C14" s="2575"/>
      <c r="D14" s="2575"/>
      <c r="E14" s="2575"/>
      <c r="F14" s="2576"/>
      <c r="G14" s="974" t="s">
        <v>1175</v>
      </c>
      <c r="H14" s="972"/>
      <c r="I14" s="972"/>
      <c r="J14" s="972"/>
      <c r="K14" s="972"/>
      <c r="L14" s="973"/>
    </row>
    <row r="15" spans="1:29" ht="13.5" customHeight="1" x14ac:dyDescent="0.2">
      <c r="A15" s="2562" t="str">
        <f>COVER!A21</f>
        <v>Chester</v>
      </c>
      <c r="B15" s="2575"/>
      <c r="C15" s="2575"/>
      <c r="D15" s="2575"/>
      <c r="E15" s="2575"/>
      <c r="F15" s="2576"/>
      <c r="G15" s="2572" t="str">
        <f>COVER!T15</f>
        <v>Keith G. Brinkmann, CPA</v>
      </c>
      <c r="H15" s="2573"/>
      <c r="I15" s="2573"/>
      <c r="J15" s="2573"/>
      <c r="K15" s="2573"/>
      <c r="L15" s="2574"/>
    </row>
    <row r="16" spans="1:29" ht="12.2" customHeight="1" x14ac:dyDescent="0.2">
      <c r="A16" s="2552">
        <f>COVER!A25</f>
        <v>62233</v>
      </c>
      <c r="B16" s="2553"/>
      <c r="C16" s="2553"/>
      <c r="D16" s="2553"/>
      <c r="E16" s="2553"/>
      <c r="F16" s="2554"/>
      <c r="G16" s="2565"/>
      <c r="H16" s="2566"/>
      <c r="I16" s="2566"/>
      <c r="J16" s="2566"/>
      <c r="K16" s="2566"/>
      <c r="L16" s="2567"/>
    </row>
    <row r="17" spans="1:13" ht="12.2" customHeight="1" x14ac:dyDescent="0.2">
      <c r="A17" s="2568"/>
      <c r="B17" s="2553"/>
      <c r="C17" s="2553"/>
      <c r="D17" s="2553"/>
      <c r="E17" s="2553"/>
      <c r="F17" s="2554"/>
      <c r="G17" s="974" t="s">
        <v>1174</v>
      </c>
      <c r="H17" s="972"/>
      <c r="I17" s="972"/>
      <c r="J17" s="972"/>
      <c r="K17" s="976" t="s">
        <v>1173</v>
      </c>
      <c r="L17" s="969"/>
      <c r="M17" s="962"/>
    </row>
    <row r="18" spans="1:13" ht="12.2" customHeight="1" x14ac:dyDescent="0.2">
      <c r="A18" s="2546"/>
      <c r="B18" s="2547"/>
      <c r="C18" s="2547"/>
      <c r="D18" s="2547"/>
      <c r="E18" s="2547"/>
      <c r="F18" s="2548"/>
      <c r="G18" s="2549" t="str">
        <f>COVER!T21</f>
        <v>618-281-7605</v>
      </c>
      <c r="H18" s="2550"/>
      <c r="I18" s="2550"/>
      <c r="J18" s="2550"/>
      <c r="K18" s="2549" t="str">
        <f>COVER!X21</f>
        <v>618-281-6630</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D60" sqref="D6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1" t="str">
        <f>'Single Audit Cover'!A7</f>
        <v>Chester Community Unit School District No. 139</v>
      </c>
      <c r="B1" s="2592"/>
      <c r="C1" s="2592"/>
      <c r="D1" s="2592"/>
    </row>
    <row r="2" spans="1:11" s="991" customFormat="1" ht="12.75" x14ac:dyDescent="0.2">
      <c r="A2" s="2593" t="str">
        <f>'Single Audit Cover'!E7</f>
        <v>45-079-1390-26</v>
      </c>
      <c r="B2" s="2594"/>
      <c r="C2" s="2594"/>
      <c r="D2" s="2594"/>
    </row>
    <row r="3" spans="1:11" s="991" customFormat="1" ht="12.75" x14ac:dyDescent="0.2">
      <c r="A3" s="2591" t="s">
        <v>1496</v>
      </c>
      <c r="B3" s="2592"/>
      <c r="C3" s="2592"/>
      <c r="D3" s="259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6" t="str">
        <f>'Single Audit Cover'!A7</f>
        <v>Chester Community Unit School District No. 139</v>
      </c>
      <c r="B1" s="2596"/>
      <c r="C1" s="2596"/>
      <c r="D1" s="2596"/>
      <c r="E1" s="2596"/>
    </row>
    <row r="2" spans="1:5" x14ac:dyDescent="0.2">
      <c r="A2" s="2597" t="str">
        <f>'Single Audit Cover'!E7</f>
        <v>45-079-1390-26</v>
      </c>
      <c r="B2" s="2597"/>
      <c r="C2" s="2597"/>
      <c r="D2" s="2597"/>
      <c r="E2" s="2597"/>
    </row>
    <row r="3" spans="1:5" ht="4.5" customHeight="1" x14ac:dyDescent="0.2"/>
    <row r="4" spans="1:5" x14ac:dyDescent="0.2">
      <c r="A4" s="2596" t="s">
        <v>1234</v>
      </c>
      <c r="B4" s="2596"/>
      <c r="C4" s="2596"/>
      <c r="D4" s="2596"/>
      <c r="E4" s="2596"/>
    </row>
    <row r="5" spans="1:5" x14ac:dyDescent="0.2">
      <c r="A5" s="2599" t="str">
        <f>'Single Audit Cover'!A4</f>
        <v>Year Ending June 30, 2020</v>
      </c>
      <c r="B5" s="2599"/>
      <c r="C5" s="2599"/>
      <c r="D5" s="2599"/>
      <c r="E5" s="2599"/>
    </row>
    <row r="6" spans="1:5" x14ac:dyDescent="0.2">
      <c r="A6" s="2596" t="s">
        <v>1233</v>
      </c>
      <c r="B6" s="2596"/>
      <c r="C6" s="2596"/>
      <c r="D6" s="2596"/>
      <c r="E6" s="2596"/>
    </row>
    <row r="8" spans="1:5" x14ac:dyDescent="0.2">
      <c r="A8" s="1036" t="s">
        <v>1232</v>
      </c>
    </row>
    <row r="10" spans="1:5" x14ac:dyDescent="0.2">
      <c r="A10" s="1037" t="s">
        <v>1231</v>
      </c>
      <c r="B10" s="1038" t="s">
        <v>1230</v>
      </c>
      <c r="C10" s="1038"/>
      <c r="D10" s="1039">
        <f>SUM('Acct Summary 7-8'!C7:K7)</f>
        <v>815031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38899</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853930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98"/>
      <c r="B24" s="2598"/>
      <c r="D24" s="1044"/>
    </row>
    <row r="25" spans="1:4" x14ac:dyDescent="0.2">
      <c r="A25" s="2595"/>
      <c r="B25" s="2595"/>
      <c r="D25" s="1044"/>
    </row>
    <row r="26" spans="1:4" x14ac:dyDescent="0.2">
      <c r="A26" s="2595"/>
      <c r="B26" s="2595"/>
      <c r="D26" s="1044"/>
    </row>
    <row r="27" spans="1:4" x14ac:dyDescent="0.2">
      <c r="A27" s="2595"/>
      <c r="B27" s="2595"/>
      <c r="D27" s="1044"/>
    </row>
    <row r="28" spans="1:4" x14ac:dyDescent="0.2">
      <c r="A28" s="2595"/>
      <c r="B28" s="2595"/>
      <c r="D28" s="1044"/>
    </row>
    <row r="29" spans="1:4" x14ac:dyDescent="0.2">
      <c r="A29" s="2595"/>
      <c r="B29" s="2595"/>
      <c r="D29" s="1044"/>
    </row>
    <row r="30" spans="1:4" x14ac:dyDescent="0.2">
      <c r="A30" s="2595"/>
      <c r="B30" s="2595"/>
      <c r="D30" s="1044"/>
    </row>
    <row r="32" spans="1:4" x14ac:dyDescent="0.2">
      <c r="A32" s="1036" t="s">
        <v>1222</v>
      </c>
      <c r="D32" s="1039">
        <f>SUM(D19:D30)</f>
        <v>853930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95"/>
      <c r="B40" s="2595"/>
      <c r="D40" s="1044"/>
    </row>
    <row r="41" spans="1:4" x14ac:dyDescent="0.2">
      <c r="A41" s="2595"/>
      <c r="B41" s="2595"/>
      <c r="D41" s="1047"/>
    </row>
    <row r="42" spans="1:4" x14ac:dyDescent="0.2">
      <c r="A42" s="2595"/>
      <c r="B42" s="2595"/>
      <c r="D42" s="1047"/>
    </row>
    <row r="43" spans="1:4" x14ac:dyDescent="0.2">
      <c r="A43" s="2595"/>
      <c r="B43" s="2595"/>
      <c r="D43" s="1047"/>
    </row>
    <row r="44" spans="1:4" x14ac:dyDescent="0.2">
      <c r="A44" s="2595"/>
      <c r="B44" s="2595"/>
      <c r="D44" s="1047"/>
    </row>
    <row r="45" spans="1:4" x14ac:dyDescent="0.2">
      <c r="A45" s="2595"/>
      <c r="B45" s="2595"/>
      <c r="D45" s="1047"/>
    </row>
    <row r="47" spans="1:4" x14ac:dyDescent="0.2">
      <c r="B47" s="1048" t="s">
        <v>1216</v>
      </c>
      <c r="C47" s="1048"/>
      <c r="D47" s="1049">
        <f>SUM(D35:D45)</f>
        <v>0</v>
      </c>
    </row>
    <row r="49" spans="2:4" x14ac:dyDescent="0.2">
      <c r="B49" s="1048" t="s">
        <v>1215</v>
      </c>
      <c r="C49" s="1048"/>
      <c r="D49" s="1049">
        <f>D32-D47</f>
        <v>853930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52"/>
  <sheetViews>
    <sheetView showGridLines="0" zoomScaleNormal="100" workbookViewId="0">
      <selection activeCell="O20" sqref="O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Chester Community Unit School District No. 139</v>
      </c>
      <c r="C1" s="2600"/>
      <c r="D1" s="2600"/>
      <c r="E1" s="2600"/>
      <c r="F1" s="2600"/>
      <c r="G1" s="2600"/>
      <c r="H1" s="2600"/>
      <c r="I1" s="2600"/>
      <c r="J1" s="2600"/>
      <c r="K1" s="2600"/>
      <c r="L1" s="2600"/>
      <c r="M1" s="2600"/>
    </row>
    <row r="2" spans="2:14" ht="15" x14ac:dyDescent="0.2">
      <c r="B2" s="2601" t="str">
        <f>'Single Audit Cover'!E7</f>
        <v>45-079-1390-26</v>
      </c>
      <c r="C2" s="2601"/>
      <c r="D2" s="2601"/>
      <c r="E2" s="2601"/>
      <c r="F2" s="2601"/>
      <c r="G2" s="2601"/>
      <c r="H2" s="2601"/>
      <c r="I2" s="2601"/>
      <c r="J2" s="2601"/>
      <c r="K2" s="2601"/>
      <c r="L2" s="2601"/>
      <c r="M2" s="2601"/>
      <c r="N2" s="1078"/>
    </row>
    <row r="3" spans="2:14" ht="15" x14ac:dyDescent="0.2">
      <c r="B3" s="2602" t="s">
        <v>1208</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2101</v>
      </c>
      <c r="C11" s="1821"/>
      <c r="D11" s="1822"/>
      <c r="E11" s="1823"/>
      <c r="F11" s="1823"/>
      <c r="G11" s="1823"/>
      <c r="H11" s="1823"/>
      <c r="I11" s="1823"/>
      <c r="J11" s="1823"/>
      <c r="K11" s="1823"/>
      <c r="L11" s="1823">
        <f>+G11+I11+K11</f>
        <v>0</v>
      </c>
      <c r="M11" s="1823"/>
    </row>
    <row r="12" spans="2:14" ht="20.100000000000001" customHeight="1" x14ac:dyDescent="0.2">
      <c r="B12" s="1113" t="s">
        <v>2102</v>
      </c>
      <c r="C12" s="1824">
        <v>10.553000000000001</v>
      </c>
      <c r="D12" s="1825" t="s">
        <v>2107</v>
      </c>
      <c r="E12" s="1826">
        <v>36784</v>
      </c>
      <c r="F12" s="1826">
        <v>6573</v>
      </c>
      <c r="G12" s="1826">
        <v>36784</v>
      </c>
      <c r="H12" s="1826"/>
      <c r="I12" s="1826">
        <v>6573</v>
      </c>
      <c r="J12" s="1826"/>
      <c r="K12" s="1826"/>
      <c r="L12" s="1823">
        <f t="shared" ref="L12:L27" si="0">+G12+I12+K12</f>
        <v>43357</v>
      </c>
      <c r="M12" s="1826" t="s">
        <v>2113</v>
      </c>
    </row>
    <row r="13" spans="2:14" ht="20.100000000000001" customHeight="1" x14ac:dyDescent="0.2">
      <c r="B13" s="1113" t="s">
        <v>2102</v>
      </c>
      <c r="C13" s="1824">
        <v>10.553000000000001</v>
      </c>
      <c r="D13" s="1825" t="s">
        <v>2108</v>
      </c>
      <c r="E13" s="1826"/>
      <c r="F13" s="1826">
        <v>24572</v>
      </c>
      <c r="G13" s="1826"/>
      <c r="H13" s="1826"/>
      <c r="I13" s="1826">
        <v>24572</v>
      </c>
      <c r="J13" s="1826"/>
      <c r="K13" s="1826"/>
      <c r="L13" s="1823">
        <f t="shared" si="0"/>
        <v>24572</v>
      </c>
      <c r="M13" s="1826" t="s">
        <v>2113</v>
      </c>
    </row>
    <row r="14" spans="2:14" ht="20.100000000000001" customHeight="1" x14ac:dyDescent="0.2">
      <c r="B14" s="1113" t="s">
        <v>2103</v>
      </c>
      <c r="C14" s="1824">
        <v>10.555</v>
      </c>
      <c r="D14" s="1825"/>
      <c r="E14" s="1826"/>
      <c r="F14" s="1826">
        <v>38899</v>
      </c>
      <c r="G14" s="1826"/>
      <c r="H14" s="1826"/>
      <c r="I14" s="1826">
        <v>38899</v>
      </c>
      <c r="J14" s="1826"/>
      <c r="K14" s="1826"/>
      <c r="L14" s="1823">
        <f t="shared" si="0"/>
        <v>38899</v>
      </c>
      <c r="M14" s="1826" t="s">
        <v>2113</v>
      </c>
    </row>
    <row r="15" spans="2:14" ht="20.100000000000001" customHeight="1" x14ac:dyDescent="0.2">
      <c r="B15" s="1113" t="s">
        <v>2104</v>
      </c>
      <c r="C15" s="1824">
        <v>10.555</v>
      </c>
      <c r="D15" s="1825" t="s">
        <v>2109</v>
      </c>
      <c r="E15" s="1826">
        <v>178611</v>
      </c>
      <c r="F15" s="1826">
        <v>43777</v>
      </c>
      <c r="G15" s="1826">
        <v>178611</v>
      </c>
      <c r="H15" s="1826"/>
      <c r="I15" s="1826">
        <v>43777</v>
      </c>
      <c r="J15" s="1826"/>
      <c r="K15" s="1826"/>
      <c r="L15" s="1823">
        <f t="shared" si="0"/>
        <v>222388</v>
      </c>
      <c r="M15" s="1826" t="s">
        <v>2113</v>
      </c>
    </row>
    <row r="16" spans="2:14" ht="20.100000000000001" customHeight="1" x14ac:dyDescent="0.2">
      <c r="B16" s="1113" t="s">
        <v>2105</v>
      </c>
      <c r="C16" s="1824">
        <v>10.555</v>
      </c>
      <c r="D16" s="1825" t="s">
        <v>2110</v>
      </c>
      <c r="E16" s="1826"/>
      <c r="F16" s="1826">
        <v>127304</v>
      </c>
      <c r="G16" s="1826"/>
      <c r="H16" s="1826"/>
      <c r="I16" s="1826">
        <v>127304</v>
      </c>
      <c r="J16" s="1826"/>
      <c r="K16" s="1826"/>
      <c r="L16" s="1823">
        <f t="shared" si="0"/>
        <v>127304</v>
      </c>
      <c r="M16" s="1826" t="s">
        <v>2113</v>
      </c>
    </row>
    <row r="17" spans="2:14" ht="20.100000000000001" customHeight="1" x14ac:dyDescent="0.2">
      <c r="B17" s="1113" t="s">
        <v>2106</v>
      </c>
      <c r="C17" s="1824">
        <v>10.558999999999999</v>
      </c>
      <c r="D17" s="1825" t="s">
        <v>2111</v>
      </c>
      <c r="E17" s="1826"/>
      <c r="F17" s="1826">
        <v>38591</v>
      </c>
      <c r="G17" s="1826"/>
      <c r="H17" s="1826"/>
      <c r="I17" s="1826">
        <v>38591</v>
      </c>
      <c r="J17" s="1826"/>
      <c r="K17" s="1826"/>
      <c r="L17" s="1823">
        <f t="shared" si="0"/>
        <v>38591</v>
      </c>
      <c r="M17" s="1826" t="s">
        <v>2113</v>
      </c>
    </row>
    <row r="18" spans="2:14" ht="20.100000000000001" customHeight="1" x14ac:dyDescent="0.2">
      <c r="B18" s="1113" t="s">
        <v>2112</v>
      </c>
      <c r="C18" s="1824"/>
      <c r="D18" s="1825"/>
      <c r="E18" s="1826">
        <f>SUM(E12:E17)</f>
        <v>215395</v>
      </c>
      <c r="F18" s="1826">
        <f>SUM(F12:F17)</f>
        <v>279716</v>
      </c>
      <c r="G18" s="1826">
        <f>SUM(G12:G17)</f>
        <v>215395</v>
      </c>
      <c r="H18" s="1826"/>
      <c r="I18" s="1826">
        <f>SUM(I12:I17)</f>
        <v>279716</v>
      </c>
      <c r="J18" s="1826"/>
      <c r="K18" s="1826"/>
      <c r="L18" s="1823">
        <f t="shared" si="0"/>
        <v>495111</v>
      </c>
      <c r="M18" s="1826"/>
    </row>
    <row r="19" spans="2:14" ht="20.100000000000001" customHeight="1" x14ac:dyDescent="0.2">
      <c r="B19" s="1113" t="s">
        <v>2114</v>
      </c>
      <c r="C19" s="1824"/>
      <c r="D19" s="1825"/>
      <c r="E19" s="1826">
        <f>E18</f>
        <v>215395</v>
      </c>
      <c r="F19" s="1826">
        <f>F18</f>
        <v>279716</v>
      </c>
      <c r="G19" s="1826">
        <f>G18</f>
        <v>215395</v>
      </c>
      <c r="H19" s="1826"/>
      <c r="I19" s="1826">
        <f>I18</f>
        <v>279716</v>
      </c>
      <c r="J19" s="1826"/>
      <c r="K19" s="1826"/>
      <c r="L19" s="1823">
        <f t="shared" si="0"/>
        <v>495111</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2115</v>
      </c>
      <c r="C21" s="1824"/>
      <c r="D21" s="1825"/>
      <c r="E21" s="1826"/>
      <c r="F21" s="1826"/>
      <c r="G21" s="1826"/>
      <c r="H21" s="1826"/>
      <c r="I21" s="1826"/>
      <c r="J21" s="1826"/>
      <c r="K21" s="1826"/>
      <c r="L21" s="1823">
        <f t="shared" si="0"/>
        <v>0</v>
      </c>
      <c r="M21" s="1826"/>
    </row>
    <row r="22" spans="2:14" ht="20.100000000000001" customHeight="1" x14ac:dyDescent="0.2">
      <c r="B22" s="1113" t="s">
        <v>2116</v>
      </c>
      <c r="C22" s="1824">
        <v>84.01</v>
      </c>
      <c r="D22" s="1825" t="s">
        <v>2117</v>
      </c>
      <c r="E22" s="1826">
        <v>160301</v>
      </c>
      <c r="F22" s="1826">
        <v>109301</v>
      </c>
      <c r="G22" s="1826">
        <v>235465</v>
      </c>
      <c r="H22" s="1826"/>
      <c r="I22" s="1826">
        <v>34137</v>
      </c>
      <c r="J22" s="1826"/>
      <c r="K22" s="1826"/>
      <c r="L22" s="1823">
        <f t="shared" si="0"/>
        <v>269602</v>
      </c>
      <c r="M22" s="1826">
        <v>309286</v>
      </c>
    </row>
    <row r="23" spans="2:14" ht="20.100000000000001" customHeight="1" x14ac:dyDescent="0.2">
      <c r="B23" s="1113" t="s">
        <v>2116</v>
      </c>
      <c r="C23" s="1824">
        <v>84.01</v>
      </c>
      <c r="D23" s="1825" t="s">
        <v>2118</v>
      </c>
      <c r="E23" s="1826"/>
      <c r="F23" s="1826">
        <v>158287</v>
      </c>
      <c r="G23" s="1826"/>
      <c r="H23" s="1826"/>
      <c r="I23" s="1826">
        <v>212042</v>
      </c>
      <c r="J23" s="1826"/>
      <c r="K23" s="1826">
        <v>85000</v>
      </c>
      <c r="L23" s="1823">
        <f t="shared" si="0"/>
        <v>297042</v>
      </c>
      <c r="M23" s="1826">
        <v>327951</v>
      </c>
    </row>
    <row r="24" spans="2:14" ht="20.100000000000001" customHeight="1" x14ac:dyDescent="0.2">
      <c r="B24" s="1113" t="s">
        <v>2119</v>
      </c>
      <c r="C24" s="1824"/>
      <c r="D24" s="1825"/>
      <c r="E24" s="1826">
        <f>SUM(E22:E23)</f>
        <v>160301</v>
      </c>
      <c r="F24" s="1826">
        <f>SUM(F22:F23)</f>
        <v>267588</v>
      </c>
      <c r="G24" s="1826">
        <f>SUM(G22:G23)</f>
        <v>235465</v>
      </c>
      <c r="H24" s="1826"/>
      <c r="I24" s="1826">
        <f>SUM(I22:I23)</f>
        <v>246179</v>
      </c>
      <c r="J24" s="1826"/>
      <c r="K24" s="1826">
        <f>SUM(K22:K23)</f>
        <v>85000</v>
      </c>
      <c r="L24" s="1823">
        <f t="shared" si="0"/>
        <v>566644</v>
      </c>
      <c r="M24" s="1826">
        <f>SUM(M22:M23)</f>
        <v>637237</v>
      </c>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2120</v>
      </c>
      <c r="C26" s="1824" t="s">
        <v>2121</v>
      </c>
      <c r="D26" s="1825" t="s">
        <v>2122</v>
      </c>
      <c r="E26" s="1826">
        <v>0</v>
      </c>
      <c r="F26" s="1826">
        <v>0</v>
      </c>
      <c r="G26" s="1826">
        <v>0</v>
      </c>
      <c r="H26" s="1826"/>
      <c r="I26" s="1826">
        <v>70968</v>
      </c>
      <c r="J26" s="1826"/>
      <c r="K26" s="1826"/>
      <c r="L26" s="1823">
        <f t="shared" si="0"/>
        <v>70968</v>
      </c>
      <c r="M26" s="1826">
        <v>220792</v>
      </c>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E99" sqref="E9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2048</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1616</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1986</v>
      </c>
      <c r="B85" s="2193"/>
      <c r="C85" s="2193"/>
      <c r="D85" s="219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5" t="s">
        <v>1986</v>
      </c>
      <c r="B88" s="2196"/>
      <c r="C88" s="2196"/>
      <c r="D88" s="219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2205</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t="s">
        <v>2206</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First="1" scaleWithDoc="0">
    <oddHeader>&amp;LPage &amp;P&amp;RPage &amp;P</oddHeader>
    <oddFooter>&amp;LSee notes to financial statements.</oddFooter>
    <evenFooter>&amp;LSee notes to financial statements.</even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061C-76CB-4593-BD2F-DA74B9EC3D27}">
  <sheetPr>
    <tabColor rgb="FFFFFF00"/>
  </sheetPr>
  <dimension ref="B1:N152"/>
  <sheetViews>
    <sheetView showGridLines="0" zoomScaleNormal="100" workbookViewId="0">
      <selection activeCell="F12" sqref="F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Chester Community Unit School District No. 139</v>
      </c>
      <c r="C1" s="2600"/>
      <c r="D1" s="2600"/>
      <c r="E1" s="2600"/>
      <c r="F1" s="2600"/>
      <c r="G1" s="2600"/>
      <c r="H1" s="2600"/>
      <c r="I1" s="2600"/>
      <c r="J1" s="2600"/>
      <c r="K1" s="2600"/>
      <c r="L1" s="2600"/>
      <c r="M1" s="2600"/>
    </row>
    <row r="2" spans="2:14" ht="15" x14ac:dyDescent="0.2">
      <c r="B2" s="2601" t="str">
        <f>'Single Audit Cover'!E7</f>
        <v>45-079-1390-26</v>
      </c>
      <c r="C2" s="2601"/>
      <c r="D2" s="2601"/>
      <c r="E2" s="2601"/>
      <c r="F2" s="2601"/>
      <c r="G2" s="2601"/>
      <c r="H2" s="2601"/>
      <c r="I2" s="2601"/>
      <c r="J2" s="2601"/>
      <c r="K2" s="2601"/>
      <c r="L2" s="2601"/>
      <c r="M2" s="2601"/>
      <c r="N2" s="1078"/>
    </row>
    <row r="3" spans="2:14" ht="15" x14ac:dyDescent="0.2">
      <c r="B3" s="2602" t="s">
        <v>1208</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2123</v>
      </c>
      <c r="C11" s="1821"/>
      <c r="D11" s="1822"/>
      <c r="E11" s="1823"/>
      <c r="F11" s="1823"/>
      <c r="G11" s="1823"/>
      <c r="H11" s="1823"/>
      <c r="I11" s="1823"/>
      <c r="J11" s="1823"/>
      <c r="K11" s="1823"/>
      <c r="L11" s="1823">
        <f>+G11+I11+K11</f>
        <v>0</v>
      </c>
      <c r="M11" s="1823"/>
    </row>
    <row r="12" spans="2:14" ht="20.100000000000001" customHeight="1" x14ac:dyDescent="0.2">
      <c r="B12" s="1113" t="s">
        <v>2124</v>
      </c>
      <c r="C12" s="1824">
        <v>84.367000000000004</v>
      </c>
      <c r="D12" s="1825" t="s">
        <v>2125</v>
      </c>
      <c r="E12" s="1826">
        <v>18829</v>
      </c>
      <c r="F12" s="1826">
        <v>10079</v>
      </c>
      <c r="G12" s="1826">
        <v>25792</v>
      </c>
      <c r="H12" s="1826"/>
      <c r="I12" s="1826">
        <v>3116</v>
      </c>
      <c r="J12" s="1826"/>
      <c r="K12" s="1826"/>
      <c r="L12" s="1823">
        <f t="shared" ref="L12:L27" si="0">+G12+I12+K12</f>
        <v>28908</v>
      </c>
      <c r="M12" s="1826">
        <v>33657</v>
      </c>
    </row>
    <row r="13" spans="2:14" ht="20.100000000000001" customHeight="1" x14ac:dyDescent="0.2">
      <c r="B13" s="1113" t="s">
        <v>2124</v>
      </c>
      <c r="C13" s="1824">
        <v>84.367000000000004</v>
      </c>
      <c r="D13" s="1825" t="s">
        <v>2126</v>
      </c>
      <c r="E13" s="1826"/>
      <c r="F13" s="1826">
        <v>24491</v>
      </c>
      <c r="G13" s="1826"/>
      <c r="H13" s="1826"/>
      <c r="I13" s="1826">
        <v>27985</v>
      </c>
      <c r="J13" s="1826"/>
      <c r="K13" s="1826">
        <v>13345</v>
      </c>
      <c r="L13" s="1823">
        <f t="shared" si="0"/>
        <v>41330</v>
      </c>
      <c r="M13" s="1826">
        <v>43952</v>
      </c>
    </row>
    <row r="14" spans="2:14" ht="20.100000000000001" customHeight="1" x14ac:dyDescent="0.2">
      <c r="B14" s="1113" t="s">
        <v>2127</v>
      </c>
      <c r="C14" s="1824"/>
      <c r="D14" s="1825"/>
      <c r="E14" s="1826">
        <f>SUM(E12:E13)</f>
        <v>18829</v>
      </c>
      <c r="F14" s="1826">
        <f>SUM(F12:F13)</f>
        <v>34570</v>
      </c>
      <c r="G14" s="1826">
        <f>SUM(G12:G13)</f>
        <v>25792</v>
      </c>
      <c r="H14" s="1826"/>
      <c r="I14" s="1826">
        <f>SUM(I12:I13)</f>
        <v>31101</v>
      </c>
      <c r="J14" s="1826"/>
      <c r="K14" s="1826">
        <f>SUM(K12:K13)</f>
        <v>13345</v>
      </c>
      <c r="L14" s="1823">
        <f t="shared" si="0"/>
        <v>70238</v>
      </c>
      <c r="M14" s="1826">
        <f>SUM(M12:M13)</f>
        <v>77609</v>
      </c>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t="s">
        <v>2128</v>
      </c>
      <c r="C16" s="1824"/>
      <c r="D16" s="1825"/>
      <c r="E16" s="1826"/>
      <c r="F16" s="1826"/>
      <c r="G16" s="1826"/>
      <c r="H16" s="1826"/>
      <c r="I16" s="1826"/>
      <c r="J16" s="1826"/>
      <c r="K16" s="1826"/>
      <c r="L16" s="1823">
        <f t="shared" si="0"/>
        <v>0</v>
      </c>
      <c r="M16" s="1826"/>
    </row>
    <row r="17" spans="2:14" ht="20.100000000000001" customHeight="1" x14ac:dyDescent="0.2">
      <c r="B17" s="1113" t="s">
        <v>2129</v>
      </c>
      <c r="C17" s="1824">
        <v>84.048000000000002</v>
      </c>
      <c r="D17" s="1825" t="s">
        <v>2130</v>
      </c>
      <c r="E17" s="1826">
        <v>0</v>
      </c>
      <c r="F17" s="1826">
        <v>2080</v>
      </c>
      <c r="G17" s="1826">
        <v>0</v>
      </c>
      <c r="H17" s="1826"/>
      <c r="I17" s="1826">
        <v>2080</v>
      </c>
      <c r="J17" s="1826"/>
      <c r="K17" s="1826"/>
      <c r="L17" s="1823">
        <f t="shared" si="0"/>
        <v>2080</v>
      </c>
      <c r="M17" s="1826" t="s">
        <v>2113</v>
      </c>
    </row>
    <row r="18" spans="2:14" ht="20.100000000000001" customHeight="1" x14ac:dyDescent="0.2">
      <c r="B18" s="1113" t="s">
        <v>2131</v>
      </c>
      <c r="C18" s="1824"/>
      <c r="D18" s="1825"/>
      <c r="E18" s="1826">
        <f>E17</f>
        <v>0</v>
      </c>
      <c r="F18" s="1826">
        <f>F17</f>
        <v>2080</v>
      </c>
      <c r="G18" s="1826">
        <f>G17</f>
        <v>0</v>
      </c>
      <c r="H18" s="1826"/>
      <c r="I18" s="1826">
        <f>I17</f>
        <v>2080</v>
      </c>
      <c r="J18" s="1826"/>
      <c r="K18" s="1826"/>
      <c r="L18" s="1823">
        <f t="shared" si="0"/>
        <v>2080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2132</v>
      </c>
      <c r="C20" s="1824"/>
      <c r="D20" s="1825"/>
      <c r="E20" s="1826"/>
      <c r="F20" s="1826"/>
      <c r="G20" s="1826"/>
      <c r="H20" s="1826"/>
      <c r="I20" s="1826"/>
      <c r="J20" s="1826"/>
      <c r="K20" s="1826"/>
      <c r="L20" s="1823">
        <f t="shared" si="0"/>
        <v>0</v>
      </c>
      <c r="M20" s="1826"/>
    </row>
    <row r="21" spans="2:14" ht="20.100000000000001" customHeight="1" x14ac:dyDescent="0.2">
      <c r="B21" s="1113" t="s">
        <v>2133</v>
      </c>
      <c r="C21" s="1824">
        <v>93.778000000000006</v>
      </c>
      <c r="D21" s="1825" t="s">
        <v>2135</v>
      </c>
      <c r="E21" s="1826">
        <v>0</v>
      </c>
      <c r="F21" s="1826">
        <v>13365</v>
      </c>
      <c r="G21" s="1826">
        <v>0</v>
      </c>
      <c r="H21" s="1826"/>
      <c r="I21" s="1826">
        <v>13365</v>
      </c>
      <c r="J21" s="1826"/>
      <c r="K21" s="1826"/>
      <c r="L21" s="1823">
        <f t="shared" si="0"/>
        <v>13365</v>
      </c>
      <c r="M21" s="1826" t="s">
        <v>2113</v>
      </c>
    </row>
    <row r="22" spans="2:14" ht="20.100000000000001" customHeight="1" x14ac:dyDescent="0.2">
      <c r="B22" s="1113" t="s">
        <v>2134</v>
      </c>
      <c r="C22" s="1824"/>
      <c r="D22" s="1825"/>
      <c r="E22" s="1826">
        <f>E21</f>
        <v>0</v>
      </c>
      <c r="F22" s="1826">
        <f>F21</f>
        <v>13365</v>
      </c>
      <c r="G22" s="1826">
        <f>G21</f>
        <v>0</v>
      </c>
      <c r="H22" s="1826"/>
      <c r="I22" s="1826">
        <f>I21</f>
        <v>13365</v>
      </c>
      <c r="J22" s="1826"/>
      <c r="K22" s="1826"/>
      <c r="L22" s="1823">
        <f t="shared" si="0"/>
        <v>13365</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CFF7-B280-40AE-966A-B22DC2A61431}">
  <sheetPr>
    <tabColor rgb="FFFFFF00"/>
  </sheetPr>
  <dimension ref="B1:N152"/>
  <sheetViews>
    <sheetView showGridLines="0" zoomScaleNormal="100" workbookViewId="0">
      <selection activeCell="B22" sqref="B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Chester Community Unit School District No. 139</v>
      </c>
      <c r="C1" s="2600"/>
      <c r="D1" s="2600"/>
      <c r="E1" s="2600"/>
      <c r="F1" s="2600"/>
      <c r="G1" s="2600"/>
      <c r="H1" s="2600"/>
      <c r="I1" s="2600"/>
      <c r="J1" s="2600"/>
      <c r="K1" s="2600"/>
      <c r="L1" s="2600"/>
      <c r="M1" s="2600"/>
    </row>
    <row r="2" spans="2:14" ht="15" x14ac:dyDescent="0.2">
      <c r="B2" s="2601" t="str">
        <f>'Single Audit Cover'!E7</f>
        <v>45-079-1390-26</v>
      </c>
      <c r="C2" s="2601"/>
      <c r="D2" s="2601"/>
      <c r="E2" s="2601"/>
      <c r="F2" s="2601"/>
      <c r="G2" s="2601"/>
      <c r="H2" s="2601"/>
      <c r="I2" s="2601"/>
      <c r="J2" s="2601"/>
      <c r="K2" s="2601"/>
      <c r="L2" s="2601"/>
      <c r="M2" s="2601"/>
      <c r="N2" s="1078"/>
    </row>
    <row r="3" spans="2:14" ht="15" x14ac:dyDescent="0.2">
      <c r="B3" s="2602" t="s">
        <v>1208</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2136</v>
      </c>
      <c r="C11" s="1821"/>
      <c r="D11" s="1822"/>
      <c r="E11" s="1823"/>
      <c r="F11" s="1823"/>
      <c r="G11" s="1823"/>
      <c r="H11" s="1823"/>
      <c r="I11" s="1823"/>
      <c r="J11" s="1823"/>
      <c r="K11" s="1823"/>
      <c r="L11" s="1823">
        <f>+G11+I11+K11</f>
        <v>0</v>
      </c>
      <c r="M11" s="1823"/>
    </row>
    <row r="12" spans="2:14" ht="20.100000000000001" customHeight="1" x14ac:dyDescent="0.2">
      <c r="B12" s="1113" t="s">
        <v>2137</v>
      </c>
      <c r="C12" s="1824">
        <v>84.027000000000001</v>
      </c>
      <c r="D12" s="1825" t="s">
        <v>2113</v>
      </c>
      <c r="E12" s="1826">
        <v>0</v>
      </c>
      <c r="F12" s="1826">
        <v>243071</v>
      </c>
      <c r="G12" s="1826">
        <v>0</v>
      </c>
      <c r="H12" s="1826"/>
      <c r="I12" s="1826">
        <v>243071</v>
      </c>
      <c r="J12" s="1826"/>
      <c r="K12" s="1826"/>
      <c r="L12" s="1823">
        <f t="shared" ref="L12:L27" si="0">+G12+I12+K12</f>
        <v>243071</v>
      </c>
      <c r="M12" s="1826">
        <v>243071</v>
      </c>
    </row>
    <row r="13" spans="2:14" ht="20.100000000000001" customHeight="1" x14ac:dyDescent="0.2">
      <c r="B13" s="1113" t="s">
        <v>2138</v>
      </c>
      <c r="C13" s="1824"/>
      <c r="D13" s="1825"/>
      <c r="E13" s="1826">
        <f>E12</f>
        <v>0</v>
      </c>
      <c r="F13" s="1826">
        <f>F12</f>
        <v>243071</v>
      </c>
      <c r="G13" s="1826">
        <f>G12</f>
        <v>0</v>
      </c>
      <c r="H13" s="1826"/>
      <c r="I13" s="1826">
        <f>I12</f>
        <v>243071</v>
      </c>
      <c r="J13" s="1826"/>
      <c r="K13" s="1826"/>
      <c r="L13" s="1823">
        <f t="shared" si="0"/>
        <v>243071</v>
      </c>
      <c r="M13" s="1826">
        <f>M12</f>
        <v>243071</v>
      </c>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2139</v>
      </c>
      <c r="C15" s="1824"/>
      <c r="D15" s="1825"/>
      <c r="E15" s="1826"/>
      <c r="F15" s="1826"/>
      <c r="G15" s="1826"/>
      <c r="H15" s="1826"/>
      <c r="I15" s="1826"/>
      <c r="J15" s="1826"/>
      <c r="K15" s="1826"/>
      <c r="L15" s="1823">
        <f t="shared" si="0"/>
        <v>0</v>
      </c>
      <c r="M15" s="1826"/>
    </row>
    <row r="16" spans="2:14" ht="20.100000000000001" customHeight="1" x14ac:dyDescent="0.2">
      <c r="B16" s="1113" t="s">
        <v>2140</v>
      </c>
      <c r="C16" s="1824">
        <v>84.027000000000001</v>
      </c>
      <c r="D16" s="1825" t="s">
        <v>2144</v>
      </c>
      <c r="E16" s="1826">
        <v>0</v>
      </c>
      <c r="F16" s="1826">
        <v>13540</v>
      </c>
      <c r="G16" s="1826">
        <v>0</v>
      </c>
      <c r="H16" s="1826"/>
      <c r="I16" s="1826">
        <v>13540</v>
      </c>
      <c r="J16" s="1826"/>
      <c r="K16" s="1826"/>
      <c r="L16" s="1823">
        <f t="shared" si="0"/>
        <v>13540</v>
      </c>
      <c r="M16" s="1826" t="s">
        <v>2113</v>
      </c>
    </row>
    <row r="17" spans="2:14" ht="20.100000000000001" customHeight="1" x14ac:dyDescent="0.2">
      <c r="B17" s="1113" t="s">
        <v>2141</v>
      </c>
      <c r="C17" s="1824"/>
      <c r="D17" s="1825"/>
      <c r="E17" s="1826">
        <f>E16</f>
        <v>0</v>
      </c>
      <c r="F17" s="1826">
        <f>F16</f>
        <v>13540</v>
      </c>
      <c r="G17" s="1826">
        <f>G16</f>
        <v>0</v>
      </c>
      <c r="H17" s="1826"/>
      <c r="I17" s="1826">
        <f>I16</f>
        <v>13540</v>
      </c>
      <c r="J17" s="1826"/>
      <c r="K17" s="1826"/>
      <c r="L17" s="1823">
        <f t="shared" si="0"/>
        <v>13540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2142</v>
      </c>
      <c r="C19" s="1824"/>
      <c r="D19" s="1825"/>
      <c r="E19" s="1826">
        <f>E13+E17</f>
        <v>0</v>
      </c>
      <c r="F19" s="1826">
        <f>F13+F17</f>
        <v>256611</v>
      </c>
      <c r="G19" s="1826">
        <f>G13+G17</f>
        <v>0</v>
      </c>
      <c r="H19" s="1826"/>
      <c r="I19" s="1826">
        <f>I13+I17</f>
        <v>256611</v>
      </c>
      <c r="J19" s="1826"/>
      <c r="K19" s="1826"/>
      <c r="L19" s="1823">
        <f t="shared" si="0"/>
        <v>256611</v>
      </c>
      <c r="M19" s="1826">
        <f>M13+M17</f>
        <v>243071</v>
      </c>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2143</v>
      </c>
      <c r="C21" s="1824"/>
      <c r="D21" s="1825"/>
      <c r="E21" s="1826">
        <f>' SEFA'!E19+' SEFA'!E24+' SEFA'!E26+' SEFA (2)'!E14+' SEFA (2)'!E18+' SEFA (2)'!E22+' SEFA (3)'!E19</f>
        <v>394525</v>
      </c>
      <c r="F21" s="1826">
        <f>' SEFA'!F19+' SEFA'!F24+' SEFA'!F26+' SEFA (2)'!F14+' SEFA (2)'!F18+' SEFA (2)'!F22+' SEFA (3)'!F19</f>
        <v>853930</v>
      </c>
      <c r="G21" s="1826">
        <f>' SEFA'!G19+' SEFA'!G24+' SEFA'!G26+' SEFA (2)'!G14+' SEFA (2)'!G18+' SEFA (2)'!G22+' SEFA (3)'!G19</f>
        <v>476652</v>
      </c>
      <c r="H21" s="1826"/>
      <c r="I21" s="1826">
        <f>' SEFA'!I19+' SEFA'!I24+' SEFA'!I26+' SEFA (2)'!I14+' SEFA (2)'!I18+' SEFA (2)'!I22+' SEFA (3)'!I19</f>
        <v>900020</v>
      </c>
      <c r="J21" s="1826"/>
      <c r="K21" s="1826">
        <f>' SEFA'!K19+' SEFA'!K24+' SEFA'!K26+' SEFA (2)'!K14+' SEFA (2)'!K18+' SEFA (2)'!K22+' SEFA (3)'!K19</f>
        <v>98345</v>
      </c>
      <c r="L21" s="1823">
        <f t="shared" si="0"/>
        <v>1475017</v>
      </c>
      <c r="M21" s="1826">
        <f>' SEFA'!M19+' SEFA'!M24+' SEFA'!M26+' SEFA (2)'!M14+' SEFA (2)'!M18+' SEFA (2)'!M22+' SEFA (3)'!M19</f>
        <v>1178709</v>
      </c>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5" t="str">
        <f>'Single Audit Cover'!A7</f>
        <v>Chester Community Unit School District No. 139</v>
      </c>
      <c r="B1" s="2605"/>
      <c r="C1" s="2605"/>
      <c r="D1" s="2605"/>
      <c r="E1" s="2605"/>
      <c r="F1" s="2605"/>
    </row>
    <row r="2" spans="1:7" ht="13.5" customHeight="1" x14ac:dyDescent="0.2">
      <c r="A2" s="2601" t="str">
        <f>'Single Audit Cover'!E7</f>
        <v>45-079-1390-26</v>
      </c>
      <c r="B2" s="2601"/>
      <c r="C2" s="2601"/>
      <c r="D2" s="2601"/>
      <c r="E2" s="2601"/>
      <c r="F2" s="2601"/>
      <c r="G2" s="1051"/>
    </row>
    <row r="3" spans="1:7" ht="15.75" customHeight="1" x14ac:dyDescent="0.2">
      <c r="A3" s="2606" t="s">
        <v>1260</v>
      </c>
      <c r="B3" s="2606"/>
      <c r="C3" s="2606"/>
      <c r="D3" s="2606"/>
      <c r="E3" s="2606"/>
      <c r="F3" s="2606"/>
    </row>
    <row r="4" spans="1:7" ht="13.5" customHeight="1" x14ac:dyDescent="0.2">
      <c r="A4" s="2607" t="str">
        <f>'Single Audit Cover'!A4</f>
        <v>Year Ending June 30, 2020</v>
      </c>
      <c r="B4" s="2607"/>
      <c r="C4" s="2607"/>
      <c r="D4" s="2607"/>
      <c r="E4" s="2607"/>
      <c r="F4" s="2607"/>
    </row>
    <row r="5" spans="1:7" ht="8.25" customHeight="1" x14ac:dyDescent="0.2">
      <c r="C5" s="295"/>
      <c r="D5" s="295"/>
    </row>
    <row r="6" spans="1:7" ht="13.5" customHeight="1" x14ac:dyDescent="0.2">
      <c r="A6" s="1052" t="s">
        <v>1705</v>
      </c>
      <c r="C6" s="295"/>
      <c r="D6" s="295"/>
    </row>
    <row r="7" spans="1:7" ht="60.95" customHeight="1" x14ac:dyDescent="0.2">
      <c r="A7" s="2604" t="s">
        <v>2050</v>
      </c>
      <c r="B7" s="2604"/>
      <c r="C7" s="2604"/>
      <c r="D7" s="2604"/>
      <c r="E7" s="2604"/>
      <c r="F7" s="2604"/>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2.5" customHeight="1" x14ac:dyDescent="0.2">
      <c r="A13" s="2604" t="s">
        <v>2052</v>
      </c>
      <c r="B13" s="2604"/>
      <c r="C13" s="2604"/>
      <c r="D13" s="2604"/>
      <c r="E13" s="2604"/>
      <c r="F13" s="2604"/>
    </row>
    <row r="14" spans="1:7" ht="9.75" customHeight="1" x14ac:dyDescent="0.2">
      <c r="C14" s="1036"/>
      <c r="D14" s="1036"/>
    </row>
    <row r="15" spans="1:7" ht="13.5" customHeight="1" x14ac:dyDescent="0.2">
      <c r="C15" s="1476" t="s">
        <v>1259</v>
      </c>
      <c r="D15" s="2609" t="s">
        <v>1258</v>
      </c>
      <c r="E15" s="2609"/>
      <c r="F15" s="2609"/>
    </row>
    <row r="16" spans="1:7" ht="13.5" customHeight="1" x14ac:dyDescent="0.2">
      <c r="A16" s="1058"/>
      <c r="B16" s="1052" t="s">
        <v>1257</v>
      </c>
      <c r="C16" s="1476" t="s">
        <v>1256</v>
      </c>
      <c r="D16" s="2610" t="s">
        <v>1571</v>
      </c>
      <c r="E16" s="2610"/>
      <c r="F16" s="2610"/>
    </row>
    <row r="17" spans="1:6" ht="20.45" customHeight="1" x14ac:dyDescent="0.2">
      <c r="A17" s="1059"/>
      <c r="B17" s="1060" t="s">
        <v>2049</v>
      </c>
      <c r="C17" s="1061"/>
      <c r="D17" s="2608"/>
      <c r="E17" s="2608"/>
      <c r="F17" s="2608"/>
    </row>
    <row r="18" spans="1:6" ht="20.65" customHeight="1" x14ac:dyDescent="0.2">
      <c r="A18" s="1059"/>
      <c r="B18" s="1060"/>
      <c r="C18" s="1061"/>
      <c r="D18" s="2608"/>
      <c r="E18" s="2608"/>
      <c r="F18" s="2608"/>
    </row>
    <row r="19" spans="1:6" ht="20.65" customHeight="1" x14ac:dyDescent="0.2">
      <c r="A19" s="1059"/>
      <c r="B19" s="1060"/>
      <c r="C19" s="1061"/>
      <c r="D19" s="2608"/>
      <c r="E19" s="2608"/>
      <c r="F19" s="2608"/>
    </row>
    <row r="20" spans="1:6" ht="20.65" customHeight="1" x14ac:dyDescent="0.2">
      <c r="A20" s="1059"/>
      <c r="B20" s="1060"/>
      <c r="C20" s="1061"/>
      <c r="D20" s="2608"/>
      <c r="E20" s="2608"/>
      <c r="F20" s="2608"/>
    </row>
    <row r="21" spans="1:6" ht="20.65" customHeight="1" x14ac:dyDescent="0.2">
      <c r="A21" s="1059"/>
      <c r="B21" s="1060"/>
      <c r="C21" s="1061"/>
      <c r="D21" s="2608"/>
      <c r="E21" s="2608"/>
      <c r="F21" s="2608"/>
    </row>
    <row r="22" spans="1:6" ht="20.65" customHeight="1" x14ac:dyDescent="0.2">
      <c r="A22" s="1059"/>
      <c r="B22" s="1060"/>
      <c r="C22" s="1061"/>
      <c r="D22" s="2608"/>
      <c r="E22" s="2608"/>
      <c r="F22" s="2608"/>
    </row>
    <row r="23" spans="1:6" ht="20.65" customHeight="1" x14ac:dyDescent="0.2">
      <c r="A23" s="1059"/>
      <c r="B23" s="1060"/>
      <c r="C23" s="1061"/>
      <c r="D23" s="2608"/>
      <c r="E23" s="2608"/>
      <c r="F23" s="2608"/>
    </row>
    <row r="24" spans="1:6" ht="20.65" customHeight="1" x14ac:dyDescent="0.2">
      <c r="A24" s="1059"/>
      <c r="B24" s="1060"/>
      <c r="C24" s="1061"/>
      <c r="D24" s="2608"/>
      <c r="E24" s="2608"/>
      <c r="F24" s="2608"/>
    </row>
    <row r="25" spans="1:6" ht="20.65" customHeight="1" x14ac:dyDescent="0.2">
      <c r="A25" s="1059"/>
      <c r="B25" s="1060"/>
      <c r="C25" s="1061"/>
      <c r="D25" s="2608"/>
      <c r="E25" s="2608"/>
      <c r="F25" s="2608"/>
    </row>
    <row r="26" spans="1:6" ht="20.65" customHeight="1" x14ac:dyDescent="0.2">
      <c r="A26" s="1059"/>
      <c r="B26" s="1060"/>
      <c r="C26" s="1061"/>
      <c r="D26" s="2608"/>
      <c r="E26" s="2608"/>
      <c r="F26" s="2608"/>
    </row>
    <row r="27" spans="1:6" ht="20.65" customHeight="1" x14ac:dyDescent="0.2">
      <c r="A27" s="1059"/>
      <c r="B27" s="1060"/>
      <c r="C27" s="1061"/>
      <c r="D27" s="2608"/>
      <c r="E27" s="2608"/>
      <c r="F27" s="2608"/>
    </row>
    <row r="28" spans="1:6" ht="20.65" customHeight="1" x14ac:dyDescent="0.2">
      <c r="A28" s="1059"/>
      <c r="B28" s="1060"/>
      <c r="C28" s="1061"/>
      <c r="D28" s="2608"/>
      <c r="E28" s="2608"/>
      <c r="F28" s="2608"/>
    </row>
    <row r="29" spans="1:6" ht="20.65" customHeight="1" x14ac:dyDescent="0.2">
      <c r="A29" s="1059"/>
      <c r="B29" s="1060"/>
      <c r="C29" s="1061"/>
      <c r="D29" s="2608"/>
      <c r="E29" s="2608"/>
      <c r="F29" s="260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2" t="s">
        <v>2051</v>
      </c>
      <c r="B32" s="2612"/>
      <c r="C32" s="2612"/>
      <c r="D32" s="2612"/>
      <c r="E32" s="2612"/>
      <c r="F32" s="2612"/>
    </row>
    <row r="33" spans="1:6" ht="13.5" customHeight="1" x14ac:dyDescent="0.2">
      <c r="A33" s="306" t="s">
        <v>1417</v>
      </c>
      <c r="B33" s="306"/>
      <c r="C33" s="1064">
        <v>38899</v>
      </c>
      <c r="D33" s="1526"/>
      <c r="E33" s="1062"/>
    </row>
    <row r="34" spans="1:6" ht="13.5" customHeight="1" x14ac:dyDescent="0.2">
      <c r="A34" s="306" t="s">
        <v>1808</v>
      </c>
      <c r="B34" s="306"/>
      <c r="C34" s="1065">
        <v>0</v>
      </c>
      <c r="D34" s="1526" t="s">
        <v>1572</v>
      </c>
      <c r="E34" s="2613">
        <f>+C33+C34</f>
        <v>38899</v>
      </c>
      <c r="F34" s="261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99</v>
      </c>
      <c r="D38" s="1526"/>
      <c r="E38" s="1062"/>
    </row>
    <row r="39" spans="1:6" ht="14.25" customHeight="1" x14ac:dyDescent="0.2">
      <c r="A39" s="306"/>
      <c r="B39" s="306" t="s">
        <v>1419</v>
      </c>
      <c r="C39" s="1068" t="s">
        <v>99</v>
      </c>
      <c r="D39" s="1526"/>
      <c r="E39" s="1062"/>
    </row>
    <row r="40" spans="1:6" ht="14.25" customHeight="1" x14ac:dyDescent="0.2">
      <c r="A40" s="306"/>
      <c r="B40" s="306" t="s">
        <v>1420</v>
      </c>
      <c r="C40" s="1068" t="s">
        <v>99</v>
      </c>
      <c r="D40" s="1526"/>
      <c r="E40" s="1062"/>
    </row>
    <row r="41" spans="1:6" ht="14.25" customHeight="1" x14ac:dyDescent="0.2">
      <c r="A41" s="306"/>
      <c r="B41" s="306" t="s">
        <v>1421</v>
      </c>
      <c r="C41" s="1068" t="s">
        <v>99</v>
      </c>
      <c r="D41" s="1526"/>
      <c r="E41" s="1062"/>
    </row>
    <row r="42" spans="1:6" ht="14.25" customHeight="1" x14ac:dyDescent="0.2">
      <c r="A42" s="306" t="s">
        <v>1422</v>
      </c>
      <c r="B42" s="306"/>
      <c r="C42" s="1524" t="s">
        <v>99</v>
      </c>
      <c r="D42" s="1526"/>
      <c r="E42" s="1062"/>
    </row>
    <row r="43" spans="1:6" ht="14.25" customHeight="1" x14ac:dyDescent="0.2">
      <c r="A43" s="306" t="s">
        <v>1423</v>
      </c>
      <c r="B43" s="306"/>
      <c r="C43" s="1069" t="s">
        <v>99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5" t="s">
        <v>1573</v>
      </c>
      <c r="C49" s="2615"/>
      <c r="D49" s="2615"/>
      <c r="E49" s="1168"/>
    </row>
    <row r="50" spans="1:5" s="1076" customFormat="1" ht="3.75" customHeight="1" x14ac:dyDescent="0.2">
      <c r="A50" s="1075"/>
      <c r="B50" s="1475"/>
      <c r="C50" s="1475"/>
      <c r="D50" s="1475"/>
      <c r="E50" s="1168"/>
    </row>
    <row r="51" spans="1:5" s="1076" customFormat="1" ht="20.25" customHeight="1" x14ac:dyDescent="0.2">
      <c r="A51" s="1077">
        <v>6</v>
      </c>
      <c r="B51" s="2611" t="s">
        <v>1534</v>
      </c>
      <c r="C51" s="2611"/>
      <c r="D51" s="2611"/>
    </row>
    <row r="52" spans="1:5" ht="14.25" customHeight="1" x14ac:dyDescent="0.2">
      <c r="A52" s="1077"/>
      <c r="B52" s="2611"/>
      <c r="C52" s="2611"/>
      <c r="D52" s="261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Chester Community Unit School District No. 139</v>
      </c>
      <c r="C1" s="2525"/>
      <c r="D1" s="2525"/>
      <c r="E1" s="2525"/>
      <c r="F1" s="2525"/>
      <c r="G1" s="2525"/>
      <c r="H1" s="2525"/>
      <c r="I1" s="2525"/>
      <c r="J1" s="2525"/>
      <c r="K1" s="2525"/>
      <c r="L1" s="1144"/>
      <c r="M1" s="1144"/>
    </row>
    <row r="2" spans="1:13" ht="12" customHeight="1" x14ac:dyDescent="0.2">
      <c r="B2" s="2527" t="str">
        <f>'Single Audit Cover'!E7</f>
        <v>45-079-1390-26</v>
      </c>
      <c r="C2" s="2527"/>
      <c r="D2" s="2527"/>
      <c r="E2" s="2527"/>
      <c r="F2" s="2527"/>
      <c r="G2" s="2527"/>
      <c r="H2" s="2527"/>
      <c r="I2" s="2527"/>
      <c r="J2" s="2527"/>
      <c r="K2" s="2527"/>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t="s">
        <v>2054</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t="s">
        <v>2203</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1" t="s">
        <v>2055</v>
      </c>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t="s">
        <v>2056</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t="s">
        <v>2057</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t="s">
        <v>2204</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6" t="s">
        <v>2058</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B39A-76CD-4C24-8B3B-76ABBF36AF54}">
  <sheetPr>
    <tabColor rgb="FFFFFF00"/>
  </sheetPr>
  <dimension ref="A1:M41"/>
  <sheetViews>
    <sheetView showGridLines="0" zoomScale="110" zoomScaleNormal="110" workbookViewId="0">
      <selection activeCell="H19" sqref="H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Chester Community Unit School District No. 139</v>
      </c>
      <c r="C1" s="2525"/>
      <c r="D1" s="2525"/>
      <c r="E1" s="2525"/>
      <c r="F1" s="2525"/>
      <c r="G1" s="2525"/>
      <c r="H1" s="2525"/>
      <c r="I1" s="2525"/>
      <c r="J1" s="2525"/>
      <c r="K1" s="2525"/>
      <c r="L1" s="1144"/>
      <c r="M1" s="1144"/>
    </row>
    <row r="2" spans="1:13" ht="12" customHeight="1" x14ac:dyDescent="0.2">
      <c r="B2" s="2527" t="str">
        <f>'Single Audit Cover'!E7</f>
        <v>45-079-1390-26</v>
      </c>
      <c r="C2" s="2527"/>
      <c r="D2" s="2527"/>
      <c r="E2" s="2527"/>
      <c r="F2" s="2527"/>
      <c r="G2" s="2527"/>
      <c r="H2" s="2527"/>
      <c r="I2" s="2527"/>
      <c r="J2" s="2527"/>
      <c r="K2" s="2527"/>
      <c r="L2" s="1145"/>
      <c r="M2" s="1146"/>
    </row>
    <row r="3" spans="1:13" ht="10.35" customHeight="1" x14ac:dyDescent="0.2">
      <c r="B3" s="2618" t="s">
        <v>1274</v>
      </c>
      <c r="C3" s="2618"/>
      <c r="D3" s="2618"/>
      <c r="E3" s="2618"/>
      <c r="F3" s="2618"/>
      <c r="G3" s="2618"/>
      <c r="H3" s="2618"/>
      <c r="I3" s="2618"/>
      <c r="J3" s="2618"/>
      <c r="K3" s="2618"/>
      <c r="L3" s="2035"/>
      <c r="M3" s="2035"/>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2</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t="s">
        <v>2091</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t="s">
        <v>2201</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1" t="s">
        <v>2096</v>
      </c>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t="s">
        <v>2092</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t="s">
        <v>2093</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t="s">
        <v>2094</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6" t="s">
        <v>2095</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D948-2E03-49DB-982A-29BF19940E0A}">
  <sheetPr>
    <tabColor rgb="FFFFFF00"/>
  </sheetPr>
  <dimension ref="A1:M41"/>
  <sheetViews>
    <sheetView showGridLines="0" topLeftCell="A7" zoomScale="110" zoomScaleNormal="110" workbookViewId="0">
      <selection activeCell="P23" sqref="P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Chester Community Unit School District No. 139</v>
      </c>
      <c r="C1" s="2525"/>
      <c r="D1" s="2525"/>
      <c r="E1" s="2525"/>
      <c r="F1" s="2525"/>
      <c r="G1" s="2525"/>
      <c r="H1" s="2525"/>
      <c r="I1" s="2525"/>
      <c r="J1" s="2525"/>
      <c r="K1" s="2525"/>
      <c r="L1" s="1144"/>
      <c r="M1" s="1144"/>
    </row>
    <row r="2" spans="1:13" ht="12" customHeight="1" x14ac:dyDescent="0.2">
      <c r="B2" s="2527" t="str">
        <f>'Single Audit Cover'!E7</f>
        <v>45-079-1390-26</v>
      </c>
      <c r="C2" s="2527"/>
      <c r="D2" s="2527"/>
      <c r="E2" s="2527"/>
      <c r="F2" s="2527"/>
      <c r="G2" s="2527"/>
      <c r="H2" s="2527"/>
      <c r="I2" s="2527"/>
      <c r="J2" s="2527"/>
      <c r="K2" s="2527"/>
      <c r="L2" s="1145"/>
      <c r="M2" s="1146"/>
    </row>
    <row r="3" spans="1:13" ht="10.35" customHeight="1" x14ac:dyDescent="0.2">
      <c r="B3" s="2618" t="s">
        <v>1274</v>
      </c>
      <c r="C3" s="2618"/>
      <c r="D3" s="2618"/>
      <c r="E3" s="2618"/>
      <c r="F3" s="2618"/>
      <c r="G3" s="2618"/>
      <c r="H3" s="2618"/>
      <c r="I3" s="2618"/>
      <c r="J3" s="2618"/>
      <c r="K3" s="2618"/>
      <c r="L3" s="2036"/>
      <c r="M3" s="2036"/>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3</v>
      </c>
      <c r="E10" s="300"/>
      <c r="F10" s="1156" t="s">
        <v>1284</v>
      </c>
      <c r="G10" s="1157" t="s">
        <v>2048</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t="s">
        <v>2145</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t="s">
        <v>2146</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1" t="s">
        <v>2147</v>
      </c>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t="s">
        <v>2148</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t="s">
        <v>2149</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t="s">
        <v>2150</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22" t="s">
        <v>2153</v>
      </c>
      <c r="C32" s="2622"/>
      <c r="D32" s="2623"/>
      <c r="E32" s="2623"/>
      <c r="F32" s="2623"/>
      <c r="G32" s="2623"/>
      <c r="H32" s="2623"/>
      <c r="I32" s="2623"/>
      <c r="J32" s="2623"/>
      <c r="K32" s="262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L48"/>
  <sheetViews>
    <sheetView showGridLines="0" zoomScale="110" zoomScaleNormal="110" workbookViewId="0">
      <selection activeCell="I28" sqref="I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Chester Community Unit School District No. 139</v>
      </c>
      <c r="C1" s="2624"/>
      <c r="D1" s="2624"/>
      <c r="E1" s="2624"/>
      <c r="F1" s="2624"/>
      <c r="G1" s="2624"/>
      <c r="H1" s="2624"/>
      <c r="I1" s="2624"/>
      <c r="J1" s="2624"/>
      <c r="K1" s="2624"/>
      <c r="L1" s="1221"/>
    </row>
    <row r="2" spans="1:12" ht="12.75" customHeight="1" x14ac:dyDescent="0.2">
      <c r="B2" s="2625" t="str">
        <f>'Single Audit Cover'!E7</f>
        <v>45-079-1390-26</v>
      </c>
      <c r="C2" s="2625"/>
      <c r="D2" s="2625"/>
      <c r="E2" s="2625"/>
      <c r="F2" s="2625"/>
      <c r="G2" s="2625"/>
      <c r="H2" s="2625"/>
      <c r="I2" s="2625"/>
      <c r="J2" s="2625"/>
      <c r="K2" s="2625"/>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32" t="s">
        <v>2049</v>
      </c>
      <c r="G12" s="2532"/>
      <c r="H12" s="2532"/>
      <c r="I12" s="2532"/>
      <c r="J12" s="2532"/>
      <c r="K12" s="253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t="s">
        <v>2049</v>
      </c>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B1:E73"/>
  <sheetViews>
    <sheetView showGridLines="0" zoomScale="110" zoomScaleNormal="110" workbookViewId="0">
      <selection activeCell="C27" sqref="C2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25" t="str">
        <f>'Single Audit Cover'!A7</f>
        <v>Chester Community Unit School District No. 139</v>
      </c>
      <c r="C1" s="2525"/>
      <c r="D1" s="2525"/>
      <c r="E1" s="1240"/>
    </row>
    <row r="2" spans="2:5" s="1058" customFormat="1" ht="12.75" customHeight="1" x14ac:dyDescent="0.2">
      <c r="B2" s="2527" t="str">
        <f>'Single Audit Cover'!E7</f>
        <v>45-079-1390-26</v>
      </c>
      <c r="C2" s="2527"/>
      <c r="D2" s="2527"/>
      <c r="E2" s="1241"/>
    </row>
    <row r="3" spans="2:5" ht="12.75" customHeight="1" x14ac:dyDescent="0.2">
      <c r="B3" s="2618" t="s">
        <v>1740</v>
      </c>
      <c r="C3" s="2618"/>
      <c r="D3" s="2618"/>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2059</v>
      </c>
      <c r="C7" s="302" t="s">
        <v>2060</v>
      </c>
      <c r="D7" s="302" t="s">
        <v>2067</v>
      </c>
      <c r="E7" s="302"/>
    </row>
    <row r="8" spans="2:5" ht="13.5" customHeight="1" x14ac:dyDescent="0.2">
      <c r="B8" s="1245"/>
      <c r="C8" s="302" t="s">
        <v>2061</v>
      </c>
      <c r="D8" s="302" t="s">
        <v>2068</v>
      </c>
      <c r="E8" s="302"/>
    </row>
    <row r="9" spans="2:5" ht="13.5" customHeight="1" x14ac:dyDescent="0.2">
      <c r="B9" s="1246"/>
      <c r="C9" s="301" t="s">
        <v>2062</v>
      </c>
      <c r="D9" s="301" t="s">
        <v>2076</v>
      </c>
      <c r="E9" s="301"/>
    </row>
    <row r="10" spans="2:5" ht="13.5" customHeight="1" x14ac:dyDescent="0.2">
      <c r="B10" s="1245"/>
      <c r="C10" s="301" t="s">
        <v>2063</v>
      </c>
      <c r="D10" s="301" t="s">
        <v>2069</v>
      </c>
      <c r="E10" s="301"/>
    </row>
    <row r="11" spans="2:5" ht="13.5" customHeight="1" x14ac:dyDescent="0.2">
      <c r="B11" s="1245"/>
      <c r="C11" s="301" t="s">
        <v>2064</v>
      </c>
      <c r="D11" s="301" t="s">
        <v>2070</v>
      </c>
      <c r="E11" s="301"/>
    </row>
    <row r="12" spans="2:5" ht="13.5" customHeight="1" x14ac:dyDescent="0.2">
      <c r="B12" s="1245"/>
      <c r="C12" s="301" t="s">
        <v>2065</v>
      </c>
      <c r="D12" s="301" t="s">
        <v>2071</v>
      </c>
      <c r="E12" s="301"/>
    </row>
    <row r="13" spans="2:5" ht="13.5" customHeight="1" x14ac:dyDescent="0.2">
      <c r="B13" s="1245"/>
      <c r="C13" s="301" t="s">
        <v>2066</v>
      </c>
      <c r="D13" s="301" t="s">
        <v>2072</v>
      </c>
      <c r="E13" s="301"/>
    </row>
    <row r="14" spans="2:5" ht="13.5" customHeight="1" x14ac:dyDescent="0.2">
      <c r="B14" s="1245"/>
      <c r="C14" s="301"/>
      <c r="D14" s="301" t="s">
        <v>2073</v>
      </c>
      <c r="E14" s="301"/>
    </row>
    <row r="15" spans="2:5" ht="13.5" customHeight="1" x14ac:dyDescent="0.2">
      <c r="B15" s="1245"/>
      <c r="C15" s="301"/>
      <c r="D15" s="301" t="s">
        <v>2074</v>
      </c>
      <c r="E15" s="301"/>
    </row>
    <row r="16" spans="2:5" ht="13.5" customHeight="1" x14ac:dyDescent="0.2">
      <c r="B16" s="1245"/>
      <c r="C16" s="301"/>
      <c r="D16" s="301" t="s">
        <v>2075</v>
      </c>
      <c r="E16" s="301"/>
    </row>
    <row r="17" spans="2:5" ht="13.5" customHeight="1" x14ac:dyDescent="0.2">
      <c r="B17" s="1245"/>
      <c r="C17" s="301"/>
      <c r="D17" s="301"/>
      <c r="E17" s="301"/>
    </row>
    <row r="18" spans="2:5" ht="13.5" customHeight="1" x14ac:dyDescent="0.2">
      <c r="B18" s="1245" t="s">
        <v>2077</v>
      </c>
      <c r="C18" s="301" t="s">
        <v>2078</v>
      </c>
      <c r="D18" s="2037" t="s">
        <v>2097</v>
      </c>
      <c r="E18" s="301"/>
    </row>
    <row r="19" spans="2:5" ht="13.5" customHeight="1" x14ac:dyDescent="0.2">
      <c r="B19" s="1245"/>
      <c r="C19" s="301" t="s">
        <v>2079</v>
      </c>
      <c r="D19" s="2037" t="s">
        <v>2098</v>
      </c>
      <c r="E19" s="301"/>
    </row>
    <row r="20" spans="2:5" ht="13.5" customHeight="1" x14ac:dyDescent="0.2">
      <c r="B20" s="1245"/>
      <c r="C20" s="301" t="s">
        <v>2080</v>
      </c>
      <c r="D20" s="2037" t="s">
        <v>2099</v>
      </c>
      <c r="E20" s="301"/>
    </row>
    <row r="21" spans="2:5" ht="13.5" customHeight="1" x14ac:dyDescent="0.2">
      <c r="B21" s="1245"/>
      <c r="C21" s="301" t="s">
        <v>2081</v>
      </c>
      <c r="D21" s="2037" t="s">
        <v>2100</v>
      </c>
      <c r="E21" s="301"/>
    </row>
    <row r="22" spans="2:5" ht="13.5" customHeight="1" x14ac:dyDescent="0.2">
      <c r="B22" s="1245"/>
      <c r="C22" s="301" t="s">
        <v>2082</v>
      </c>
      <c r="D22" s="2037"/>
      <c r="E22" s="301"/>
    </row>
    <row r="23" spans="2:5" ht="13.5" customHeight="1" x14ac:dyDescent="0.2">
      <c r="B23" s="1245"/>
      <c r="C23" s="301"/>
      <c r="D23" s="301"/>
      <c r="E23" s="301"/>
    </row>
    <row r="24" spans="2:5" ht="13.5" customHeight="1" x14ac:dyDescent="0.2">
      <c r="B24" s="1245" t="s">
        <v>2083</v>
      </c>
      <c r="C24" s="301" t="s">
        <v>2084</v>
      </c>
      <c r="D24" s="301" t="s">
        <v>2086</v>
      </c>
      <c r="E24" s="301"/>
    </row>
    <row r="25" spans="2:5" ht="13.5" customHeight="1" x14ac:dyDescent="0.2">
      <c r="B25" s="1245"/>
      <c r="C25" s="301" t="s">
        <v>2085</v>
      </c>
      <c r="D25" s="301" t="s">
        <v>2087</v>
      </c>
      <c r="E25" s="301"/>
    </row>
    <row r="26" spans="2:5" ht="13.5" customHeight="1" x14ac:dyDescent="0.2">
      <c r="B26" s="1245"/>
      <c r="C26" s="301" t="s">
        <v>2152</v>
      </c>
      <c r="D26" s="301" t="s">
        <v>2088</v>
      </c>
      <c r="E26" s="301"/>
    </row>
    <row r="27" spans="2:5" ht="13.5" customHeight="1" x14ac:dyDescent="0.2">
      <c r="B27" s="1245"/>
      <c r="C27" s="301" t="s">
        <v>2151</v>
      </c>
      <c r="D27" s="301" t="s">
        <v>2089</v>
      </c>
      <c r="E27" s="301"/>
    </row>
    <row r="28" spans="2:5" ht="13.5" customHeight="1" x14ac:dyDescent="0.2">
      <c r="B28" s="1245"/>
      <c r="C28" s="301"/>
      <c r="D28" s="301" t="s">
        <v>2090</v>
      </c>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104333207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1.6899999999999998E-2</v>
      </c>
      <c r="E10" s="333" t="s">
        <v>998</v>
      </c>
      <c r="F10" s="332">
        <v>4.4999999999999997E-3</v>
      </c>
      <c r="G10" s="333" t="s">
        <v>998</v>
      </c>
      <c r="H10" s="332">
        <v>1.8E-3</v>
      </c>
      <c r="I10" s="333" t="s">
        <v>999</v>
      </c>
      <c r="J10" s="1424">
        <f>ROUND(D10+F10+H10,5)</f>
        <v>2.3199999999999998E-2</v>
      </c>
      <c r="K10" s="217"/>
      <c r="L10" s="332">
        <v>4.1900000000000001E-3</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9372871</v>
      </c>
      <c r="E16" s="1547"/>
      <c r="F16" s="1546">
        <f>SUM('Acct Summary 7-8'!C17,'Acct Summary 7-8'!D17,'Acct Summary 7-8'!F17)</f>
        <v>8747662</v>
      </c>
      <c r="G16" s="1547"/>
      <c r="H16" s="1546">
        <f>SUM(D16-F16)</f>
        <v>625209</v>
      </c>
      <c r="I16" s="1548"/>
      <c r="J16" s="1546">
        <f>SUM('Acct Summary 7-8'!C81,'Acct Summary 7-8'!D81,'Acct Summary 7-8'!F81,'Acct Summary 7-8'!I81)</f>
        <v>2374330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14397982.566000002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7480000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differentOddEven="1" scaleWithDoc="0">
    <oddHeader>&amp;L&amp;8Page &amp;P&amp;C &amp;R&amp;8Page &amp;P</oddHeader>
    <oddFooter>&amp;LSee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Chester Community Unit School District No. 139</v>
      </c>
      <c r="E7" s="368"/>
      <c r="G7" s="247"/>
      <c r="H7" s="364"/>
      <c r="I7" s="364"/>
      <c r="J7" s="364"/>
      <c r="K7" s="364"/>
      <c r="L7" s="307"/>
      <c r="M7" s="307"/>
      <c r="N7" s="307"/>
      <c r="O7" s="307"/>
      <c r="P7" s="307"/>
    </row>
    <row r="8" spans="1:18" ht="12.75" x14ac:dyDescent="0.2">
      <c r="A8" s="307"/>
      <c r="B8" s="307"/>
      <c r="C8" s="366" t="s">
        <v>1115</v>
      </c>
      <c r="D8" s="369" t="str">
        <f>COVER!A13</f>
        <v>45-079-1390-26</v>
      </c>
      <c r="E8" s="370"/>
      <c r="G8" s="307"/>
      <c r="H8" s="307"/>
      <c r="I8" s="307"/>
      <c r="J8" s="307"/>
      <c r="K8" s="307"/>
      <c r="L8" s="307"/>
      <c r="M8" s="307"/>
      <c r="N8" s="307"/>
      <c r="O8" s="307"/>
      <c r="P8" s="307"/>
    </row>
    <row r="9" spans="1:18" ht="12.75" x14ac:dyDescent="0.2">
      <c r="A9" s="307"/>
      <c r="B9" s="307"/>
      <c r="C9" s="366" t="s">
        <v>708</v>
      </c>
      <c r="D9" s="371" t="str">
        <f>COVER!A15</f>
        <v>Randolph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2374330</v>
      </c>
      <c r="I12" s="380"/>
      <c r="J12" s="380"/>
      <c r="K12" s="1559">
        <f>TRUNC((H12/H13*100000),5)/100000</f>
        <v>0.25331939380000001</v>
      </c>
      <c r="L12" s="381"/>
      <c r="M12" s="337" t="s">
        <v>1134</v>
      </c>
      <c r="N12" s="337"/>
      <c r="O12" s="1562">
        <v>0.35</v>
      </c>
      <c r="P12" s="213"/>
      <c r="Q12" s="213"/>
    </row>
    <row r="13" spans="1:18" s="382" customFormat="1" ht="12.75" x14ac:dyDescent="0.2">
      <c r="A13" s="213"/>
      <c r="B13" s="377"/>
      <c r="C13" s="2215" t="s">
        <v>1313</v>
      </c>
      <c r="D13" s="2216"/>
      <c r="E13" s="213"/>
      <c r="F13" s="383" t="s">
        <v>788</v>
      </c>
      <c r="G13" s="378"/>
      <c r="H13" s="1551">
        <f>SUM('Acct Summary 7-8'!C8+'Acct Summary 7-8'!D8+'Acct Summary 7-8'!F8+'Acct Summary 7-8'!I8)+H14</f>
        <v>9372871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8747662</v>
      </c>
      <c r="I17" s="380"/>
      <c r="J17" s="389"/>
      <c r="K17" s="1559">
        <f>TRUNC((H17/H18*100000),5)/100000</f>
        <v>0.93329589189999995</v>
      </c>
      <c r="L17" s="381"/>
      <c r="M17" s="390" t="s">
        <v>1161</v>
      </c>
      <c r="O17" s="1565" t="str">
        <f>IF(AND(O16="2", J20 &gt; 2),"1",IF(AND(O16 = "1", J20 &gt; 2),"2",IF(AND(O16="1", J20 &gt;1),"1","0")))</f>
        <v>0</v>
      </c>
      <c r="P17" s="213"/>
    </row>
    <row r="18" spans="1:18" s="382" customFormat="1" ht="11.25" x14ac:dyDescent="0.2">
      <c r="A18" s="213"/>
      <c r="B18" s="377"/>
      <c r="C18" s="2215" t="s">
        <v>1306</v>
      </c>
      <c r="D18" s="2216"/>
      <c r="E18" s="213"/>
      <c r="F18" s="391" t="s">
        <v>789</v>
      </c>
      <c r="G18" s="378"/>
      <c r="H18" s="1551">
        <f>SUM('Acct Summary 7-8'!C8+'Acct Summary 7-8'!D8+'Acct Summary 7-8'!F8+'Acct Summary 7-8'!I8)+H19</f>
        <v>9372871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2" t="s">
        <v>1395</v>
      </c>
      <c r="D24" s="2212"/>
      <c r="E24" s="213"/>
      <c r="F24" s="213" t="s">
        <v>442</v>
      </c>
      <c r="G24" s="378"/>
      <c r="H24" s="1551">
        <f>SUM('Assets-Liab 5-6'!C4+'Assets-Liab 5-6'!D4+'Assets-Liab 5-6'!F4+'Assets-Liab 5-6'!I4+'Assets-Liab 5-6'!C5+'Assets-Liab 5-6'!D5+'Assets-Liab 5-6'!F5+'Assets-Liab 5-6'!I5)</f>
        <v>2370854</v>
      </c>
      <c r="I24" s="394"/>
      <c r="J24" s="394"/>
      <c r="K24" s="1555">
        <f>TRUNC(((H24/H25*100000)/100000),2)</f>
        <v>97.56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24299.061109999999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2057450.84204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7480000</v>
      </c>
      <c r="I32" s="392"/>
      <c r="J32" s="392"/>
      <c r="K32" s="1555">
        <f>TRUNC(100-((((H32/H33*100))*100)/100),2)</f>
        <v>48.04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14397982.566000002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6"/>
      <c r="D3" s="1307"/>
      <c r="E3" s="1307"/>
      <c r="F3" s="1307"/>
      <c r="G3" s="1307"/>
      <c r="H3" s="1307"/>
      <c r="I3" s="1307"/>
      <c r="J3" s="1307"/>
      <c r="K3" s="1307"/>
      <c r="L3" s="1307"/>
      <c r="M3" s="1308"/>
      <c r="N3" s="1309"/>
    </row>
    <row r="4" spans="1:14" ht="13.5" customHeight="1" x14ac:dyDescent="0.2">
      <c r="A4" s="427" t="s">
        <v>1632</v>
      </c>
      <c r="B4" s="428"/>
      <c r="C4" s="1572">
        <v>1743862</v>
      </c>
      <c r="D4" s="1573">
        <v>75711</v>
      </c>
      <c r="E4" s="1573">
        <v>834226</v>
      </c>
      <c r="F4" s="1573">
        <v>228035</v>
      </c>
      <c r="G4" s="1573">
        <v>69226</v>
      </c>
      <c r="H4" s="1573">
        <v>549949</v>
      </c>
      <c r="I4" s="1573">
        <v>323246</v>
      </c>
      <c r="J4" s="1574">
        <v>46851</v>
      </c>
      <c r="K4" s="1573">
        <v>535875</v>
      </c>
      <c r="L4" s="1573">
        <v>220464</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1743862</v>
      </c>
      <c r="D13" s="1587">
        <f t="shared" ref="D13:L13" si="0">SUM(D4:D12)</f>
        <v>75711</v>
      </c>
      <c r="E13" s="1587">
        <f t="shared" si="0"/>
        <v>834226</v>
      </c>
      <c r="F13" s="1587">
        <f t="shared" si="0"/>
        <v>228035</v>
      </c>
      <c r="G13" s="1587">
        <f t="shared" si="0"/>
        <v>69226</v>
      </c>
      <c r="H13" s="1587">
        <f t="shared" si="0"/>
        <v>549949</v>
      </c>
      <c r="I13" s="1587">
        <f t="shared" si="0"/>
        <v>323246</v>
      </c>
      <c r="J13" s="1587">
        <f t="shared" si="0"/>
        <v>46851</v>
      </c>
      <c r="K13" s="1587">
        <f t="shared" si="0"/>
        <v>535875</v>
      </c>
      <c r="L13" s="1587">
        <f t="shared" si="0"/>
        <v>220464</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251280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23873002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1386375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2260844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889191</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834226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6645774</v>
      </c>
    </row>
    <row r="23" spans="1:14" ht="13.5" customHeight="1" thickBot="1" x14ac:dyDescent="0.25">
      <c r="A23" s="1426" t="s">
        <v>638</v>
      </c>
      <c r="B23" s="1429"/>
      <c r="C23" s="1575"/>
      <c r="D23" s="1575"/>
      <c r="E23" s="1575"/>
      <c r="F23" s="1575"/>
      <c r="G23" s="1575"/>
      <c r="H23" s="1575"/>
      <c r="I23" s="1575"/>
      <c r="J23" s="1575"/>
      <c r="K23" s="1575"/>
      <c r="L23" s="1575"/>
      <c r="M23" s="1594">
        <f>SUM(M15:M22)</f>
        <v>28660692</v>
      </c>
      <c r="N23" s="1594">
        <f>SUM(N21:N22)</f>
        <v>7480000</v>
      </c>
    </row>
    <row r="24" spans="1:14" ht="18" customHeight="1" thickTop="1" x14ac:dyDescent="0.2">
      <c r="A24" s="2226" t="s">
        <v>594</v>
      </c>
      <c r="B24" s="222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-2558</v>
      </c>
      <c r="D31" s="1574"/>
      <c r="E31" s="1574"/>
      <c r="F31" s="1573"/>
      <c r="G31" s="1574"/>
      <c r="H31" s="1574"/>
      <c r="I31" s="1574"/>
      <c r="J31" s="1574"/>
      <c r="K31" s="1574"/>
      <c r="L31" s="1575"/>
      <c r="M31" s="1575"/>
      <c r="N31" s="1575"/>
    </row>
    <row r="32" spans="1:14" ht="13.5" customHeight="1" x14ac:dyDescent="0.2">
      <c r="A32" s="434" t="s">
        <v>647</v>
      </c>
      <c r="B32" s="435">
        <v>490</v>
      </c>
      <c r="C32" s="1599">
        <v>185</v>
      </c>
      <c r="D32" s="1599">
        <v>-1103</v>
      </c>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220464</v>
      </c>
      <c r="M33" s="1575"/>
      <c r="N33" s="1576"/>
    </row>
    <row r="34" spans="1:14" ht="13.5" customHeight="1" thickBot="1" x14ac:dyDescent="0.25">
      <c r="A34" s="1427" t="s">
        <v>649</v>
      </c>
      <c r="B34" s="1428"/>
      <c r="C34" s="1600">
        <f>SUM(C25:C33)</f>
        <v>-2373</v>
      </c>
      <c r="D34" s="1600">
        <f t="shared" ref="D34:K34" si="1">SUM(D25:D33)</f>
        <v>-1103</v>
      </c>
      <c r="E34" s="1600">
        <f t="shared" si="1"/>
        <v>0</v>
      </c>
      <c r="F34" s="1600">
        <f t="shared" si="1"/>
        <v>0</v>
      </c>
      <c r="G34" s="1600">
        <f t="shared" si="1"/>
        <v>0</v>
      </c>
      <c r="H34" s="1600">
        <f t="shared" si="1"/>
        <v>0</v>
      </c>
      <c r="I34" s="1600">
        <f t="shared" si="1"/>
        <v>0</v>
      </c>
      <c r="J34" s="1600">
        <f t="shared" si="1"/>
        <v>0</v>
      </c>
      <c r="K34" s="1600">
        <f t="shared" si="1"/>
        <v>0</v>
      </c>
      <c r="L34" s="1601">
        <f>SUM(L33)</f>
        <v>220464</v>
      </c>
      <c r="M34" s="1575"/>
      <c r="N34" s="1585"/>
    </row>
    <row r="35" spans="1:14" ht="18" customHeight="1" thickTop="1" x14ac:dyDescent="0.2">
      <c r="A35" s="2228" t="s">
        <v>526</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7480000</v>
      </c>
    </row>
    <row r="37" spans="1:14" ht="13.5" thickBot="1" x14ac:dyDescent="0.25">
      <c r="A37" s="1426" t="s">
        <v>648</v>
      </c>
      <c r="B37" s="1429"/>
      <c r="C37" s="1582"/>
      <c r="D37" s="1582"/>
      <c r="E37" s="1582"/>
      <c r="F37" s="1582"/>
      <c r="G37" s="1582"/>
      <c r="H37" s="1582"/>
      <c r="I37" s="1582"/>
      <c r="J37" s="1582"/>
      <c r="K37" s="1582"/>
      <c r="L37" s="1585"/>
      <c r="M37" s="1575"/>
      <c r="N37" s="1594">
        <f>SUM(N36:N36)</f>
        <v>7480000</v>
      </c>
    </row>
    <row r="38" spans="1:14" s="307" customFormat="1" ht="13.5" customHeight="1" thickTop="1" x14ac:dyDescent="0.2">
      <c r="A38" s="438" t="s">
        <v>417</v>
      </c>
      <c r="B38" s="432">
        <v>714</v>
      </c>
      <c r="C38" s="1573">
        <v>81221</v>
      </c>
      <c r="D38" s="1573"/>
      <c r="E38" s="1573">
        <v>834226</v>
      </c>
      <c r="F38" s="1573">
        <v>133574</v>
      </c>
      <c r="G38" s="1573">
        <v>69226</v>
      </c>
      <c r="H38" s="1573">
        <v>549949</v>
      </c>
      <c r="I38" s="1573"/>
      <c r="J38" s="1574">
        <v>46851</v>
      </c>
      <c r="K38" s="1573">
        <v>535875</v>
      </c>
      <c r="L38" s="1586"/>
      <c r="M38" s="1604"/>
      <c r="N38" s="1604"/>
    </row>
    <row r="39" spans="1:14" s="307" customFormat="1" ht="13.5" customHeight="1" x14ac:dyDescent="0.2">
      <c r="A39" s="438" t="s">
        <v>339</v>
      </c>
      <c r="B39" s="432">
        <v>730</v>
      </c>
      <c r="C39" s="1573">
        <v>1665014</v>
      </c>
      <c r="D39" s="1573">
        <v>76814</v>
      </c>
      <c r="E39" s="1573"/>
      <c r="F39" s="1573">
        <v>94461</v>
      </c>
      <c r="G39" s="1573"/>
      <c r="H39" s="1573"/>
      <c r="I39" s="1573">
        <v>323246</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28660692</v>
      </c>
      <c r="N40" s="1604"/>
    </row>
    <row r="41" spans="1:14" ht="13.5" customHeight="1" thickBot="1" x14ac:dyDescent="0.25">
      <c r="A41" s="1426" t="s">
        <v>650</v>
      </c>
      <c r="B41" s="1405"/>
      <c r="C41" s="1594">
        <f>(SUM(C34,C37,C38,C39))</f>
        <v>1743862</v>
      </c>
      <c r="D41" s="1594">
        <f t="shared" ref="D41:L41" si="2">SUM(D34,D37,D38:D39)</f>
        <v>75711</v>
      </c>
      <c r="E41" s="1594">
        <f t="shared" si="2"/>
        <v>834226</v>
      </c>
      <c r="F41" s="1594">
        <f t="shared" si="2"/>
        <v>228035</v>
      </c>
      <c r="G41" s="1594">
        <f t="shared" si="2"/>
        <v>69226</v>
      </c>
      <c r="H41" s="1594">
        <f t="shared" si="2"/>
        <v>549949</v>
      </c>
      <c r="I41" s="1594">
        <f t="shared" si="2"/>
        <v>323246</v>
      </c>
      <c r="J41" s="1594">
        <f t="shared" si="2"/>
        <v>46851</v>
      </c>
      <c r="K41" s="1594">
        <f t="shared" si="2"/>
        <v>535875</v>
      </c>
      <c r="L41" s="1594">
        <f t="shared" si="2"/>
        <v>220464</v>
      </c>
      <c r="M41" s="1594">
        <f>SUM(M40)</f>
        <v>28660692</v>
      </c>
      <c r="N41" s="1594">
        <f>SUM(N37)</f>
        <v>7480000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differentFirst="1" scaleWithDoc="0">
    <oddHeader>&amp;L&amp;8Page &amp;P&amp;C&amp;"Arial,Bold"&amp;9BASIC FINANCIAL STATEMENTS
STATEMENT OF ASSETS AND LIABILITIES ARISING FROM CASH TRANSACTIONS
STATEMENT OF POSITION AS OF JUNE 30, 2020
&amp;R&amp;8Page &amp;P</oddHeader>
    <oddFooter>&amp;LSee notes to financial statements.</oddFooter>
    <firstFooter>&amp;LSee notes to financial statements.</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pane="bottomLeft" activeCell="I48" sqref="I4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1165</v>
      </c>
      <c r="B3" s="2251"/>
      <c r="C3" s="1311"/>
      <c r="D3" s="1312"/>
      <c r="E3" s="1312"/>
      <c r="F3" s="1312"/>
      <c r="G3" s="1312"/>
      <c r="H3" s="1312"/>
      <c r="I3" s="1312"/>
      <c r="J3" s="1312"/>
      <c r="K3" s="1313"/>
      <c r="L3" s="446"/>
    </row>
    <row r="4" spans="1:13" ht="15.75" customHeight="1" x14ac:dyDescent="0.2">
      <c r="A4" s="1537" t="s">
        <v>1482</v>
      </c>
      <c r="B4" s="1538">
        <v>1000</v>
      </c>
      <c r="C4" s="1606">
        <f>'Revenues 9-14'!C109</f>
        <v>2277182</v>
      </c>
      <c r="D4" s="1606">
        <f>'Revenues 9-14'!D109</f>
        <v>466244</v>
      </c>
      <c r="E4" s="1606">
        <f>'Revenues 9-14'!E109</f>
        <v>919139</v>
      </c>
      <c r="F4" s="1606">
        <f>'Revenues 9-14'!F109</f>
        <v>186483</v>
      </c>
      <c r="G4" s="1606">
        <f>'Revenues 9-14'!G109</f>
        <v>209228</v>
      </c>
      <c r="H4" s="1606">
        <f>'Revenues 9-14'!H109</f>
        <v>58224</v>
      </c>
      <c r="I4" s="1606">
        <f>'Revenues 9-14'!I109</f>
        <v>43804</v>
      </c>
      <c r="J4" s="1606">
        <f>'Revenues 9-14'!J109</f>
        <v>119537</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4771733</v>
      </c>
      <c r="D6" s="1607">
        <f>'Revenues 9-14'!D170</f>
        <v>250000</v>
      </c>
      <c r="E6" s="1607">
        <f>'Revenues 9-14'!E170</f>
        <v>0</v>
      </c>
      <c r="F6" s="1607">
        <f>'Revenues 9-14'!F170</f>
        <v>567691</v>
      </c>
      <c r="G6" s="1607">
        <f>'Revenues 9-14'!G170</f>
        <v>50000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809734</v>
      </c>
      <c r="D7" s="1607">
        <f>'Revenues 9-14'!D267</f>
        <v>0</v>
      </c>
      <c r="E7" s="1607">
        <f>'Revenues 9-14'!E267</f>
        <v>0</v>
      </c>
      <c r="F7" s="1607">
        <f>'Revenues 9-14'!F267</f>
        <v>0</v>
      </c>
      <c r="G7" s="1607">
        <f>'Revenues 9-14'!G267</f>
        <v>5297</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7858649</v>
      </c>
      <c r="D8" s="1594">
        <f t="shared" ref="D8:K8" si="0">SUM(D4:D7)</f>
        <v>716244</v>
      </c>
      <c r="E8" s="1594">
        <f t="shared" si="0"/>
        <v>919139</v>
      </c>
      <c r="F8" s="1594">
        <f t="shared" si="0"/>
        <v>754174</v>
      </c>
      <c r="G8" s="1594">
        <f t="shared" si="0"/>
        <v>264525</v>
      </c>
      <c r="H8" s="1594">
        <f t="shared" si="0"/>
        <v>108224</v>
      </c>
      <c r="I8" s="1594">
        <f t="shared" si="0"/>
        <v>43804</v>
      </c>
      <c r="J8" s="1594">
        <f t="shared" si="0"/>
        <v>119537</v>
      </c>
      <c r="K8" s="1594">
        <f t="shared" si="0"/>
        <v>0</v>
      </c>
      <c r="L8" s="325"/>
    </row>
    <row r="9" spans="1:13" ht="15.75" thickTop="1" x14ac:dyDescent="0.2">
      <c r="A9" s="449" t="s">
        <v>1634</v>
      </c>
      <c r="B9" s="450">
        <v>3998</v>
      </c>
      <c r="C9" s="1586">
        <v>3238179</v>
      </c>
      <c r="D9" s="1613"/>
      <c r="E9" s="1586"/>
      <c r="F9" s="1586"/>
      <c r="G9" s="1614"/>
      <c r="H9" s="1586"/>
      <c r="I9" s="1609" t="s">
        <v>1159</v>
      </c>
      <c r="J9" s="1583"/>
      <c r="K9" s="1586"/>
      <c r="L9" s="325"/>
    </row>
    <row r="10" spans="1:13" s="452" customFormat="1" ht="13.5" thickBot="1" x14ac:dyDescent="0.25">
      <c r="A10" s="1426" t="s">
        <v>1163</v>
      </c>
      <c r="B10" s="1407"/>
      <c r="C10" s="1594">
        <f>SUM(C8:C9)</f>
        <v>11096828</v>
      </c>
      <c r="D10" s="1594">
        <f t="shared" ref="D10:K10" si="1">SUM(D8:D9)</f>
        <v>716244</v>
      </c>
      <c r="E10" s="1594">
        <f t="shared" si="1"/>
        <v>919139</v>
      </c>
      <c r="F10" s="1594">
        <f t="shared" si="1"/>
        <v>754174</v>
      </c>
      <c r="G10" s="1594">
        <f t="shared" si="1"/>
        <v>264525</v>
      </c>
      <c r="H10" s="1594">
        <f t="shared" si="1"/>
        <v>108224</v>
      </c>
      <c r="I10" s="1594">
        <f t="shared" si="1"/>
        <v>43804</v>
      </c>
      <c r="J10" s="1594">
        <f t="shared" si="1"/>
        <v>119537</v>
      </c>
      <c r="K10" s="1594">
        <f t="shared" si="1"/>
        <v>0</v>
      </c>
      <c r="L10" s="451"/>
    </row>
    <row r="11" spans="1:13" s="452" customFormat="1" ht="16.7" customHeight="1" thickTop="1" x14ac:dyDescent="0.2">
      <c r="A11" s="2224" t="s">
        <v>1166</v>
      </c>
      <c r="B11" s="2225"/>
      <c r="C11" s="1602"/>
      <c r="D11" s="1603"/>
      <c r="E11" s="1603"/>
      <c r="F11" s="1603"/>
      <c r="G11" s="1603"/>
      <c r="H11" s="1603"/>
      <c r="I11" s="1603"/>
      <c r="J11" s="1603"/>
      <c r="K11" s="1615"/>
      <c r="L11" s="451"/>
    </row>
    <row r="12" spans="1:13" ht="15.75" customHeight="1" x14ac:dyDescent="0.2">
      <c r="A12" s="1314" t="s">
        <v>453</v>
      </c>
      <c r="B12" s="1316">
        <v>1000</v>
      </c>
      <c r="C12" s="1606">
        <f>'Expenditures 15-22'!K33</f>
        <v>5121348</v>
      </c>
      <c r="D12" s="1616" t="s">
        <v>1159</v>
      </c>
      <c r="E12" s="1575" t="s">
        <v>1159</v>
      </c>
      <c r="F12" s="1575" t="s">
        <v>1159</v>
      </c>
      <c r="G12" s="1606">
        <f>'Expenditures 15-22'!K229</f>
        <v>114583</v>
      </c>
      <c r="H12" s="1617"/>
      <c r="I12" s="1575" t="s">
        <v>1159</v>
      </c>
      <c r="J12" s="1575" t="s">
        <v>1159</v>
      </c>
      <c r="K12" s="1617" t="s">
        <v>1159</v>
      </c>
      <c r="L12" s="325"/>
    </row>
    <row r="13" spans="1:13" ht="15.75" customHeight="1" x14ac:dyDescent="0.2">
      <c r="A13" s="1314" t="s">
        <v>454</v>
      </c>
      <c r="B13" s="1316">
        <v>2000</v>
      </c>
      <c r="C13" s="1607">
        <f>'Expenditures 15-22'!K74</f>
        <v>1433338</v>
      </c>
      <c r="D13" s="1607">
        <f>'Expenditures 15-22'!K129</f>
        <v>712365</v>
      </c>
      <c r="E13" s="1576" t="s">
        <v>1159</v>
      </c>
      <c r="F13" s="1607">
        <f>'Expenditures 15-22'!K184</f>
        <v>620600</v>
      </c>
      <c r="G13" s="1607">
        <f>'Expenditures 15-22'!K279</f>
        <v>109000</v>
      </c>
      <c r="H13" s="1607">
        <f>'Expenditures 15-22'!K303</f>
        <v>616807</v>
      </c>
      <c r="I13" s="1575" t="s">
        <v>1159</v>
      </c>
      <c r="J13" s="1607">
        <f>'Expenditures 15-22'!K330</f>
        <v>140165</v>
      </c>
      <c r="K13" s="1618">
        <f>'Expenditures 15-22'!K352</f>
        <v>749016</v>
      </c>
      <c r="L13" s="325"/>
    </row>
    <row r="14" spans="1:13" ht="15.75" customHeight="1" x14ac:dyDescent="0.2">
      <c r="A14" s="1314" t="s">
        <v>446</v>
      </c>
      <c r="B14" s="1316">
        <v>3000</v>
      </c>
      <c r="C14" s="1607">
        <f>'Expenditures 15-22'!K75</f>
        <v>228088</v>
      </c>
      <c r="D14" s="1607">
        <f>'Expenditures 15-22'!K130</f>
        <v>0</v>
      </c>
      <c r="E14" s="1616" t="s">
        <v>1159</v>
      </c>
      <c r="F14" s="1607">
        <f>'Expenditures 15-22'!K185</f>
        <v>0</v>
      </c>
      <c r="G14" s="1607">
        <f>'Expenditures 15-22'!K280</f>
        <v>32101</v>
      </c>
      <c r="H14" s="1612"/>
      <c r="I14" s="1575" t="s">
        <v>1159</v>
      </c>
      <c r="J14" s="1575" t="s">
        <v>1159</v>
      </c>
      <c r="K14" s="1612" t="s">
        <v>1159</v>
      </c>
      <c r="L14" s="325"/>
    </row>
    <row r="15" spans="1:13" ht="15.75" customHeight="1" x14ac:dyDescent="0.2">
      <c r="A15" s="1314" t="s">
        <v>107</v>
      </c>
      <c r="B15" s="1316">
        <v>4000</v>
      </c>
      <c r="C15" s="1607">
        <f>'Expenditures 15-22'!K102</f>
        <v>631923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3219555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7414697</v>
      </c>
      <c r="D17" s="1594">
        <f t="shared" si="2"/>
        <v>712365</v>
      </c>
      <c r="E17" s="1594">
        <f t="shared" si="2"/>
        <v>3219555</v>
      </c>
      <c r="F17" s="1594">
        <f t="shared" si="2"/>
        <v>620600</v>
      </c>
      <c r="G17" s="1594">
        <f t="shared" si="2"/>
        <v>255684</v>
      </c>
      <c r="H17" s="1594">
        <f t="shared" si="2"/>
        <v>616807</v>
      </c>
      <c r="I17" s="1575"/>
      <c r="J17" s="1594">
        <f>SUM(J12:J16)</f>
        <v>140165</v>
      </c>
      <c r="K17" s="1594">
        <f>SUM(K12:K16)</f>
        <v>749016</v>
      </c>
      <c r="L17" s="325"/>
    </row>
    <row r="18" spans="1:12" ht="15" customHeight="1" thickTop="1" x14ac:dyDescent="0.2">
      <c r="A18" s="1430" t="s">
        <v>1635</v>
      </c>
      <c r="B18" s="1431">
        <v>4180</v>
      </c>
      <c r="C18" s="1606">
        <f t="shared" ref="C18:H18" si="3">C9</f>
        <v>3238179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10652876</v>
      </c>
      <c r="D19" s="1594">
        <f t="shared" si="4"/>
        <v>712365</v>
      </c>
      <c r="E19" s="1594">
        <f t="shared" si="4"/>
        <v>3219555</v>
      </c>
      <c r="F19" s="1594">
        <f t="shared" si="4"/>
        <v>620600</v>
      </c>
      <c r="G19" s="1594">
        <f t="shared" si="4"/>
        <v>255684</v>
      </c>
      <c r="H19" s="1594">
        <f t="shared" si="4"/>
        <v>616807</v>
      </c>
      <c r="I19" s="1575"/>
      <c r="J19" s="1594">
        <f>SUM(J17:J18)</f>
        <v>140165</v>
      </c>
      <c r="K19" s="1594">
        <f>SUM(K17:K18)</f>
        <v>749016</v>
      </c>
      <c r="L19" s="325"/>
    </row>
    <row r="20" spans="1:12" ht="16.5" thickTop="1" thickBot="1" x14ac:dyDescent="0.25">
      <c r="A20" s="2240" t="s">
        <v>1636</v>
      </c>
      <c r="B20" s="2241"/>
      <c r="C20" s="1622">
        <f>C8-C17</f>
        <v>443952</v>
      </c>
      <c r="D20" s="1622">
        <f t="shared" ref="D20:K20" si="5">D8-D17</f>
        <v>3879</v>
      </c>
      <c r="E20" s="1622">
        <f t="shared" si="5"/>
        <v>-2300416</v>
      </c>
      <c r="F20" s="1622">
        <f t="shared" si="5"/>
        <v>133574</v>
      </c>
      <c r="G20" s="1622">
        <f t="shared" si="5"/>
        <v>8841</v>
      </c>
      <c r="H20" s="1622">
        <f t="shared" si="5"/>
        <v>-508583</v>
      </c>
      <c r="I20" s="1622">
        <f t="shared" si="5"/>
        <v>43804</v>
      </c>
      <c r="J20" s="1622">
        <f t="shared" si="5"/>
        <v>-20628</v>
      </c>
      <c r="K20" s="1622">
        <f t="shared" si="5"/>
        <v>-749016</v>
      </c>
      <c r="L20" s="325"/>
    </row>
    <row r="21" spans="1:12" ht="16.7" customHeight="1" thickTop="1" x14ac:dyDescent="0.2">
      <c r="A21" s="2252" t="s">
        <v>591</v>
      </c>
      <c r="B21" s="2253"/>
      <c r="C21" s="1602"/>
      <c r="D21" s="1603"/>
      <c r="E21" s="1603"/>
      <c r="F21" s="1603"/>
      <c r="G21" s="1603"/>
      <c r="H21" s="1603"/>
      <c r="I21" s="1603"/>
      <c r="J21" s="1603"/>
      <c r="K21" s="1615"/>
      <c r="L21" s="453"/>
    </row>
    <row r="22" spans="1:12" ht="15.75" customHeight="1" collapsed="1" x14ac:dyDescent="0.2">
      <c r="A22" s="2248" t="s">
        <v>592</v>
      </c>
      <c r="B22" s="2249"/>
      <c r="C22" s="1582"/>
      <c r="D22" s="1582"/>
      <c r="E22" s="1582"/>
      <c r="F22" s="1582"/>
      <c r="G22" s="1582"/>
      <c r="H22" s="1582"/>
      <c r="I22" s="1582"/>
      <c r="J22" s="1582"/>
      <c r="K22" s="1582"/>
      <c r="L22" s="325"/>
    </row>
    <row r="23" spans="1:12" s="433" customFormat="1" ht="15.75" customHeight="1" x14ac:dyDescent="0.2">
      <c r="A23" s="2244" t="s">
        <v>290</v>
      </c>
      <c r="B23" s="224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6" t="s">
        <v>974</v>
      </c>
      <c r="B32" s="2247"/>
      <c r="C32" s="1582"/>
      <c r="D32" s="1582"/>
      <c r="E32" s="1580"/>
      <c r="F32" s="1582"/>
      <c r="G32" s="1582"/>
      <c r="H32" s="1582"/>
      <c r="I32" s="1582"/>
      <c r="J32" s="1582"/>
      <c r="K32" s="1582"/>
      <c r="L32" s="453"/>
    </row>
    <row r="33" spans="1:12" s="433" customFormat="1" x14ac:dyDescent="0.2">
      <c r="A33" s="1260" t="s">
        <v>409</v>
      </c>
      <c r="B33" s="454">
        <v>7210</v>
      </c>
      <c r="C33" s="1574"/>
      <c r="D33" s="1574"/>
      <c r="E33" s="1574">
        <v>2185000</v>
      </c>
      <c r="F33" s="1574"/>
      <c r="G33" s="1582"/>
      <c r="H33" s="1574"/>
      <c r="I33" s="1574"/>
      <c r="J33" s="1574"/>
      <c r="K33" s="1574">
        <v>1110000</v>
      </c>
      <c r="L33" s="453"/>
    </row>
    <row r="34" spans="1:12" s="433" customFormat="1" x14ac:dyDescent="0.2">
      <c r="A34" s="1260" t="s">
        <v>994</v>
      </c>
      <c r="B34" s="454">
        <v>7220</v>
      </c>
      <c r="C34" s="1574"/>
      <c r="D34" s="1574"/>
      <c r="E34" s="1574"/>
      <c r="F34" s="1574"/>
      <c r="G34" s="1582"/>
      <c r="H34" s="1583"/>
      <c r="I34" s="1583"/>
      <c r="J34" s="1583"/>
      <c r="K34" s="1583">
        <v>152009</v>
      </c>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v>4367</v>
      </c>
      <c r="L43" s="453"/>
    </row>
    <row r="44" spans="1:12" s="433" customFormat="1" ht="13.5" customHeight="1" thickBot="1" x14ac:dyDescent="0.25">
      <c r="A44" s="2254" t="s">
        <v>371</v>
      </c>
      <c r="B44" s="2255"/>
      <c r="C44" s="1624">
        <f>SUM(C24:C43)</f>
        <v>0</v>
      </c>
      <c r="D44" s="1624">
        <f t="shared" ref="D44:K44" si="6">SUM(D24:D43)</f>
        <v>0</v>
      </c>
      <c r="E44" s="1624">
        <f t="shared" si="6"/>
        <v>2185000</v>
      </c>
      <c r="F44" s="1624">
        <f t="shared" si="6"/>
        <v>0</v>
      </c>
      <c r="G44" s="1624">
        <f t="shared" si="6"/>
        <v>0</v>
      </c>
      <c r="H44" s="1624">
        <f t="shared" si="6"/>
        <v>0</v>
      </c>
      <c r="I44" s="1624">
        <f t="shared" si="6"/>
        <v>0</v>
      </c>
      <c r="J44" s="1624">
        <f t="shared" si="6"/>
        <v>0</v>
      </c>
      <c r="K44" s="1624">
        <f t="shared" si="6"/>
        <v>1266376</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0" t="s">
        <v>437</v>
      </c>
      <c r="B76" s="223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2" t="s">
        <v>1167</v>
      </c>
      <c r="B77" s="2233"/>
      <c r="C77" s="1624">
        <f t="shared" ref="C77:K77" si="8">C44-C76</f>
        <v>0</v>
      </c>
      <c r="D77" s="1624">
        <f t="shared" si="8"/>
        <v>0</v>
      </c>
      <c r="E77" s="1624">
        <f t="shared" si="8"/>
        <v>2185000</v>
      </c>
      <c r="F77" s="1624">
        <f t="shared" si="8"/>
        <v>0</v>
      </c>
      <c r="G77" s="1624">
        <f t="shared" si="8"/>
        <v>0</v>
      </c>
      <c r="H77" s="1624">
        <f t="shared" si="8"/>
        <v>0</v>
      </c>
      <c r="I77" s="1624">
        <f t="shared" si="8"/>
        <v>0</v>
      </c>
      <c r="J77" s="1624">
        <f t="shared" si="8"/>
        <v>0</v>
      </c>
      <c r="K77" s="1624">
        <f t="shared" si="8"/>
        <v>1266376</v>
      </c>
      <c r="L77" s="325"/>
    </row>
    <row r="78" spans="1:12" ht="21.75" customHeight="1" thickTop="1" thickBot="1" x14ac:dyDescent="0.25">
      <c r="A78" s="2236" t="s">
        <v>593</v>
      </c>
      <c r="B78" s="2237"/>
      <c r="C78" s="1629">
        <f t="shared" ref="C78:K78" si="9">C20+C77</f>
        <v>443952</v>
      </c>
      <c r="D78" s="1629">
        <f t="shared" si="9"/>
        <v>3879</v>
      </c>
      <c r="E78" s="1629">
        <f t="shared" si="9"/>
        <v>-115416</v>
      </c>
      <c r="F78" s="1629">
        <f t="shared" si="9"/>
        <v>133574</v>
      </c>
      <c r="G78" s="1629">
        <f t="shared" si="9"/>
        <v>8841</v>
      </c>
      <c r="H78" s="1629">
        <f t="shared" si="9"/>
        <v>-508583</v>
      </c>
      <c r="I78" s="1629">
        <f t="shared" si="9"/>
        <v>43804</v>
      </c>
      <c r="J78" s="1629">
        <f t="shared" si="9"/>
        <v>-20628</v>
      </c>
      <c r="K78" s="1629">
        <f t="shared" si="9"/>
        <v>517360</v>
      </c>
      <c r="L78" s="457"/>
    </row>
    <row r="79" spans="1:12" ht="13.5" thickTop="1" x14ac:dyDescent="0.2">
      <c r="A79" s="1844" t="str">
        <f>"Fund Balances - July 1, "&amp;'AFR20'!E2-1</f>
        <v>Fund Balances - July 1, 2019</v>
      </c>
      <c r="B79" s="458"/>
      <c r="C79" s="1583">
        <v>1302283</v>
      </c>
      <c r="D79" s="1630">
        <v>72935</v>
      </c>
      <c r="E79" s="1630">
        <v>949642</v>
      </c>
      <c r="F79" s="1630">
        <v>94461</v>
      </c>
      <c r="G79" s="1630">
        <v>60385</v>
      </c>
      <c r="H79" s="1630">
        <v>1058532</v>
      </c>
      <c r="I79" s="1630">
        <v>279442</v>
      </c>
      <c r="J79" s="1630">
        <v>67479</v>
      </c>
      <c r="K79" s="1630">
        <v>18515</v>
      </c>
      <c r="L79" s="325"/>
    </row>
    <row r="80" spans="1:12" x14ac:dyDescent="0.2">
      <c r="A80" s="2242" t="s">
        <v>1769</v>
      </c>
      <c r="B80" s="2243"/>
      <c r="C80" s="1574"/>
      <c r="D80" s="1574"/>
      <c r="E80" s="1574"/>
      <c r="F80" s="1574"/>
      <c r="G80" s="1574"/>
      <c r="H80" s="1574"/>
      <c r="I80" s="1574"/>
      <c r="J80" s="1574"/>
      <c r="K80" s="1574"/>
      <c r="L80" s="325"/>
    </row>
    <row r="81" spans="1:12" ht="13.5" thickBot="1" x14ac:dyDescent="0.25">
      <c r="A81" s="2234" t="str">
        <f>"Fund Balances - June 30, "&amp;'AFR20'!E2</f>
        <v>Fund Balances - June 30, 2020</v>
      </c>
      <c r="B81" s="2235"/>
      <c r="C81" s="1594">
        <f>(SUM(C78:C80))</f>
        <v>1746235</v>
      </c>
      <c r="D81" s="1594">
        <f>SUM(D78:D80)</f>
        <v>76814</v>
      </c>
      <c r="E81" s="1594">
        <f t="shared" ref="E81:K81" si="10">SUM(E78:E80)</f>
        <v>834226</v>
      </c>
      <c r="F81" s="1594">
        <f t="shared" si="10"/>
        <v>228035</v>
      </c>
      <c r="G81" s="1594">
        <f t="shared" si="10"/>
        <v>69226</v>
      </c>
      <c r="H81" s="1594">
        <f t="shared" si="10"/>
        <v>549949</v>
      </c>
      <c r="I81" s="1594">
        <f t="shared" si="10"/>
        <v>323246</v>
      </c>
      <c r="J81" s="1594">
        <f t="shared" si="10"/>
        <v>46851</v>
      </c>
      <c r="K81" s="1594">
        <f t="shared" si="10"/>
        <v>535875</v>
      </c>
      <c r="L81" s="325"/>
    </row>
    <row r="82" spans="1:12" ht="0.75" customHeight="1" thickTop="1" thickBot="1" x14ac:dyDescent="0.25">
      <c r="A82" s="459" t="s">
        <v>340</v>
      </c>
      <c r="B82" s="460"/>
      <c r="C82" s="461">
        <f>(C81-C79)</f>
        <v>443952</v>
      </c>
      <c r="D82" s="461">
        <f t="shared" ref="D82:K82" si="11">(D81-D79)</f>
        <v>3879</v>
      </c>
      <c r="E82" s="461">
        <f t="shared" si="11"/>
        <v>-115416</v>
      </c>
      <c r="F82" s="461">
        <f t="shared" si="11"/>
        <v>133574</v>
      </c>
      <c r="G82" s="461">
        <f t="shared" si="11"/>
        <v>8841</v>
      </c>
      <c r="H82" s="461">
        <f t="shared" si="11"/>
        <v>-508583</v>
      </c>
      <c r="I82" s="461">
        <f t="shared" si="11"/>
        <v>43804</v>
      </c>
      <c r="J82" s="461">
        <f t="shared" si="11"/>
        <v>-20628</v>
      </c>
      <c r="K82" s="461">
        <f t="shared" si="11"/>
        <v>517360</v>
      </c>
    </row>
    <row r="83" spans="1:12" ht="14.25" hidden="1" thickTop="1" thickBot="1" x14ac:dyDescent="0.25">
      <c r="A83" s="462" t="s">
        <v>341</v>
      </c>
      <c r="B83" s="428"/>
      <c r="C83" s="463">
        <f>C82/C81</f>
        <v>0.25423382305359815</v>
      </c>
      <c r="D83" s="463">
        <f t="shared" ref="D83:K83" si="12">D82/D81</f>
        <v>5.0498607024761111E-2</v>
      </c>
      <c r="E83" s="463">
        <f t="shared" si="12"/>
        <v>-0.13835099841050266</v>
      </c>
      <c r="F83" s="463">
        <f t="shared" si="12"/>
        <v>0.58576095774771419</v>
      </c>
      <c r="G83" s="463">
        <f t="shared" si="12"/>
        <v>0.12771213128015485</v>
      </c>
      <c r="H83" s="463">
        <f t="shared" si="12"/>
        <v>-0.92478211615986206</v>
      </c>
      <c r="I83" s="463">
        <f t="shared" si="12"/>
        <v>0.13551289111079487</v>
      </c>
      <c r="J83" s="463">
        <f t="shared" si="12"/>
        <v>-0.44028942818723188</v>
      </c>
      <c r="K83" s="463">
        <f t="shared" si="12"/>
        <v>0.96544903195707954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differentFirst="1" scaleWithDoc="0">
    <oddHeader>&amp;L&amp;8Page &amp;P&amp;C&amp;"Arial,Bold"&amp;9BASIC FINANCIAL STATEMENT
STATEMENT OF REVENUES RECEIVED/REVENUES, EXPENDITURES/DISBURSED/EXPENDITURES, OTHER 
SOURCES (USES) AND CHANGES IN FUND BALANCE
ALL FUNDS - FOR THE YEAR ENDING JUNE 30, 2020 &amp;R&amp;8Page &amp;P</oddHeader>
    <oddFooter>&amp;LSee notes to financial statements.</oddFooter>
    <firstFooter>&amp;LSee notes to financial statements.</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topLeftCell="A80" colorId="8" zoomScaleNormal="100" zoomScaleSheetLayoutView="75" workbookViewId="0">
      <selection activeCell="C106" sqref="C10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1776</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1707434</v>
      </c>
      <c r="D5" s="1586">
        <v>464441</v>
      </c>
      <c r="E5" s="1573">
        <v>319806</v>
      </c>
      <c r="F5" s="1631">
        <v>185839</v>
      </c>
      <c r="G5" s="1573">
        <v>119124</v>
      </c>
      <c r="H5" s="1573"/>
      <c r="I5" s="1573">
        <v>43653</v>
      </c>
      <c r="J5" s="1574">
        <v>119124</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39726</v>
      </c>
      <c r="D7" s="1573"/>
      <c r="E7" s="1575"/>
      <c r="F7" s="1574"/>
      <c r="G7" s="1574"/>
      <c r="H7" s="1574"/>
      <c r="I7" s="1575"/>
      <c r="J7" s="1575"/>
      <c r="K7" s="1575"/>
    </row>
    <row r="8" spans="1:12" x14ac:dyDescent="0.2">
      <c r="A8" s="427" t="s">
        <v>410</v>
      </c>
      <c r="B8" s="429">
        <v>1150</v>
      </c>
      <c r="C8" s="1580"/>
      <c r="D8" s="1580"/>
      <c r="E8" s="1582"/>
      <c r="F8" s="1582"/>
      <c r="G8" s="1586">
        <v>80413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1747160</v>
      </c>
      <c r="D12" s="1633">
        <f t="shared" si="0"/>
        <v>464441</v>
      </c>
      <c r="E12" s="1633">
        <f t="shared" si="0"/>
        <v>319806</v>
      </c>
      <c r="F12" s="1633">
        <f t="shared" si="0"/>
        <v>185839</v>
      </c>
      <c r="G12" s="1633">
        <f t="shared" si="0"/>
        <v>199537</v>
      </c>
      <c r="H12" s="1633">
        <f t="shared" si="0"/>
        <v>0</v>
      </c>
      <c r="I12" s="1633">
        <f t="shared" si="0"/>
        <v>43653</v>
      </c>
      <c r="J12" s="1633">
        <f t="shared" si="0"/>
        <v>119124</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6052</v>
      </c>
      <c r="D14" s="1573">
        <v>1609</v>
      </c>
      <c r="E14" s="1573">
        <v>1108</v>
      </c>
      <c r="F14" s="1573">
        <v>644</v>
      </c>
      <c r="G14" s="1573">
        <v>691</v>
      </c>
      <c r="H14" s="1573"/>
      <c r="I14" s="1573">
        <v>151</v>
      </c>
      <c r="J14" s="1574">
        <v>413</v>
      </c>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199260</v>
      </c>
      <c r="D16" s="1573"/>
      <c r="E16" s="1573"/>
      <c r="F16" s="1573"/>
      <c r="G16" s="1573">
        <v>9000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205312</v>
      </c>
      <c r="D18" s="1635">
        <f t="shared" ref="D18:K18" si="1">SUM(D14:D17)</f>
        <v>1609</v>
      </c>
      <c r="E18" s="1635">
        <f t="shared" si="1"/>
        <v>1108</v>
      </c>
      <c r="F18" s="1635">
        <f t="shared" si="1"/>
        <v>644</v>
      </c>
      <c r="G18" s="1635">
        <f t="shared" si="1"/>
        <v>9691</v>
      </c>
      <c r="H18" s="1635">
        <f t="shared" si="1"/>
        <v>0</v>
      </c>
      <c r="I18" s="1635">
        <f t="shared" si="1"/>
        <v>151</v>
      </c>
      <c r="J18" s="1635">
        <f t="shared" si="1"/>
        <v>413</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9809</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9809</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133928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7361</v>
      </c>
      <c r="D73" s="1575"/>
      <c r="E73" s="1575"/>
      <c r="F73" s="1575"/>
      <c r="G73" s="1575"/>
      <c r="H73" s="1575"/>
      <c r="I73" s="1575"/>
      <c r="J73" s="1575"/>
      <c r="K73" s="1575"/>
    </row>
    <row r="74" spans="1:11" ht="12.75" customHeight="1" x14ac:dyDescent="0.2">
      <c r="A74" s="427" t="s">
        <v>25</v>
      </c>
      <c r="B74" s="429">
        <v>1690</v>
      </c>
      <c r="C74" s="1632">
        <v>9834</v>
      </c>
      <c r="D74" s="1575"/>
      <c r="E74" s="1575"/>
      <c r="F74" s="1575"/>
      <c r="G74" s="1575"/>
      <c r="H74" s="1575"/>
      <c r="I74" s="1575"/>
      <c r="J74" s="1575"/>
      <c r="K74" s="1575"/>
    </row>
    <row r="75" spans="1:11" ht="12.75" customHeight="1" thickBot="1" x14ac:dyDescent="0.25">
      <c r="A75" s="1406" t="s">
        <v>544</v>
      </c>
      <c r="B75" s="1407"/>
      <c r="C75" s="1594">
        <f>SUM(C69:C74)</f>
        <v>151123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31265</v>
      </c>
      <c r="D77" s="1573"/>
      <c r="E77" s="1575"/>
      <c r="F77" s="1575"/>
      <c r="G77" s="1575"/>
      <c r="H77" s="1575"/>
      <c r="I77" s="1575"/>
      <c r="J77" s="1575"/>
      <c r="K77" s="1575"/>
    </row>
    <row r="78" spans="1:11" ht="12.75" customHeight="1" x14ac:dyDescent="0.2">
      <c r="A78" s="427" t="s">
        <v>76</v>
      </c>
      <c r="B78" s="429">
        <v>1719</v>
      </c>
      <c r="C78" s="1632">
        <v>12544</v>
      </c>
      <c r="D78" s="1573"/>
      <c r="E78" s="1575"/>
      <c r="F78" s="1575"/>
      <c r="G78" s="1575"/>
      <c r="H78" s="1575"/>
      <c r="I78" s="1575"/>
      <c r="J78" s="1575"/>
      <c r="K78" s="1575"/>
    </row>
    <row r="79" spans="1:11" ht="12.75" customHeight="1" x14ac:dyDescent="0.2">
      <c r="A79" s="427" t="s">
        <v>546</v>
      </c>
      <c r="B79" s="429">
        <v>1720</v>
      </c>
      <c r="C79" s="1632">
        <v>28109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71918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32586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32586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24000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598225</v>
      </c>
      <c r="F103" s="1575"/>
      <c r="G103" s="1575"/>
      <c r="H103" s="1598">
        <v>58224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33224</v>
      </c>
      <c r="D106" s="1598"/>
      <c r="E106" s="1574"/>
      <c r="F106" s="1574"/>
      <c r="G106" s="1574"/>
      <c r="H106" s="1574"/>
      <c r="I106" s="1617"/>
      <c r="J106" s="1574"/>
      <c r="K106" s="1574"/>
    </row>
    <row r="107" spans="1:12" ht="12.75" customHeight="1" x14ac:dyDescent="0.2">
      <c r="A107" s="427" t="s">
        <v>78</v>
      </c>
      <c r="B107" s="429">
        <v>1999</v>
      </c>
      <c r="C107" s="1632">
        <v>2050</v>
      </c>
      <c r="D107" s="1573">
        <v>194</v>
      </c>
      <c r="E107" s="1573"/>
      <c r="F107" s="1573"/>
      <c r="G107" s="1573"/>
      <c r="H107" s="1573"/>
      <c r="I107" s="1573"/>
      <c r="J107" s="1574"/>
      <c r="K107" s="1573"/>
    </row>
    <row r="108" spans="1:12" ht="12.75" customHeight="1" thickBot="1" x14ac:dyDescent="0.25">
      <c r="A108" s="1406" t="s">
        <v>484</v>
      </c>
      <c r="B108" s="1408"/>
      <c r="C108" s="1633">
        <f>SUM(C95:C107)</f>
        <v>59274</v>
      </c>
      <c r="D108" s="1633">
        <f t="shared" ref="D108:K108" si="3">SUM(D95:D107)</f>
        <v>194</v>
      </c>
      <c r="E108" s="1633">
        <f t="shared" si="3"/>
        <v>598225</v>
      </c>
      <c r="F108" s="1633">
        <f t="shared" si="3"/>
        <v>0</v>
      </c>
      <c r="G108" s="1633">
        <f t="shared" si="3"/>
        <v>0</v>
      </c>
      <c r="H108" s="1633">
        <f t="shared" si="3"/>
        <v>58224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2277182</v>
      </c>
      <c r="D109" s="1641">
        <f t="shared" si="4"/>
        <v>466244</v>
      </c>
      <c r="E109" s="1641">
        <f t="shared" si="4"/>
        <v>919139</v>
      </c>
      <c r="F109" s="1641">
        <f t="shared" si="4"/>
        <v>186483</v>
      </c>
      <c r="G109" s="1641">
        <f t="shared" si="4"/>
        <v>209228</v>
      </c>
      <c r="H109" s="1641">
        <f t="shared" si="4"/>
        <v>58224</v>
      </c>
      <c r="I109" s="1641">
        <f t="shared" si="4"/>
        <v>43804</v>
      </c>
      <c r="J109" s="1641">
        <f t="shared" si="4"/>
        <v>119537</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4342343</v>
      </c>
      <c r="D117" s="1586">
        <v>250000</v>
      </c>
      <c r="E117" s="1573"/>
      <c r="F117" s="1586">
        <v>200000</v>
      </c>
      <c r="G117" s="1586">
        <v>50000</v>
      </c>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4342343</v>
      </c>
      <c r="D122" s="1633">
        <f t="shared" si="5"/>
        <v>250000</v>
      </c>
      <c r="E122" s="1633">
        <f t="shared" si="5"/>
        <v>0</v>
      </c>
      <c r="F122" s="1633">
        <f t="shared" si="5"/>
        <v>200000</v>
      </c>
      <c r="G122" s="1633">
        <f t="shared" si="5"/>
        <v>50000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6324</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6324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4576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17889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22465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2890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11900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298614</v>
      </c>
      <c r="G152" s="1574"/>
      <c r="H152" s="1575"/>
      <c r="I152" s="1575"/>
      <c r="J152" s="1575"/>
      <c r="K152" s="1575"/>
    </row>
    <row r="153" spans="1:11" ht="12.75" customHeight="1" x14ac:dyDescent="0.2">
      <c r="A153" s="427" t="s">
        <v>1048</v>
      </c>
      <c r="B153" s="478">
        <v>3510</v>
      </c>
      <c r="C153" s="1632"/>
      <c r="D153" s="1573"/>
      <c r="E153" s="1640"/>
      <c r="F153" s="1573">
        <v>69077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367691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384853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958</v>
      </c>
      <c r="D168" s="1655"/>
      <c r="E168" s="1655"/>
      <c r="F168" s="1655"/>
      <c r="G168" s="1656"/>
      <c r="H168" s="1657"/>
      <c r="I168" s="1656"/>
      <c r="J168" s="1656"/>
      <c r="K168" s="1657"/>
    </row>
    <row r="169" spans="1:11" ht="12.75" customHeight="1" thickTop="1" thickBot="1" x14ac:dyDescent="0.25">
      <c r="A169" s="2258" t="s">
        <v>395</v>
      </c>
      <c r="B169" s="2259"/>
      <c r="C169" s="1658">
        <f t="shared" ref="C169:K169" si="6">SUM(C132,C141,C145,C146:C150,C155,C156:C167,C168)</f>
        <v>429390</v>
      </c>
      <c r="D169" s="1658">
        <f t="shared" si="6"/>
        <v>0</v>
      </c>
      <c r="E169" s="1658">
        <f t="shared" si="6"/>
        <v>0</v>
      </c>
      <c r="F169" s="1658">
        <f t="shared" si="6"/>
        <v>367691</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4771733</v>
      </c>
      <c r="D170" s="1641">
        <f t="shared" si="7"/>
        <v>250000</v>
      </c>
      <c r="E170" s="1641">
        <f t="shared" si="7"/>
        <v>0</v>
      </c>
      <c r="F170" s="1641">
        <f t="shared" si="7"/>
        <v>567691</v>
      </c>
      <c r="G170" s="1641">
        <f t="shared" si="7"/>
        <v>50000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0" t="s">
        <v>1475</v>
      </c>
      <c r="B172" s="226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4" t="s">
        <v>1646</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1645</v>
      </c>
      <c r="B176" s="226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6" t="s">
        <v>780</v>
      </c>
      <c r="B181" s="226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1777</v>
      </c>
      <c r="B182" s="226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171081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31145</v>
      </c>
      <c r="D193" s="1575"/>
      <c r="E193" s="1640"/>
      <c r="F193" s="1575"/>
      <c r="G193" s="1664"/>
      <c r="H193" s="1575"/>
      <c r="I193" s="1575"/>
      <c r="J193" s="1575"/>
      <c r="K193" s="1575"/>
    </row>
    <row r="194" spans="1:11" ht="12.75" customHeight="1" x14ac:dyDescent="0.2">
      <c r="A194" s="427" t="s">
        <v>1434</v>
      </c>
      <c r="B194" s="429">
        <v>4225</v>
      </c>
      <c r="C194" s="1632">
        <v>38591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240817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267588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267588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243071</v>
      </c>
      <c r="D213" s="1573"/>
      <c r="E213" s="1575"/>
      <c r="F213" s="1573"/>
      <c r="G213" s="1573"/>
      <c r="H213" s="1575"/>
      <c r="I213" s="1575"/>
      <c r="J213" s="1575"/>
      <c r="K213" s="1575"/>
    </row>
    <row r="214" spans="1:11" ht="12.75" customHeight="1" x14ac:dyDescent="0.2">
      <c r="A214" s="427" t="s">
        <v>1045</v>
      </c>
      <c r="B214" s="429">
        <v>4625</v>
      </c>
      <c r="C214" s="1632">
        <v>13540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256611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2080</v>
      </c>
      <c r="D220" s="1573"/>
      <c r="E220" s="1575"/>
      <c r="F220" s="1575"/>
      <c r="G220" s="1573"/>
      <c r="H220" s="1575"/>
      <c r="I220" s="1575"/>
      <c r="J220" s="1575"/>
      <c r="K220" s="1575"/>
    </row>
    <row r="221" spans="1:11" ht="12.75" customHeight="1" thickBot="1" x14ac:dyDescent="0.25">
      <c r="A221" s="1415" t="s">
        <v>1076</v>
      </c>
      <c r="B221" s="1416"/>
      <c r="C221" s="1633">
        <f>SUM(C219:C220)</f>
        <v>2080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29273</v>
      </c>
      <c r="D259" s="1651"/>
      <c r="E259" s="1575"/>
      <c r="F259" s="1651"/>
      <c r="G259" s="1651">
        <v>5297</v>
      </c>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13365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809734</v>
      </c>
      <c r="D266" s="1641">
        <f t="shared" si="10"/>
        <v>0</v>
      </c>
      <c r="E266" s="1641">
        <f t="shared" si="10"/>
        <v>0</v>
      </c>
      <c r="F266" s="1641">
        <f t="shared" si="10"/>
        <v>0</v>
      </c>
      <c r="G266" s="1641">
        <f t="shared" si="10"/>
        <v>5297</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809734</v>
      </c>
      <c r="D267" s="1641">
        <f>SUM(D175,D181,D266)</f>
        <v>0</v>
      </c>
      <c r="E267" s="1641">
        <f>SUM(E175,E266)</f>
        <v>0</v>
      </c>
      <c r="F267" s="1641">
        <f t="shared" ref="F267:K267" si="11">SUM(F175,F181,F266)</f>
        <v>0</v>
      </c>
      <c r="G267" s="1641">
        <f t="shared" si="11"/>
        <v>5297</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7858649</v>
      </c>
      <c r="D268" s="1641">
        <f t="shared" si="12"/>
        <v>716244</v>
      </c>
      <c r="E268" s="1641">
        <f t="shared" si="12"/>
        <v>919139</v>
      </c>
      <c r="F268" s="1641">
        <f t="shared" si="12"/>
        <v>754174</v>
      </c>
      <c r="G268" s="1641">
        <f t="shared" si="12"/>
        <v>264525</v>
      </c>
      <c r="H268" s="1641">
        <f t="shared" si="12"/>
        <v>108224</v>
      </c>
      <c r="I268" s="1641">
        <f t="shared" si="12"/>
        <v>43804</v>
      </c>
      <c r="J268" s="1641">
        <f t="shared" si="12"/>
        <v>119537</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4" orientation="landscape" useFirstPageNumber="1" r:id="rId1"/>
  <headerFooter differentFirst="1" alignWithMargins="0">
    <oddHeader>&amp;L&amp;8Page &amp;P&amp;C&amp;"Arial,Bold"&amp;9STATEMENT OF REVENUES RECEIVED/REVENUES
FOR THE YEAR ENDING JUNE 30, 2020&amp;R&amp;8Page &amp;P</oddHeader>
    <oddFooter>&amp;LSee notes to financial statements.</oddFooter>
    <firstFooter>&amp;LSee notes to financial statements.</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A292" colorId="8" zoomScaleNormal="100" workbookViewId="0">
      <selection activeCell="A355" sqref="A35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2174595</v>
      </c>
      <c r="D5" s="1573">
        <v>448080</v>
      </c>
      <c r="E5" s="1573">
        <v>228215</v>
      </c>
      <c r="F5" s="1573">
        <v>138494</v>
      </c>
      <c r="G5" s="1573">
        <v>38032</v>
      </c>
      <c r="H5" s="1573"/>
      <c r="I5" s="1574"/>
      <c r="J5" s="1574"/>
      <c r="K5" s="1672">
        <f>SUM(C5:J5)</f>
        <v>3027416</v>
      </c>
      <c r="L5" s="1573">
        <v>3055403</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71348</v>
      </c>
      <c r="D7" s="1574">
        <v>12658</v>
      </c>
      <c r="E7" s="1574"/>
      <c r="F7" s="1574">
        <v>2598</v>
      </c>
      <c r="G7" s="1574"/>
      <c r="H7" s="1574"/>
      <c r="I7" s="1574"/>
      <c r="J7" s="1574"/>
      <c r="K7" s="1672">
        <f t="shared" ref="K7:K32" si="0">SUM(C7:J7)</f>
        <v>86604</v>
      </c>
      <c r="L7" s="1573">
        <v>87232</v>
      </c>
    </row>
    <row r="8" spans="1:14" x14ac:dyDescent="0.2">
      <c r="A8" s="1274" t="s">
        <v>163</v>
      </c>
      <c r="B8" s="503">
        <v>1200</v>
      </c>
      <c r="C8" s="1573">
        <v>911149</v>
      </c>
      <c r="D8" s="1573">
        <v>207787</v>
      </c>
      <c r="E8" s="1573">
        <v>2159</v>
      </c>
      <c r="F8" s="1573">
        <v>3672</v>
      </c>
      <c r="G8" s="1573"/>
      <c r="H8" s="1573"/>
      <c r="I8" s="1574"/>
      <c r="J8" s="1574"/>
      <c r="K8" s="1672">
        <f t="shared" si="0"/>
        <v>1124767</v>
      </c>
      <c r="L8" s="1573">
        <v>1127770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147363</v>
      </c>
      <c r="D10" s="1573">
        <v>51355</v>
      </c>
      <c r="E10" s="1573">
        <v>3600</v>
      </c>
      <c r="F10" s="1573">
        <v>26762</v>
      </c>
      <c r="G10" s="1573"/>
      <c r="H10" s="1573"/>
      <c r="I10" s="1574"/>
      <c r="J10" s="1574"/>
      <c r="K10" s="1672">
        <f t="shared" si="0"/>
        <v>229080</v>
      </c>
      <c r="L10" s="1573">
        <v>229080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168126</v>
      </c>
      <c r="D13" s="1573">
        <v>41162</v>
      </c>
      <c r="E13" s="1573">
        <v>1636</v>
      </c>
      <c r="F13" s="1573">
        <v>16084</v>
      </c>
      <c r="G13" s="1573"/>
      <c r="H13" s="1573"/>
      <c r="I13" s="1574"/>
      <c r="J13" s="1574"/>
      <c r="K13" s="1672">
        <f t="shared" si="0"/>
        <v>227008</v>
      </c>
      <c r="L13" s="1573">
        <v>223323</v>
      </c>
    </row>
    <row r="14" spans="1:14" x14ac:dyDescent="0.2">
      <c r="A14" s="1274" t="s">
        <v>957</v>
      </c>
      <c r="B14" s="503">
        <v>1500</v>
      </c>
      <c r="C14" s="1573">
        <v>230637</v>
      </c>
      <c r="D14" s="1573">
        <v>33148</v>
      </c>
      <c r="E14" s="1573">
        <v>39737</v>
      </c>
      <c r="F14" s="1573">
        <v>44509</v>
      </c>
      <c r="G14" s="1573"/>
      <c r="H14" s="1573">
        <v>9654</v>
      </c>
      <c r="I14" s="1574"/>
      <c r="J14" s="1574"/>
      <c r="K14" s="1672">
        <f t="shared" si="0"/>
        <v>357685</v>
      </c>
      <c r="L14" s="1573">
        <v>357670</v>
      </c>
    </row>
    <row r="15" spans="1:14" x14ac:dyDescent="0.2">
      <c r="A15" s="1274" t="s">
        <v>958</v>
      </c>
      <c r="B15" s="503">
        <v>1600</v>
      </c>
      <c r="C15" s="1573">
        <v>1275</v>
      </c>
      <c r="D15" s="1573">
        <v>147</v>
      </c>
      <c r="E15" s="1573"/>
      <c r="F15" s="1573"/>
      <c r="G15" s="1573"/>
      <c r="H15" s="1573"/>
      <c r="I15" s="1574"/>
      <c r="J15" s="1574"/>
      <c r="K15" s="1672">
        <f t="shared" si="0"/>
        <v>1422</v>
      </c>
      <c r="L15" s="1573">
        <v>1422</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44818</v>
      </c>
      <c r="D17" s="1574">
        <v>12889</v>
      </c>
      <c r="E17" s="1574">
        <v>75</v>
      </c>
      <c r="F17" s="1574">
        <v>1589</v>
      </c>
      <c r="G17" s="1574">
        <v>5148</v>
      </c>
      <c r="H17" s="1574"/>
      <c r="I17" s="1574"/>
      <c r="J17" s="1574"/>
      <c r="K17" s="1672">
        <f t="shared" si="0"/>
        <v>64519</v>
      </c>
      <c r="L17" s="1573">
        <v>61268</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v>2581</v>
      </c>
      <c r="D19" s="1573">
        <v>223</v>
      </c>
      <c r="E19" s="1573">
        <v>43</v>
      </c>
      <c r="F19" s="1573"/>
      <c r="G19" s="1573"/>
      <c r="H19" s="1573"/>
      <c r="I19" s="1574"/>
      <c r="J19" s="1574"/>
      <c r="K19" s="1672">
        <f t="shared" si="0"/>
        <v>2847</v>
      </c>
      <c r="L19" s="1573">
        <v>2846</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3751892</v>
      </c>
      <c r="D33" s="1674">
        <f t="shared" ref="D33:L33" si="1">SUM(D5:D32)</f>
        <v>807449</v>
      </c>
      <c r="E33" s="1674">
        <f t="shared" si="1"/>
        <v>275465</v>
      </c>
      <c r="F33" s="1674">
        <f t="shared" si="1"/>
        <v>233708</v>
      </c>
      <c r="G33" s="1674">
        <f t="shared" si="1"/>
        <v>43180</v>
      </c>
      <c r="H33" s="1674">
        <f t="shared" si="1"/>
        <v>9654</v>
      </c>
      <c r="I33" s="1674">
        <f t="shared" si="1"/>
        <v>0</v>
      </c>
      <c r="J33" s="1674">
        <f t="shared" si="1"/>
        <v>0</v>
      </c>
      <c r="K33" s="1674">
        <f t="shared" si="1"/>
        <v>5121348</v>
      </c>
      <c r="L33" s="1674">
        <f t="shared" si="1"/>
        <v>5146014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67</v>
      </c>
      <c r="D36" s="1586">
        <v>751</v>
      </c>
      <c r="E36" s="1586">
        <v>16263</v>
      </c>
      <c r="F36" s="1586"/>
      <c r="G36" s="1586"/>
      <c r="H36" s="1586"/>
      <c r="I36" s="1574"/>
      <c r="J36" s="1574"/>
      <c r="K36" s="1672">
        <f t="shared" ref="K36:K41" si="2">SUM(C36:J36)</f>
        <v>17081</v>
      </c>
      <c r="L36" s="1573">
        <v>16330</v>
      </c>
    </row>
    <row r="37" spans="1:14" x14ac:dyDescent="0.2">
      <c r="A37" s="1274" t="s">
        <v>1081</v>
      </c>
      <c r="B37" s="503">
        <v>2120</v>
      </c>
      <c r="C37" s="1573">
        <v>85301</v>
      </c>
      <c r="D37" s="1573">
        <v>17037</v>
      </c>
      <c r="E37" s="1573">
        <v>596</v>
      </c>
      <c r="F37" s="1573"/>
      <c r="G37" s="1573"/>
      <c r="H37" s="1573"/>
      <c r="I37" s="1574"/>
      <c r="J37" s="1574"/>
      <c r="K37" s="1672">
        <f t="shared" si="2"/>
        <v>102934</v>
      </c>
      <c r="L37" s="1573">
        <v>103686</v>
      </c>
    </row>
    <row r="38" spans="1:14" x14ac:dyDescent="0.2">
      <c r="A38" s="1274" t="s">
        <v>196</v>
      </c>
      <c r="B38" s="503">
        <v>2130</v>
      </c>
      <c r="C38" s="1573">
        <v>31777</v>
      </c>
      <c r="D38" s="1573">
        <v>17</v>
      </c>
      <c r="E38" s="1573"/>
      <c r="F38" s="1573">
        <v>17680</v>
      </c>
      <c r="G38" s="1573"/>
      <c r="H38" s="1573"/>
      <c r="I38" s="1574"/>
      <c r="J38" s="1574"/>
      <c r="K38" s="1672">
        <f t="shared" si="2"/>
        <v>49474</v>
      </c>
      <c r="L38" s="1573">
        <v>35224</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117145</v>
      </c>
      <c r="D42" s="1674">
        <f t="shared" ref="D42:L42" si="3">SUM(D36:D41)</f>
        <v>17805</v>
      </c>
      <c r="E42" s="1674">
        <f t="shared" si="3"/>
        <v>16859</v>
      </c>
      <c r="F42" s="1674">
        <f t="shared" si="3"/>
        <v>17680</v>
      </c>
      <c r="G42" s="1674">
        <f t="shared" si="3"/>
        <v>0</v>
      </c>
      <c r="H42" s="1674">
        <f t="shared" si="3"/>
        <v>0</v>
      </c>
      <c r="I42" s="1674">
        <f t="shared" si="3"/>
        <v>0</v>
      </c>
      <c r="J42" s="1674">
        <f t="shared" si="3"/>
        <v>0</v>
      </c>
      <c r="K42" s="1674">
        <f t="shared" si="3"/>
        <v>169489</v>
      </c>
      <c r="L42" s="1674">
        <f t="shared" si="3"/>
        <v>155240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38707</v>
      </c>
      <c r="D44" s="1586">
        <v>11737</v>
      </c>
      <c r="E44" s="1586">
        <v>6309</v>
      </c>
      <c r="F44" s="1586"/>
      <c r="G44" s="1586"/>
      <c r="H44" s="1586">
        <v>394</v>
      </c>
      <c r="I44" s="1574"/>
      <c r="J44" s="1574"/>
      <c r="K44" s="1678">
        <f>SUM(C44:J44)</f>
        <v>57147</v>
      </c>
      <c r="L44" s="1586">
        <v>26148</v>
      </c>
    </row>
    <row r="45" spans="1:14" x14ac:dyDescent="0.2">
      <c r="A45" s="1274" t="s">
        <v>810</v>
      </c>
      <c r="B45" s="503">
        <v>2220</v>
      </c>
      <c r="C45" s="1573"/>
      <c r="D45" s="1573"/>
      <c r="E45" s="1573">
        <v>5</v>
      </c>
      <c r="F45" s="1573">
        <v>215</v>
      </c>
      <c r="G45" s="1573"/>
      <c r="H45" s="1573"/>
      <c r="I45" s="1574"/>
      <c r="J45" s="1574"/>
      <c r="K45" s="1678">
        <f>SUM(C45:J45)</f>
        <v>220</v>
      </c>
      <c r="L45" s="1573">
        <v>139</v>
      </c>
    </row>
    <row r="46" spans="1:14" x14ac:dyDescent="0.2">
      <c r="A46" s="1274" t="s">
        <v>811</v>
      </c>
      <c r="B46" s="503">
        <v>2230</v>
      </c>
      <c r="C46" s="1573"/>
      <c r="D46" s="1573"/>
      <c r="E46" s="1573"/>
      <c r="F46" s="1573">
        <v>897</v>
      </c>
      <c r="G46" s="1573"/>
      <c r="H46" s="1573"/>
      <c r="I46" s="1574"/>
      <c r="J46" s="1574"/>
      <c r="K46" s="1678">
        <f>SUM(C46:J46)</f>
        <v>897</v>
      </c>
      <c r="L46" s="1573">
        <v>897</v>
      </c>
    </row>
    <row r="47" spans="1:14" ht="12.75" customHeight="1" thickBot="1" x14ac:dyDescent="0.25">
      <c r="A47" s="1380" t="s">
        <v>557</v>
      </c>
      <c r="B47" s="1381" t="s">
        <v>32</v>
      </c>
      <c r="C47" s="1674">
        <f>SUM(C44:C46)</f>
        <v>38707</v>
      </c>
      <c r="D47" s="1674">
        <f t="shared" ref="D47:K47" si="4">SUM(D44:D46)</f>
        <v>11737</v>
      </c>
      <c r="E47" s="1674">
        <f t="shared" si="4"/>
        <v>6314</v>
      </c>
      <c r="F47" s="1674">
        <f t="shared" si="4"/>
        <v>1112</v>
      </c>
      <c r="G47" s="1674">
        <f t="shared" si="4"/>
        <v>0</v>
      </c>
      <c r="H47" s="1674">
        <f t="shared" si="4"/>
        <v>394</v>
      </c>
      <c r="I47" s="1674">
        <f t="shared" si="4"/>
        <v>0</v>
      </c>
      <c r="J47" s="1674">
        <f t="shared" si="4"/>
        <v>0</v>
      </c>
      <c r="K47" s="1674">
        <f t="shared" si="4"/>
        <v>58264</v>
      </c>
      <c r="L47" s="1674">
        <f>SUM(L44:L46)</f>
        <v>27184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4404</v>
      </c>
      <c r="D49" s="1586"/>
      <c r="E49" s="1586">
        <v>17614</v>
      </c>
      <c r="F49" s="1586">
        <v>945</v>
      </c>
      <c r="G49" s="1586"/>
      <c r="H49" s="1586">
        <v>5937</v>
      </c>
      <c r="I49" s="1574"/>
      <c r="J49" s="1574"/>
      <c r="K49" s="1678">
        <f>SUM(C49:J49)</f>
        <v>28900</v>
      </c>
      <c r="L49" s="1586">
        <v>26271</v>
      </c>
    </row>
    <row r="50" spans="1:14" x14ac:dyDescent="0.2">
      <c r="A50" s="1274" t="s">
        <v>813</v>
      </c>
      <c r="B50" s="503">
        <v>2320</v>
      </c>
      <c r="C50" s="1573">
        <v>158821</v>
      </c>
      <c r="D50" s="1573">
        <v>29538</v>
      </c>
      <c r="E50" s="1573">
        <v>1596</v>
      </c>
      <c r="F50" s="1573">
        <v>2830</v>
      </c>
      <c r="G50" s="1573"/>
      <c r="H50" s="1573">
        <v>1087</v>
      </c>
      <c r="I50" s="1574"/>
      <c r="J50" s="1574"/>
      <c r="K50" s="1678">
        <f>SUM(C50:J50)</f>
        <v>193872</v>
      </c>
      <c r="L50" s="1573">
        <v>193762</v>
      </c>
    </row>
    <row r="51" spans="1:14" x14ac:dyDescent="0.2">
      <c r="A51" s="1274" t="s">
        <v>42</v>
      </c>
      <c r="B51" s="503">
        <v>2330</v>
      </c>
      <c r="C51" s="1573"/>
      <c r="D51" s="1573"/>
      <c r="E51" s="1573"/>
      <c r="F51" s="1573">
        <v>1973</v>
      </c>
      <c r="G51" s="1573"/>
      <c r="H51" s="1573"/>
      <c r="I51" s="1574"/>
      <c r="J51" s="1574"/>
      <c r="K51" s="1678">
        <f>SUM(C51:J51)</f>
        <v>1973</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163225</v>
      </c>
      <c r="D53" s="1674">
        <f t="shared" ref="D53:L53" si="5">SUM(D49:D52)</f>
        <v>29538</v>
      </c>
      <c r="E53" s="1674">
        <f t="shared" si="5"/>
        <v>19210</v>
      </c>
      <c r="F53" s="1674">
        <f t="shared" si="5"/>
        <v>5748</v>
      </c>
      <c r="G53" s="1674">
        <f t="shared" si="5"/>
        <v>0</v>
      </c>
      <c r="H53" s="1674">
        <f t="shared" si="5"/>
        <v>7024</v>
      </c>
      <c r="I53" s="1674">
        <f t="shared" si="5"/>
        <v>0</v>
      </c>
      <c r="J53" s="1674">
        <f t="shared" si="5"/>
        <v>0</v>
      </c>
      <c r="K53" s="1674">
        <f t="shared" si="5"/>
        <v>224745</v>
      </c>
      <c r="L53" s="1674">
        <f t="shared" si="5"/>
        <v>220033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390534</v>
      </c>
      <c r="D55" s="1586">
        <v>87449</v>
      </c>
      <c r="E55" s="1586">
        <v>27035</v>
      </c>
      <c r="F55" s="1586">
        <v>8537</v>
      </c>
      <c r="G55" s="1586"/>
      <c r="H55" s="1586">
        <v>1709</v>
      </c>
      <c r="I55" s="1574"/>
      <c r="J55" s="1574"/>
      <c r="K55" s="1678">
        <f>SUM(C55:J55)</f>
        <v>515264</v>
      </c>
      <c r="L55" s="1586">
        <v>514763</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390534</v>
      </c>
      <c r="D57" s="1679">
        <f t="shared" ref="D57:K57" si="6">SUM(D55:D56)</f>
        <v>87449</v>
      </c>
      <c r="E57" s="1679">
        <f t="shared" si="6"/>
        <v>27035</v>
      </c>
      <c r="F57" s="1679">
        <f t="shared" si="6"/>
        <v>8537</v>
      </c>
      <c r="G57" s="1679">
        <f t="shared" si="6"/>
        <v>0</v>
      </c>
      <c r="H57" s="1679">
        <f t="shared" si="6"/>
        <v>1709</v>
      </c>
      <c r="I57" s="1679">
        <f t="shared" si="6"/>
        <v>0</v>
      </c>
      <c r="J57" s="1679">
        <f t="shared" si="6"/>
        <v>0</v>
      </c>
      <c r="K57" s="1679">
        <f t="shared" si="6"/>
        <v>515264</v>
      </c>
      <c r="L57" s="1674">
        <f>SUM(L55:L56)</f>
        <v>514763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53857</v>
      </c>
      <c r="D60" s="1573">
        <v>11237</v>
      </c>
      <c r="E60" s="1573">
        <v>26307</v>
      </c>
      <c r="F60" s="1573">
        <v>27630</v>
      </c>
      <c r="G60" s="1573"/>
      <c r="H60" s="1573"/>
      <c r="I60" s="1574"/>
      <c r="J60" s="1574"/>
      <c r="K60" s="1678">
        <f t="shared" si="7"/>
        <v>119031</v>
      </c>
      <c r="L60" s="1573">
        <v>117693</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125351</v>
      </c>
      <c r="D63" s="1573">
        <v>12771</v>
      </c>
      <c r="E63" s="1573">
        <v>2769</v>
      </c>
      <c r="F63" s="1573">
        <v>201800</v>
      </c>
      <c r="G63" s="1573">
        <v>2739</v>
      </c>
      <c r="H63" s="1573">
        <v>750</v>
      </c>
      <c r="I63" s="1574"/>
      <c r="J63" s="1574"/>
      <c r="K63" s="1678">
        <f t="shared" si="7"/>
        <v>346180</v>
      </c>
      <c r="L63" s="1573">
        <v>349180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179208</v>
      </c>
      <c r="D65" s="1674">
        <f t="shared" ref="D65:L65" si="8">SUM(D59:D64)</f>
        <v>24008</v>
      </c>
      <c r="E65" s="1674">
        <f t="shared" si="8"/>
        <v>29076</v>
      </c>
      <c r="F65" s="1674">
        <f t="shared" si="8"/>
        <v>229430</v>
      </c>
      <c r="G65" s="1674">
        <f t="shared" si="8"/>
        <v>2739</v>
      </c>
      <c r="H65" s="1674">
        <f t="shared" si="8"/>
        <v>750</v>
      </c>
      <c r="I65" s="1674">
        <f t="shared" si="8"/>
        <v>0</v>
      </c>
      <c r="J65" s="1674">
        <f t="shared" si="8"/>
        <v>0</v>
      </c>
      <c r="K65" s="1674">
        <f t="shared" si="8"/>
        <v>465211</v>
      </c>
      <c r="L65" s="1674">
        <f t="shared" si="8"/>
        <v>466873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v>365</v>
      </c>
      <c r="G71" s="1573"/>
      <c r="H71" s="1573"/>
      <c r="I71" s="1574"/>
      <c r="J71" s="1574"/>
      <c r="K71" s="1678">
        <f>SUM(C71:J71)</f>
        <v>365</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365</v>
      </c>
      <c r="G72" s="1674">
        <f t="shared" si="9"/>
        <v>0</v>
      </c>
      <c r="H72" s="1674">
        <f t="shared" si="9"/>
        <v>0</v>
      </c>
      <c r="I72" s="1674">
        <f t="shared" si="9"/>
        <v>0</v>
      </c>
      <c r="J72" s="1674">
        <f t="shared" si="9"/>
        <v>0</v>
      </c>
      <c r="K72" s="1674">
        <f t="shared" si="9"/>
        <v>365</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888819</v>
      </c>
      <c r="D74" s="1681">
        <f t="shared" ref="D74:K74" si="10">SUM(D42,D47,D53,D57,D65,D72,D73)</f>
        <v>170537</v>
      </c>
      <c r="E74" s="1681">
        <f t="shared" si="10"/>
        <v>98494</v>
      </c>
      <c r="F74" s="1681">
        <f t="shared" si="10"/>
        <v>262872</v>
      </c>
      <c r="G74" s="1681">
        <f t="shared" si="10"/>
        <v>2739</v>
      </c>
      <c r="H74" s="1681">
        <f t="shared" si="10"/>
        <v>9877</v>
      </c>
      <c r="I74" s="1681">
        <f t="shared" si="10"/>
        <v>0</v>
      </c>
      <c r="J74" s="1681">
        <f t="shared" si="10"/>
        <v>0</v>
      </c>
      <c r="K74" s="1681">
        <f t="shared" si="10"/>
        <v>1433338</v>
      </c>
      <c r="L74" s="1681">
        <f>SUM(L42,L47,L53,L57,L65,L72,L73)</f>
        <v>1384093</v>
      </c>
    </row>
    <row r="75" spans="1:14" s="254" customFormat="1" ht="15.75" customHeight="1" thickTop="1" thickBot="1" x14ac:dyDescent="0.25">
      <c r="A75" s="1348" t="s">
        <v>47</v>
      </c>
      <c r="B75" s="1349" t="s">
        <v>571</v>
      </c>
      <c r="C75" s="1649">
        <v>179080</v>
      </c>
      <c r="D75" s="1649">
        <v>28027</v>
      </c>
      <c r="E75" s="1649">
        <v>10109</v>
      </c>
      <c r="F75" s="1649">
        <v>10872</v>
      </c>
      <c r="G75" s="1649"/>
      <c r="H75" s="1649"/>
      <c r="I75" s="1627"/>
      <c r="J75" s="1627"/>
      <c r="K75" s="1674">
        <f>SUM(C75:J75)</f>
        <v>228088</v>
      </c>
      <c r="L75" s="1651">
        <v>226698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3088</v>
      </c>
      <c r="F78" s="1673"/>
      <c r="G78" s="1673"/>
      <c r="H78" s="1682"/>
      <c r="I78" s="1582"/>
      <c r="J78" s="1582"/>
      <c r="K78" s="1672">
        <f t="shared" ref="K78:K83" si="11">SUM(C78:J78)</f>
        <v>3088</v>
      </c>
      <c r="L78" s="1586">
        <v>2024</v>
      </c>
    </row>
    <row r="79" spans="1:14" x14ac:dyDescent="0.2">
      <c r="A79" s="1274" t="s">
        <v>301</v>
      </c>
      <c r="B79" s="503">
        <v>4120</v>
      </c>
      <c r="C79" s="1673"/>
      <c r="D79" s="1673"/>
      <c r="E79" s="1573">
        <v>324078</v>
      </c>
      <c r="F79" s="1673"/>
      <c r="G79" s="1673"/>
      <c r="H79" s="1573"/>
      <c r="I79" s="1582"/>
      <c r="J79" s="1582"/>
      <c r="K79" s="1672">
        <f t="shared" si="11"/>
        <v>324078</v>
      </c>
      <c r="L79" s="1573">
        <v>324078</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v>5537</v>
      </c>
      <c r="F81" s="1673"/>
      <c r="G81" s="1673"/>
      <c r="H81" s="1573"/>
      <c r="I81" s="1582"/>
      <c r="J81" s="1582"/>
      <c r="K81" s="1672">
        <f t="shared" si="11"/>
        <v>5537</v>
      </c>
      <c r="L81" s="1573">
        <v>5537</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332703</v>
      </c>
      <c r="F84" s="1673"/>
      <c r="G84" s="1673"/>
      <c r="H84" s="1674">
        <f>SUM(H78:H83)</f>
        <v>0</v>
      </c>
      <c r="I84" s="1582"/>
      <c r="J84" s="1582"/>
      <c r="K84" s="1674">
        <f>SUM(K78:K83)</f>
        <v>332703</v>
      </c>
      <c r="L84" s="1674">
        <f>SUM(L78:L83)</f>
        <v>331639</v>
      </c>
    </row>
    <row r="85" spans="1:12" ht="12.75" customHeight="1" thickTop="1" thickBot="1" x14ac:dyDescent="0.25">
      <c r="A85" s="1281" t="s">
        <v>253</v>
      </c>
      <c r="B85" s="517">
        <v>4210</v>
      </c>
      <c r="C85" s="1673"/>
      <c r="D85" s="1673"/>
      <c r="E85" s="1683"/>
      <c r="F85" s="1673"/>
      <c r="G85" s="1673"/>
      <c r="H85" s="1630">
        <v>78232</v>
      </c>
      <c r="I85" s="1582"/>
      <c r="J85" s="1582"/>
      <c r="K85" s="1681">
        <f>H85</f>
        <v>78232</v>
      </c>
      <c r="L85" s="1626">
        <v>78232</v>
      </c>
    </row>
    <row r="86" spans="1:12" ht="12.75" customHeight="1" thickTop="1" thickBot="1" x14ac:dyDescent="0.25">
      <c r="A86" s="1282" t="s">
        <v>694</v>
      </c>
      <c r="B86" s="518">
        <v>4220</v>
      </c>
      <c r="C86" s="1673"/>
      <c r="D86" s="1673"/>
      <c r="E86" s="1684"/>
      <c r="F86" s="1673"/>
      <c r="G86" s="1673"/>
      <c r="H86" s="1574">
        <v>173880</v>
      </c>
      <c r="I86" s="1582"/>
      <c r="J86" s="1582"/>
      <c r="K86" s="1681">
        <f t="shared" ref="K86:K98" si="12">H86</f>
        <v>173880</v>
      </c>
      <c r="L86" s="1626">
        <v>173880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47108</v>
      </c>
      <c r="I88" s="1582"/>
      <c r="J88" s="1582"/>
      <c r="K88" s="1681">
        <f t="shared" si="12"/>
        <v>47108</v>
      </c>
      <c r="L88" s="1626">
        <v>47108</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299220</v>
      </c>
      <c r="I92" s="1582"/>
      <c r="J92" s="1582"/>
      <c r="K92" s="1681">
        <f t="shared" si="12"/>
        <v>299220</v>
      </c>
      <c r="L92" s="1674">
        <f>SUM(L85:L91)</f>
        <v>299220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332703</v>
      </c>
      <c r="F102" s="1673"/>
      <c r="G102" s="1673"/>
      <c r="H102" s="1681">
        <f>SUM(H84,H92,H100,H101)</f>
        <v>299220</v>
      </c>
      <c r="I102" s="1582"/>
      <c r="J102" s="1582"/>
      <c r="K102" s="1681">
        <f>SUM(K84,K92,K100,K101)</f>
        <v>631923</v>
      </c>
      <c r="L102" s="1681">
        <f>SUM(L84,L92,L100,L101)</f>
        <v>630859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379061</v>
      </c>
      <c r="M113" s="502"/>
      <c r="N113" s="502"/>
    </row>
    <row r="114" spans="1:14" ht="12.75" customHeight="1" thickTop="1" thickBot="1" x14ac:dyDescent="0.25">
      <c r="A114" s="1380" t="s">
        <v>48</v>
      </c>
      <c r="B114" s="1388"/>
      <c r="C114" s="1674">
        <f>SUM(C33,C74,C75,C102,C112,C113)</f>
        <v>4819791</v>
      </c>
      <c r="D114" s="1674">
        <f t="shared" ref="D114:K114" si="13">SUM(D33,D74,D75,D102,D112,D113)</f>
        <v>1006013</v>
      </c>
      <c r="E114" s="1674">
        <f t="shared" si="13"/>
        <v>716771</v>
      </c>
      <c r="F114" s="1674">
        <f t="shared" si="13"/>
        <v>507452</v>
      </c>
      <c r="G114" s="1674">
        <f t="shared" si="13"/>
        <v>45919</v>
      </c>
      <c r="H114" s="1674">
        <f>SUM(H33,H74,H75,H102,H112,H113)</f>
        <v>318751</v>
      </c>
      <c r="I114" s="1674">
        <f t="shared" si="13"/>
        <v>0</v>
      </c>
      <c r="J114" s="1674">
        <f t="shared" si="13"/>
        <v>0</v>
      </c>
      <c r="K114" s="1674">
        <f t="shared" si="13"/>
        <v>7414697</v>
      </c>
      <c r="L114" s="1674">
        <f>SUM(L33,L74,L75,L102,L112,L113)</f>
        <v>7766725</v>
      </c>
    </row>
    <row r="115" spans="1:14" ht="13.5" thickTop="1" x14ac:dyDescent="0.2">
      <c r="A115" s="2270" t="s">
        <v>989</v>
      </c>
      <c r="B115" s="2271"/>
      <c r="C115" s="1675"/>
      <c r="D115" s="1675"/>
      <c r="E115" s="1675"/>
      <c r="F115" s="1675"/>
      <c r="G115" s="1675"/>
      <c r="H115" s="1675"/>
      <c r="I115" s="1675"/>
      <c r="J115" s="1675"/>
      <c r="K115" s="1689">
        <f>'Revenues 9-14'!C268-'Expenditures 15-22'!K114</f>
        <v>443952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293</v>
      </c>
      <c r="B117" s="227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208182</v>
      </c>
      <c r="D124" s="1573">
        <v>35350</v>
      </c>
      <c r="E124" s="1573">
        <v>184352</v>
      </c>
      <c r="F124" s="1573">
        <v>272103</v>
      </c>
      <c r="G124" s="1573">
        <v>12369</v>
      </c>
      <c r="H124" s="1573">
        <v>9</v>
      </c>
      <c r="I124" s="1574"/>
      <c r="J124" s="1574"/>
      <c r="K124" s="1674">
        <f>SUM(C124:J124)</f>
        <v>712365</v>
      </c>
      <c r="L124" s="1573">
        <v>690805</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208182</v>
      </c>
      <c r="D127" s="1674">
        <f t="shared" ref="D127:L127" si="14">SUM(D122:D126)</f>
        <v>35350</v>
      </c>
      <c r="E127" s="1674">
        <f t="shared" si="14"/>
        <v>184352</v>
      </c>
      <c r="F127" s="1674">
        <f t="shared" si="14"/>
        <v>272103</v>
      </c>
      <c r="G127" s="1674">
        <f t="shared" si="14"/>
        <v>12369</v>
      </c>
      <c r="H127" s="1674">
        <f t="shared" si="14"/>
        <v>9</v>
      </c>
      <c r="I127" s="1674">
        <f t="shared" si="14"/>
        <v>0</v>
      </c>
      <c r="J127" s="1674">
        <f t="shared" si="14"/>
        <v>0</v>
      </c>
      <c r="K127" s="1674">
        <f t="shared" si="14"/>
        <v>712365</v>
      </c>
      <c r="L127" s="1674">
        <f t="shared" si="14"/>
        <v>690805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208182</v>
      </c>
      <c r="D129" s="1681">
        <f t="shared" ref="D129:L129" si="15">SUM(D120,D127,D128)</f>
        <v>35350</v>
      </c>
      <c r="E129" s="1681">
        <f t="shared" si="15"/>
        <v>184352</v>
      </c>
      <c r="F129" s="1681">
        <f t="shared" si="15"/>
        <v>272103</v>
      </c>
      <c r="G129" s="1681">
        <f t="shared" si="15"/>
        <v>12369</v>
      </c>
      <c r="H129" s="1681">
        <f t="shared" si="15"/>
        <v>9</v>
      </c>
      <c r="I129" s="1681">
        <f t="shared" si="15"/>
        <v>0</v>
      </c>
      <c r="J129" s="1681">
        <f t="shared" si="15"/>
        <v>0</v>
      </c>
      <c r="K129" s="1681">
        <f t="shared" si="15"/>
        <v>712365</v>
      </c>
      <c r="L129" s="1681">
        <f t="shared" si="15"/>
        <v>690805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64041</v>
      </c>
    </row>
    <row r="151" spans="1:14" ht="12.75" customHeight="1" thickTop="1" thickBot="1" x14ac:dyDescent="0.25">
      <c r="A151" s="2287" t="s">
        <v>616</v>
      </c>
      <c r="B151" s="2267"/>
      <c r="C151" s="1674">
        <f>SUM(C129,C130,C139,C149,C150)</f>
        <v>208182</v>
      </c>
      <c r="D151" s="1674">
        <f t="shared" ref="D151:K151" si="16">SUM(D129,D130,D139,D149,D150)</f>
        <v>35350</v>
      </c>
      <c r="E151" s="1674">
        <f t="shared" si="16"/>
        <v>184352</v>
      </c>
      <c r="F151" s="1674">
        <f t="shared" si="16"/>
        <v>272103</v>
      </c>
      <c r="G151" s="1674">
        <f t="shared" si="16"/>
        <v>12369</v>
      </c>
      <c r="H151" s="1674">
        <f t="shared" si="16"/>
        <v>9</v>
      </c>
      <c r="I151" s="1674">
        <f t="shared" si="16"/>
        <v>0</v>
      </c>
      <c r="J151" s="1674">
        <f t="shared" si="16"/>
        <v>0</v>
      </c>
      <c r="K151" s="1674">
        <f t="shared" si="16"/>
        <v>712365</v>
      </c>
      <c r="L151" s="1674">
        <f>SUM(L129,L130,L139,L149,L150)</f>
        <v>754846</v>
      </c>
    </row>
    <row r="152" spans="1:14" ht="12.75" customHeight="1" thickTop="1" x14ac:dyDescent="0.2">
      <c r="A152" s="2290" t="s">
        <v>1168</v>
      </c>
      <c r="B152" s="2291"/>
      <c r="C152" s="1675"/>
      <c r="D152" s="1675"/>
      <c r="E152" s="1675"/>
      <c r="F152" s="1675"/>
      <c r="G152" s="1675"/>
      <c r="H152" s="1675"/>
      <c r="I152" s="1675"/>
      <c r="J152" s="1673"/>
      <c r="K152" s="1689">
        <f>'Revenues 9-14'!D268-'Expenditures 15-22'!K151</f>
        <v>3879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617</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v>0</v>
      </c>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288569</v>
      </c>
      <c r="I169" s="1673"/>
      <c r="J169" s="1673"/>
      <c r="K169" s="1672">
        <f>SUM(C169:H169)</f>
        <v>288569</v>
      </c>
      <c r="L169" s="1695">
        <v>291720</v>
      </c>
    </row>
    <row r="170" spans="1:14" ht="33.75" customHeight="1" x14ac:dyDescent="0.2">
      <c r="A170" s="543" t="s">
        <v>1651</v>
      </c>
      <c r="B170" s="545" t="s">
        <v>31</v>
      </c>
      <c r="C170" s="1673"/>
      <c r="D170" s="1673"/>
      <c r="E170" s="1673"/>
      <c r="F170" s="1673"/>
      <c r="G170" s="1673"/>
      <c r="H170" s="1646">
        <v>2825000</v>
      </c>
      <c r="I170" s="1673"/>
      <c r="J170" s="1673"/>
      <c r="K170" s="1672">
        <f>SUM(C170:J170)</f>
        <v>2825000</v>
      </c>
      <c r="L170" s="1646">
        <v>610000</v>
      </c>
    </row>
    <row r="171" spans="1:14" ht="15.75" customHeight="1" x14ac:dyDescent="0.2">
      <c r="A171" s="507" t="s">
        <v>761</v>
      </c>
      <c r="B171" s="546" t="s">
        <v>84</v>
      </c>
      <c r="C171" s="1673"/>
      <c r="D171" s="1673"/>
      <c r="E171" s="1573"/>
      <c r="F171" s="1673"/>
      <c r="G171" s="1673"/>
      <c r="H171" s="1646">
        <v>105986</v>
      </c>
      <c r="I171" s="1582"/>
      <c r="J171" s="1673"/>
      <c r="K171" s="1672">
        <f>SUM(C171:J171)</f>
        <v>105986</v>
      </c>
      <c r="L171" s="1646">
        <v>14768</v>
      </c>
    </row>
    <row r="172" spans="1:14" ht="12.75" customHeight="1" thickBot="1" x14ac:dyDescent="0.25">
      <c r="A172" s="1380" t="s">
        <v>633</v>
      </c>
      <c r="B172" s="1381" t="s">
        <v>489</v>
      </c>
      <c r="C172" s="1673"/>
      <c r="D172" s="1673"/>
      <c r="E172" s="1681">
        <f>SUM(E168,E169,E170,E171)</f>
        <v>0</v>
      </c>
      <c r="F172" s="1673"/>
      <c r="G172" s="1673"/>
      <c r="H172" s="1681">
        <f>SUM(H168,H169,H170,H171)</f>
        <v>3219555</v>
      </c>
      <c r="I172" s="1684"/>
      <c r="J172" s="1673"/>
      <c r="K172" s="1681">
        <f>SUM(K168,K169,K170,K171)</f>
        <v>3219555</v>
      </c>
      <c r="L172" s="1681">
        <f>SUM(L168,L169,L170,L171)</f>
        <v>916488</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3219555</v>
      </c>
      <c r="I174" s="1684"/>
      <c r="J174" s="1673"/>
      <c r="K174" s="1681">
        <f>SUM(K160,K172,K173)</f>
        <v>3219555</v>
      </c>
      <c r="L174" s="1681">
        <f>SUM(L160,L172,L173)</f>
        <v>916488</v>
      </c>
    </row>
    <row r="175" spans="1:14" ht="13.5" thickTop="1" x14ac:dyDescent="0.2">
      <c r="A175" s="2270" t="s">
        <v>989</v>
      </c>
      <c r="B175" s="2271"/>
      <c r="C175" s="1673"/>
      <c r="D175" s="1673"/>
      <c r="E175" s="1673"/>
      <c r="F175" s="1673"/>
      <c r="G175" s="1673"/>
      <c r="H175" s="1675"/>
      <c r="I175" s="1673"/>
      <c r="J175" s="1673"/>
      <c r="K175" s="1689">
        <f>'Revenues 9-14'!E268-'Expenditures 15-22'!K174</f>
        <v>-2300416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5810</v>
      </c>
      <c r="D182" s="1573">
        <v>1089</v>
      </c>
      <c r="E182" s="1573">
        <v>613701</v>
      </c>
      <c r="F182" s="1573"/>
      <c r="G182" s="1573"/>
      <c r="H182" s="1573"/>
      <c r="I182" s="1574"/>
      <c r="J182" s="1574"/>
      <c r="K182" s="1672">
        <f>SUM(C182:J182)</f>
        <v>620600</v>
      </c>
      <c r="L182" s="1573">
        <v>568697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5810</v>
      </c>
      <c r="D184" s="1681">
        <f t="shared" ref="D184:J184" si="17">SUM(D180,D182,D183)</f>
        <v>1089</v>
      </c>
      <c r="E184" s="1681">
        <f t="shared" si="17"/>
        <v>613701</v>
      </c>
      <c r="F184" s="1681">
        <f t="shared" si="17"/>
        <v>0</v>
      </c>
      <c r="G184" s="1681">
        <f t="shared" si="17"/>
        <v>0</v>
      </c>
      <c r="H184" s="1681">
        <f t="shared" si="17"/>
        <v>0</v>
      </c>
      <c r="I184" s="1681">
        <f t="shared" si="17"/>
        <v>0</v>
      </c>
      <c r="J184" s="1681">
        <f t="shared" si="17"/>
        <v>0</v>
      </c>
      <c r="K184" s="1681">
        <f>SUM(K180,K182,K183)</f>
        <v>620600</v>
      </c>
      <c r="L184" s="1681">
        <f>SUM(L180, L182:L183)</f>
        <v>568697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5810</v>
      </c>
      <c r="D210" s="1674">
        <f>SUM(D184,D185)</f>
        <v>1089</v>
      </c>
      <c r="E210" s="1674">
        <f>SUM(E184,E185,E196)</f>
        <v>613701</v>
      </c>
      <c r="F210" s="1674">
        <f>SUM(F184,F185)</f>
        <v>0</v>
      </c>
      <c r="G210" s="1674">
        <f>SUM(G184,G185)</f>
        <v>0</v>
      </c>
      <c r="H210" s="1674">
        <f>SUM(H184,H185,H196,H208,H209)</f>
        <v>0</v>
      </c>
      <c r="I210" s="1674">
        <f>SUM(I184,I185)</f>
        <v>0</v>
      </c>
      <c r="J210" s="1674">
        <f>SUM(J184,J185)</f>
        <v>0</v>
      </c>
      <c r="K210" s="1672">
        <f>SUM(K184,K185,K196,K208,K209)</f>
        <v>620600</v>
      </c>
      <c r="L210" s="1674">
        <f>SUM(L184,L185,L196,L208,L209)</f>
        <v>568697</v>
      </c>
    </row>
    <row r="211" spans="1:14" ht="13.5" thickTop="1" x14ac:dyDescent="0.2">
      <c r="A211" s="2270" t="s">
        <v>989</v>
      </c>
      <c r="B211" s="2271"/>
      <c r="C211" s="1675"/>
      <c r="D211" s="1675"/>
      <c r="E211" s="1675"/>
      <c r="F211" s="1675"/>
      <c r="G211" s="1675"/>
      <c r="H211" s="1675"/>
      <c r="I211" s="1673"/>
      <c r="J211" s="1673"/>
      <c r="K211" s="1689">
        <f>'Revenues 9-14'!F268-'Expenditures 15-22'!K210</f>
        <v>133574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959</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37786</v>
      </c>
      <c r="E215" s="1673"/>
      <c r="F215" s="1673"/>
      <c r="G215" s="1673"/>
      <c r="H215" s="1673"/>
      <c r="I215" s="1673"/>
      <c r="J215" s="1673"/>
      <c r="K215" s="1672">
        <f>D215</f>
        <v>37786</v>
      </c>
      <c r="L215" s="1573">
        <v>33133</v>
      </c>
    </row>
    <row r="216" spans="1:14" x14ac:dyDescent="0.2">
      <c r="A216" s="1274" t="s">
        <v>162</v>
      </c>
      <c r="B216" s="503" t="s">
        <v>961</v>
      </c>
      <c r="C216" s="1673"/>
      <c r="D216" s="1574"/>
      <c r="E216" s="1673"/>
      <c r="F216" s="1673"/>
      <c r="G216" s="1673"/>
      <c r="H216" s="1673"/>
      <c r="I216" s="1673"/>
      <c r="J216" s="1673"/>
      <c r="K216" s="1672">
        <f t="shared" ref="K216:K228" si="19">D216</f>
        <v>0</v>
      </c>
      <c r="L216" s="1573">
        <v>4653</v>
      </c>
    </row>
    <row r="217" spans="1:14" x14ac:dyDescent="0.2">
      <c r="A217" s="1274" t="s">
        <v>163</v>
      </c>
      <c r="B217" s="503">
        <v>1200</v>
      </c>
      <c r="C217" s="1673"/>
      <c r="D217" s="1573">
        <v>47566</v>
      </c>
      <c r="E217" s="1673"/>
      <c r="F217" s="1673"/>
      <c r="G217" s="1673"/>
      <c r="H217" s="1673"/>
      <c r="I217" s="1673"/>
      <c r="J217" s="1673"/>
      <c r="K217" s="1672">
        <f t="shared" si="19"/>
        <v>47566</v>
      </c>
      <c r="L217" s="1573">
        <v>60953</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18128</v>
      </c>
      <c r="E219" s="1673"/>
      <c r="F219" s="1673"/>
      <c r="G219" s="1673"/>
      <c r="H219" s="1673"/>
      <c r="I219" s="1673"/>
      <c r="J219" s="1673"/>
      <c r="K219" s="1672">
        <f t="shared" si="19"/>
        <v>18128</v>
      </c>
      <c r="L219" s="1573">
        <v>18129</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2304</v>
      </c>
      <c r="E222" s="1673"/>
      <c r="F222" s="1673"/>
      <c r="G222" s="1673"/>
      <c r="H222" s="1673"/>
      <c r="I222" s="1673"/>
      <c r="J222" s="1673"/>
      <c r="K222" s="1672">
        <f t="shared" si="19"/>
        <v>2304</v>
      </c>
      <c r="L222" s="1573">
        <v>2304</v>
      </c>
    </row>
    <row r="223" spans="1:14" x14ac:dyDescent="0.2">
      <c r="A223" s="1274" t="s">
        <v>957</v>
      </c>
      <c r="B223" s="503">
        <v>1500</v>
      </c>
      <c r="C223" s="1673"/>
      <c r="D223" s="1573">
        <v>8153</v>
      </c>
      <c r="E223" s="1673"/>
      <c r="F223" s="1673"/>
      <c r="G223" s="1673"/>
      <c r="H223" s="1673"/>
      <c r="I223" s="1673"/>
      <c r="J223" s="1673"/>
      <c r="K223" s="1672">
        <f t="shared" si="19"/>
        <v>8153</v>
      </c>
      <c r="L223" s="1573">
        <v>8154</v>
      </c>
    </row>
    <row r="224" spans="1:14" x14ac:dyDescent="0.2">
      <c r="A224" s="1274" t="s">
        <v>958</v>
      </c>
      <c r="B224" s="503">
        <v>1600</v>
      </c>
      <c r="C224" s="1673"/>
      <c r="D224" s="1573">
        <v>19</v>
      </c>
      <c r="E224" s="1673"/>
      <c r="F224" s="1673"/>
      <c r="G224" s="1673"/>
      <c r="H224" s="1673"/>
      <c r="I224" s="1673"/>
      <c r="J224" s="1673"/>
      <c r="K224" s="1672">
        <f t="shared" si="19"/>
        <v>19</v>
      </c>
      <c r="L224" s="1573">
        <v>18</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590</v>
      </c>
      <c r="E226" s="1673"/>
      <c r="F226" s="1673"/>
      <c r="G226" s="1673"/>
      <c r="H226" s="1673"/>
      <c r="I226" s="1673"/>
      <c r="J226" s="1673"/>
      <c r="K226" s="1672">
        <f t="shared" si="19"/>
        <v>590</v>
      </c>
      <c r="L226" s="1573">
        <v>590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v>37</v>
      </c>
      <c r="E228" s="1673"/>
      <c r="F228" s="1673"/>
      <c r="G228" s="1673"/>
      <c r="H228" s="1673"/>
      <c r="I228" s="1673"/>
      <c r="J228" s="1673"/>
      <c r="K228" s="1672">
        <f t="shared" si="19"/>
        <v>37</v>
      </c>
      <c r="L228" s="1573">
        <v>37</v>
      </c>
    </row>
    <row r="229" spans="1:12" ht="12.75" customHeight="1" thickBot="1" x14ac:dyDescent="0.25">
      <c r="A229" s="1380" t="s">
        <v>710</v>
      </c>
      <c r="B229" s="1383" t="s">
        <v>566</v>
      </c>
      <c r="C229" s="1673"/>
      <c r="D229" s="1674">
        <f>SUM(D215:D228)</f>
        <v>114583</v>
      </c>
      <c r="E229" s="1673"/>
      <c r="F229" s="1673"/>
      <c r="G229" s="1673"/>
      <c r="H229" s="1673"/>
      <c r="I229" s="1673"/>
      <c r="J229" s="1673"/>
      <c r="K229" s="1674">
        <f>SUM(K215:K228)</f>
        <v>114583</v>
      </c>
      <c r="L229" s="1674">
        <f>SUM(L215:L228)</f>
        <v>127971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v>
      </c>
      <c r="E232" s="1673"/>
      <c r="F232" s="1673"/>
      <c r="G232" s="1673"/>
      <c r="H232" s="1673"/>
      <c r="I232" s="1673"/>
      <c r="J232" s="1673"/>
      <c r="K232" s="1672">
        <f t="shared" ref="K232:K237" si="20">D232</f>
        <v>1</v>
      </c>
      <c r="L232" s="1573">
        <v>1</v>
      </c>
    </row>
    <row r="233" spans="1:12" x14ac:dyDescent="0.2">
      <c r="A233" s="1274" t="s">
        <v>1081</v>
      </c>
      <c r="B233" s="503">
        <v>2120</v>
      </c>
      <c r="C233" s="1673"/>
      <c r="D233" s="1573">
        <v>7999</v>
      </c>
      <c r="E233" s="1673"/>
      <c r="F233" s="1673"/>
      <c r="G233" s="1673"/>
      <c r="H233" s="1673"/>
      <c r="I233" s="1673"/>
      <c r="J233" s="1673"/>
      <c r="K233" s="1672">
        <f t="shared" si="20"/>
        <v>7999</v>
      </c>
      <c r="L233" s="1573">
        <v>7998</v>
      </c>
    </row>
    <row r="234" spans="1:12" x14ac:dyDescent="0.2">
      <c r="A234" s="1274" t="s">
        <v>196</v>
      </c>
      <c r="B234" s="503">
        <v>2130</v>
      </c>
      <c r="C234" s="1673"/>
      <c r="D234" s="1573">
        <v>5920</v>
      </c>
      <c r="E234" s="1673"/>
      <c r="F234" s="1673"/>
      <c r="G234" s="1673"/>
      <c r="H234" s="1673"/>
      <c r="I234" s="1673"/>
      <c r="J234" s="1673"/>
      <c r="K234" s="1672">
        <f t="shared" si="20"/>
        <v>5920</v>
      </c>
      <c r="L234" s="1573">
        <v>5920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13920</v>
      </c>
      <c r="E238" s="1673"/>
      <c r="F238" s="1673"/>
      <c r="G238" s="1673"/>
      <c r="H238" s="1673"/>
      <c r="I238" s="1673"/>
      <c r="J238" s="1673"/>
      <c r="K238" s="1674">
        <f>SUM(K232:K237)</f>
        <v>13920</v>
      </c>
      <c r="L238" s="1674">
        <f>SUM(L232:L237)</f>
        <v>13919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561</v>
      </c>
      <c r="E240" s="1673"/>
      <c r="F240" s="1673"/>
      <c r="G240" s="1673"/>
      <c r="H240" s="1673"/>
      <c r="I240" s="1673"/>
      <c r="J240" s="1673"/>
      <c r="K240" s="1678">
        <f>D240</f>
        <v>561</v>
      </c>
      <c r="L240" s="1586">
        <v>562</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561</v>
      </c>
      <c r="E243" s="1673"/>
      <c r="F243" s="1673"/>
      <c r="G243" s="1673"/>
      <c r="H243" s="1673"/>
      <c r="I243" s="1673"/>
      <c r="J243" s="1673"/>
      <c r="K243" s="1674">
        <f>SUM(K240:K242)</f>
        <v>561</v>
      </c>
      <c r="L243" s="1674">
        <f>SUM(L240:L242)</f>
        <v>562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666</v>
      </c>
      <c r="E245" s="1673"/>
      <c r="F245" s="1673"/>
      <c r="G245" s="1673"/>
      <c r="H245" s="1673"/>
      <c r="I245" s="1673"/>
      <c r="J245" s="1673"/>
      <c r="K245" s="1678">
        <f>D245</f>
        <v>666</v>
      </c>
      <c r="L245" s="1586">
        <v>687</v>
      </c>
    </row>
    <row r="246" spans="1:12" x14ac:dyDescent="0.2">
      <c r="A246" s="1274" t="s">
        <v>813</v>
      </c>
      <c r="B246" s="503">
        <v>2320</v>
      </c>
      <c r="C246" s="1673"/>
      <c r="D246" s="1573">
        <v>10683</v>
      </c>
      <c r="E246" s="1673"/>
      <c r="F246" s="1673"/>
      <c r="G246" s="1673"/>
      <c r="H246" s="1673"/>
      <c r="I246" s="1673"/>
      <c r="J246" s="1673"/>
      <c r="K246" s="1678">
        <f t="shared" ref="K246:K256" si="21">D246</f>
        <v>10683</v>
      </c>
      <c r="L246" s="1573">
        <v>10683</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1779</v>
      </c>
      <c r="B249" s="557" t="s">
        <v>280</v>
      </c>
      <c r="C249" s="1673"/>
      <c r="D249" s="1579"/>
      <c r="E249" s="1673"/>
      <c r="F249" s="1673"/>
      <c r="G249" s="1673"/>
      <c r="H249" s="1673"/>
      <c r="I249" s="1673"/>
      <c r="J249" s="1673"/>
      <c r="K249" s="1678">
        <f t="shared" si="21"/>
        <v>0</v>
      </c>
      <c r="L249" s="1573">
        <v>0</v>
      </c>
    </row>
    <row r="250" spans="1:12" x14ac:dyDescent="0.2">
      <c r="A250" s="1275" t="s">
        <v>1780</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11349</v>
      </c>
      <c r="E257" s="1673"/>
      <c r="F257" s="1673"/>
      <c r="G257" s="1673"/>
      <c r="H257" s="1673"/>
      <c r="I257" s="1673"/>
      <c r="J257" s="1673"/>
      <c r="K257" s="1674">
        <f>SUM(K245:K256)</f>
        <v>11349</v>
      </c>
      <c r="L257" s="1674">
        <f>SUM(L245:L256)</f>
        <v>11370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18311</v>
      </c>
      <c r="E259" s="1673"/>
      <c r="F259" s="1673"/>
      <c r="G259" s="1673"/>
      <c r="H259" s="1673"/>
      <c r="I259" s="1673"/>
      <c r="J259" s="1673"/>
      <c r="K259" s="1678">
        <f>D259</f>
        <v>18311</v>
      </c>
      <c r="L259" s="1586">
        <v>18313</v>
      </c>
    </row>
    <row r="260" spans="1:14" s="493" customFormat="1" x14ac:dyDescent="0.2">
      <c r="A260" s="1292" t="s">
        <v>1778</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18311</v>
      </c>
      <c r="E261" s="1673"/>
      <c r="F261" s="1673"/>
      <c r="G261" s="1673"/>
      <c r="H261" s="1673"/>
      <c r="I261" s="1673"/>
      <c r="J261" s="1673"/>
      <c r="K261" s="1674">
        <f>SUM(K259:K260)</f>
        <v>18311</v>
      </c>
      <c r="L261" s="1674">
        <f>SUM(L259:L260)</f>
        <v>18313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9510</v>
      </c>
      <c r="E264" s="1673"/>
      <c r="F264" s="1673"/>
      <c r="G264" s="1673"/>
      <c r="H264" s="1673"/>
      <c r="I264" s="1673"/>
      <c r="J264" s="1673"/>
      <c r="K264" s="1678">
        <f t="shared" ref="K264:K269" si="22">D264</f>
        <v>9510</v>
      </c>
      <c r="L264" s="1573">
        <v>9510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35459</v>
      </c>
      <c r="E266" s="1673"/>
      <c r="F266" s="1673"/>
      <c r="G266" s="1673"/>
      <c r="H266" s="1673"/>
      <c r="I266" s="1673"/>
      <c r="J266" s="1673"/>
      <c r="K266" s="1678">
        <f t="shared" si="22"/>
        <v>35459</v>
      </c>
      <c r="L266" s="1573">
        <v>35460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19890</v>
      </c>
      <c r="E268" s="1673"/>
      <c r="F268" s="1673"/>
      <c r="G268" s="1673"/>
      <c r="H268" s="1673"/>
      <c r="I268" s="1673"/>
      <c r="J268" s="1673"/>
      <c r="K268" s="1678">
        <f t="shared" si="22"/>
        <v>19890</v>
      </c>
      <c r="L268" s="1573">
        <v>19891</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64859</v>
      </c>
      <c r="E270" s="1673"/>
      <c r="F270" s="1673"/>
      <c r="G270" s="1673"/>
      <c r="H270" s="1673"/>
      <c r="I270" s="1673"/>
      <c r="J270" s="1673"/>
      <c r="K270" s="1674">
        <f>SUM(K263:K269)</f>
        <v>64859</v>
      </c>
      <c r="L270" s="1674">
        <f>SUM(L263:L269)</f>
        <v>64861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109000</v>
      </c>
      <c r="E279" s="1673"/>
      <c r="F279" s="1673"/>
      <c r="G279" s="1673"/>
      <c r="H279" s="1673"/>
      <c r="I279" s="1673"/>
      <c r="J279" s="1673"/>
      <c r="K279" s="1681">
        <f>SUM(K238,K243,K257,K261,K270,K277,K278)</f>
        <v>109000</v>
      </c>
      <c r="L279" s="1681">
        <f>SUM(L238,L243,L257,L261,L270,L277,L278)</f>
        <v>109025</v>
      </c>
    </row>
    <row r="280" spans="1:12" ht="15.75" customHeight="1" thickTop="1" thickBot="1" x14ac:dyDescent="0.25">
      <c r="A280" s="1362" t="s">
        <v>870</v>
      </c>
      <c r="B280" s="1351">
        <v>3000</v>
      </c>
      <c r="C280" s="1673"/>
      <c r="D280" s="1651">
        <v>32101</v>
      </c>
      <c r="E280" s="1673"/>
      <c r="F280" s="1673"/>
      <c r="G280" s="1673"/>
      <c r="H280" s="1673"/>
      <c r="I280" s="1673"/>
      <c r="J280" s="1673"/>
      <c r="K280" s="1687">
        <f>D280</f>
        <v>32101</v>
      </c>
      <c r="L280" s="1651">
        <v>32102</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8" t="s">
        <v>502</v>
      </c>
      <c r="B295" s="2289"/>
      <c r="C295" s="1673"/>
      <c r="D295" s="1674">
        <f>SUM(D229,D279,D280,D285)</f>
        <v>255684</v>
      </c>
      <c r="E295" s="1673"/>
      <c r="F295" s="1673"/>
      <c r="G295" s="1673"/>
      <c r="H295" s="1674">
        <f>H293</f>
        <v>0</v>
      </c>
      <c r="I295" s="1673"/>
      <c r="J295" s="1673"/>
      <c r="K295" s="1674">
        <f>SUM(K229,K279,K280,K285,K293,K294)</f>
        <v>255684</v>
      </c>
      <c r="L295" s="1674">
        <f>SUM(L229,L279,L280,L285,L293,L294)</f>
        <v>269098</v>
      </c>
    </row>
    <row r="296" spans="1:14" ht="13.5" thickTop="1" x14ac:dyDescent="0.2">
      <c r="A296" s="2270" t="s">
        <v>989</v>
      </c>
      <c r="B296" s="2271"/>
      <c r="C296" s="1673"/>
      <c r="D296" s="1675"/>
      <c r="E296" s="1673"/>
      <c r="F296" s="1673"/>
      <c r="G296" s="1673"/>
      <c r="H296" s="1707"/>
      <c r="I296" s="1673"/>
      <c r="J296" s="1673"/>
      <c r="K296" s="1689">
        <f>'Revenues 9-14'!G268-'Expenditures 15-22'!K295</f>
        <v>8841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334167</v>
      </c>
      <c r="F301" s="1573"/>
      <c r="G301" s="1573">
        <v>282640</v>
      </c>
      <c r="H301" s="1573"/>
      <c r="I301" s="1574"/>
      <c r="J301" s="1574"/>
      <c r="K301" s="1672">
        <f>SUM(C301:J301)</f>
        <v>616807</v>
      </c>
      <c r="L301" s="1574">
        <v>641000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334167</v>
      </c>
      <c r="F303" s="1681">
        <f t="shared" si="23"/>
        <v>0</v>
      </c>
      <c r="G303" s="1681">
        <f t="shared" si="23"/>
        <v>282640</v>
      </c>
      <c r="H303" s="1681">
        <f t="shared" si="23"/>
        <v>0</v>
      </c>
      <c r="I303" s="1681">
        <f t="shared" si="23"/>
        <v>0</v>
      </c>
      <c r="J303" s="1681">
        <f t="shared" si="23"/>
        <v>0</v>
      </c>
      <c r="K303" s="1681">
        <f t="shared" si="23"/>
        <v>616807</v>
      </c>
      <c r="L303" s="1681">
        <f t="shared" si="23"/>
        <v>641000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5" t="s">
        <v>275</v>
      </c>
      <c r="B312" s="2286"/>
      <c r="C312" s="1674">
        <f>SUM(C303)</f>
        <v>0</v>
      </c>
      <c r="D312" s="1674">
        <f>SUM(D303)</f>
        <v>0</v>
      </c>
      <c r="E312" s="1674">
        <f>SUM(E303,E310)</f>
        <v>334167</v>
      </c>
      <c r="F312" s="1674">
        <f>SUM(F303)</f>
        <v>0</v>
      </c>
      <c r="G312" s="1674">
        <f>SUM(G303)</f>
        <v>282640</v>
      </c>
      <c r="H312" s="1674">
        <f>SUM(H303,H310)</f>
        <v>0</v>
      </c>
      <c r="I312" s="1674">
        <f>SUM(I303)</f>
        <v>0</v>
      </c>
      <c r="J312" s="1674">
        <f>SUM(J303)</f>
        <v>0</v>
      </c>
      <c r="K312" s="1674">
        <f>SUM(K303,K310,K311)</f>
        <v>616807</v>
      </c>
      <c r="L312" s="1674">
        <f>SUM(L303,L310,L311)</f>
        <v>641000</v>
      </c>
      <c r="M312" s="539"/>
      <c r="N312" s="539"/>
    </row>
    <row r="313" spans="1:14" ht="13.5" thickTop="1" x14ac:dyDescent="0.2">
      <c r="A313" s="2281" t="s">
        <v>989</v>
      </c>
      <c r="B313" s="2282"/>
      <c r="C313" s="1677"/>
      <c r="D313" s="1677"/>
      <c r="E313" s="1677"/>
      <c r="F313" s="1677"/>
      <c r="G313" s="1677"/>
      <c r="H313" s="1677"/>
      <c r="I313" s="1677"/>
      <c r="J313" s="1677"/>
      <c r="K313" s="1696">
        <f>'Revenues 9-14'!H268-'Expenditures 15-22'!K312</f>
        <v>-508583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892</v>
      </c>
      <c r="B317" s="229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1779</v>
      </c>
      <c r="B320" s="568" t="s">
        <v>280</v>
      </c>
      <c r="C320" s="1574"/>
      <c r="D320" s="1574"/>
      <c r="E320" s="1574">
        <v>49780</v>
      </c>
      <c r="F320" s="1574"/>
      <c r="G320" s="1574"/>
      <c r="H320" s="1574"/>
      <c r="I320" s="1574"/>
      <c r="J320" s="1574"/>
      <c r="K320" s="1672">
        <f t="shared" ref="K320:K327" si="24">SUM(C320:J320)</f>
        <v>49780</v>
      </c>
      <c r="L320" s="1574">
        <v>49780</v>
      </c>
      <c r="M320" s="539"/>
      <c r="N320" s="539"/>
    </row>
    <row r="321" spans="1:14" s="548" customFormat="1" x14ac:dyDescent="0.2">
      <c r="A321" s="1289" t="s">
        <v>297</v>
      </c>
      <c r="B321" s="567" t="s">
        <v>281</v>
      </c>
      <c r="C321" s="1574"/>
      <c r="D321" s="1574"/>
      <c r="E321" s="1574">
        <v>4242</v>
      </c>
      <c r="F321" s="1574"/>
      <c r="G321" s="1574"/>
      <c r="H321" s="1574"/>
      <c r="I321" s="1574"/>
      <c r="J321" s="1574"/>
      <c r="K321" s="1672">
        <f t="shared" si="24"/>
        <v>4242</v>
      </c>
      <c r="L321" s="1574">
        <v>4242</v>
      </c>
      <c r="M321" s="539"/>
      <c r="N321" s="539"/>
    </row>
    <row r="322" spans="1:14" s="548" customFormat="1" x14ac:dyDescent="0.2">
      <c r="A322" s="1289" t="s">
        <v>236</v>
      </c>
      <c r="B322" s="567" t="s">
        <v>282</v>
      </c>
      <c r="C322" s="1574"/>
      <c r="D322" s="1574"/>
      <c r="E322" s="1574">
        <v>42284</v>
      </c>
      <c r="F322" s="1574"/>
      <c r="G322" s="1574"/>
      <c r="H322" s="1574"/>
      <c r="I322" s="1574"/>
      <c r="J322" s="1574"/>
      <c r="K322" s="1672">
        <f t="shared" si="24"/>
        <v>42284</v>
      </c>
      <c r="L322" s="1574">
        <v>42284</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43859</v>
      </c>
      <c r="F327" s="1574"/>
      <c r="G327" s="1574"/>
      <c r="H327" s="1574"/>
      <c r="I327" s="1574"/>
      <c r="J327" s="1574"/>
      <c r="K327" s="1672">
        <f t="shared" si="24"/>
        <v>43859</v>
      </c>
      <c r="L327" s="1574">
        <v>40823</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140165</v>
      </c>
      <c r="F330" s="1674">
        <f t="shared" si="25"/>
        <v>0</v>
      </c>
      <c r="G330" s="1674">
        <f t="shared" si="25"/>
        <v>0</v>
      </c>
      <c r="H330" s="1674">
        <f t="shared" si="25"/>
        <v>0</v>
      </c>
      <c r="I330" s="1674">
        <f t="shared" si="25"/>
        <v>0</v>
      </c>
      <c r="J330" s="1674">
        <f t="shared" si="25"/>
        <v>0</v>
      </c>
      <c r="K330" s="1674">
        <f>SUM(K319:K329)</f>
        <v>140165</v>
      </c>
      <c r="L330" s="1674">
        <f>SUM(L319:L329)</f>
        <v>137129</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140165</v>
      </c>
      <c r="F342" s="1674">
        <f>SUM(F330)</f>
        <v>0</v>
      </c>
      <c r="G342" s="1674">
        <f>SUM(G330)</f>
        <v>0</v>
      </c>
      <c r="H342" s="1674">
        <f>SUM(H330,H334,H340)</f>
        <v>0</v>
      </c>
      <c r="I342" s="1674">
        <f>SUM(I330)</f>
        <v>0</v>
      </c>
      <c r="J342" s="1674">
        <f>SUM(J330)</f>
        <v>0</v>
      </c>
      <c r="K342" s="1674">
        <f>SUM(K330,K334,K340)</f>
        <v>140165</v>
      </c>
      <c r="L342" s="1681">
        <f>SUM(L330,L334,L340,L341)</f>
        <v>137129</v>
      </c>
    </row>
    <row r="343" spans="1:14" ht="12.75" customHeight="1" thickTop="1" x14ac:dyDescent="0.2">
      <c r="A343" s="2283" t="s">
        <v>989</v>
      </c>
      <c r="B343" s="2284"/>
      <c r="C343" s="1673"/>
      <c r="D343" s="1673"/>
      <c r="E343" s="1673"/>
      <c r="F343" s="1673"/>
      <c r="G343" s="1673"/>
      <c r="H343" s="1673"/>
      <c r="I343" s="1673"/>
      <c r="J343" s="1673"/>
      <c r="K343" s="1689">
        <f>'Revenues 9-14'!J268-'Expenditures 15-22'!K342</f>
        <v>-20628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960</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6548</v>
      </c>
      <c r="F348" s="1573"/>
      <c r="G348" s="1573">
        <v>742468</v>
      </c>
      <c r="H348" s="1573"/>
      <c r="I348" s="1574"/>
      <c r="J348" s="1574"/>
      <c r="K348" s="1672">
        <f>SUM(C348:J348)</f>
        <v>749016</v>
      </c>
      <c r="L348" s="1573">
        <v>499445</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6548</v>
      </c>
      <c r="F350" s="1674">
        <f t="shared" si="26"/>
        <v>0</v>
      </c>
      <c r="G350" s="1674">
        <f t="shared" si="26"/>
        <v>742468</v>
      </c>
      <c r="H350" s="1674">
        <f t="shared" si="26"/>
        <v>0</v>
      </c>
      <c r="I350" s="1674">
        <f t="shared" si="26"/>
        <v>0</v>
      </c>
      <c r="J350" s="1674">
        <f t="shared" si="26"/>
        <v>0</v>
      </c>
      <c r="K350" s="1674">
        <f t="shared" si="26"/>
        <v>749016</v>
      </c>
      <c r="L350" s="1674">
        <f t="shared" si="26"/>
        <v>499445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6548</v>
      </c>
      <c r="F352" s="1674">
        <f t="shared" si="27"/>
        <v>0</v>
      </c>
      <c r="G352" s="1674">
        <f t="shared" si="27"/>
        <v>742468</v>
      </c>
      <c r="H352" s="1674">
        <f t="shared" si="27"/>
        <v>0</v>
      </c>
      <c r="I352" s="1674">
        <f t="shared" si="27"/>
        <v>0</v>
      </c>
      <c r="J352" s="1674">
        <f t="shared" si="27"/>
        <v>0</v>
      </c>
      <c r="K352" s="1674">
        <f t="shared" si="27"/>
        <v>749016</v>
      </c>
      <c r="L352" s="1674">
        <f t="shared" si="27"/>
        <v>499445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v>0</v>
      </c>
    </row>
    <row r="355" spans="1:14" ht="12.75" customHeight="1" x14ac:dyDescent="0.2">
      <c r="A355" s="1283" t="s">
        <v>1822</v>
      </c>
      <c r="B355" s="562" t="s">
        <v>1815</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6548</v>
      </c>
      <c r="F367" s="1674">
        <f t="shared" si="28"/>
        <v>0</v>
      </c>
      <c r="G367" s="1674">
        <f t="shared" si="28"/>
        <v>742468</v>
      </c>
      <c r="H367" s="1674">
        <f t="shared" si="28"/>
        <v>0</v>
      </c>
      <c r="I367" s="1674">
        <f t="shared" si="28"/>
        <v>0</v>
      </c>
      <c r="J367" s="1674">
        <f t="shared" si="28"/>
        <v>0</v>
      </c>
      <c r="K367" s="1674">
        <f t="shared" si="28"/>
        <v>749016</v>
      </c>
      <c r="L367" s="1674">
        <f t="shared" si="28"/>
        <v>499445</v>
      </c>
    </row>
    <row r="368" spans="1:14" ht="13.5" thickTop="1" x14ac:dyDescent="0.2">
      <c r="A368" s="2270" t="s">
        <v>989</v>
      </c>
      <c r="B368" s="2271"/>
      <c r="C368" s="1694"/>
      <c r="D368" s="1694"/>
      <c r="E368" s="1677"/>
      <c r="F368" s="1677"/>
      <c r="G368" s="1677"/>
      <c r="H368" s="1677"/>
      <c r="I368" s="1677"/>
      <c r="J368" s="1676"/>
      <c r="K368" s="1672">
        <f>'Revenues 9-14'!K268-'Expenditures 15-22'!K367</f>
        <v>-749016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20" fitToHeight="0" orientation="landscape" useFirstPageNumber="1" r:id="rId1"/>
  <headerFooter differentFirst="1" alignWithMargins="0">
    <oddHeader>&amp;L&amp;8Page &amp;P&amp;C&amp;"Arial,Bold"&amp;9STATEMENT OF EXPENDITURES DISBURSEMENTS/EXPENDITURES, BUDGET TO ACTUAL
FOR THE YEAR ENDING JUNE 30, 2020&amp;R&amp;8Page &amp;P</oddHeader>
    <oddFooter>&amp;LSee notes to financial statements.</oddFooter>
    <firstFooter>&amp;LSee notes to financial statements.</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www.w3.org/XML/1998/namespace"/>
    <ds:schemaRef ds:uri="http://schemas.microsoft.com/sharepoint/v3"/>
    <ds:schemaRef ds:uri="6ce3111e-7420-4802-b50a-75d4e9a0b980"/>
    <ds:schemaRef ds:uri="d21dc803-237d-4c68-8692-8d731fd29118"/>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SF&amp;QC Sec-1</vt:lpstr>
      <vt:lpstr>Single Audit Cover</vt:lpstr>
      <vt:lpstr>Single Audit Checklist</vt:lpstr>
      <vt:lpstr>SEFA Reconcile</vt:lpstr>
      <vt:lpstr> SEFA</vt:lpstr>
      <vt:lpstr> SEFA (2)</vt:lpstr>
      <vt:lpstr> SEFA (3)</vt:lpstr>
      <vt:lpstr>SEFA NOTES</vt:lpstr>
      <vt:lpstr>SF&amp;QC Sec-2</vt:lpstr>
      <vt:lpstr>SF&amp;QC Sec-3</vt:lpstr>
      <vt:lpstr>SF&amp;QC Sec-4</vt:lpstr>
      <vt:lpstr>SF&amp;QC Sec-5</vt:lpstr>
      <vt:lpstr>SSPAF</vt:lpstr>
      <vt:lpstr>' SEFA'!Print_Area</vt:lpstr>
      <vt:lpstr>' SEFA (2)'!Print_Area</vt:lpstr>
      <vt:lpstr>' SEFA (3)'!Print_Area</vt:lpstr>
      <vt:lpstr>'SEFA NOTES'!Print_Area</vt:lpstr>
      <vt:lpstr>'SEFA Reconcile'!Print_Area</vt:lpstr>
      <vt:lpstr>'SF&amp;QC Sec-1'!Print_Area</vt:lpstr>
      <vt:lpstr>'SF&amp;QC Sec-5'!Print_Area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2020-11-03T21:42:25Z</cp:lastPrinted>
  <dcterms:created xsi:type="dcterms:W3CDTF">2003-10-29T19:06:34Z</dcterms:created>
  <dcterms:modified xsi:type="dcterms:W3CDTF">2020-11-13T20:33:20Z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