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5E8CBCF-7340-406A-96C5-EA393E5FC592}"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48" i="29" l="1"/>
  <c r="L301" i="29"/>
  <c r="L182" i="29"/>
  <c r="L124" i="29"/>
  <c r="L63" i="29"/>
  <c r="L69" i="29"/>
  <c r="L60" i="29"/>
  <c r="L55" i="29"/>
  <c r="L50" i="29"/>
  <c r="L49" i="29"/>
  <c r="L45" i="29"/>
  <c r="L44" i="29"/>
  <c r="L38" i="29"/>
  <c r="L40" i="29"/>
  <c r="L37" i="29"/>
  <c r="L36" i="29"/>
  <c r="L14" i="29"/>
  <c r="L13" i="29"/>
  <c r="L17" i="29"/>
  <c r="L10" i="29"/>
  <c r="L8" i="29"/>
  <c r="L9" i="29"/>
  <c r="L5" i="29"/>
  <c r="L7" i="29"/>
  <c r="E8" i="7" l="1"/>
  <c r="B6" i="7"/>
  <c r="C95" i="5" l="1"/>
  <c r="C84" i="5"/>
  <c r="C79" i="5"/>
  <c r="C77" i="5"/>
  <c r="C69" i="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D6" i="7"/>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G30" i="108" l="1"/>
  <c r="H33" i="118"/>
  <c r="F36" i="34"/>
  <c r="B7828" i="106" s="1"/>
  <c r="D7828" i="106" s="1"/>
  <c r="B7189" i="106"/>
  <c r="D7189" i="106" s="1"/>
  <c r="E64" i="184"/>
  <c r="N64" i="184" s="1"/>
  <c r="B7153" i="106"/>
  <c r="D7153" i="106" s="1"/>
  <c r="E60" i="184"/>
  <c r="N60" i="184" s="1"/>
  <c r="H76" i="4"/>
  <c r="B3298" i="106" s="1"/>
  <c r="D3298" i="106" s="1"/>
  <c r="B1274" i="106"/>
  <c r="D1274" i="106" s="1"/>
  <c r="H12" i="184"/>
  <c r="I210" i="29"/>
  <c r="B7071" i="106" s="1"/>
  <c r="D7071" i="106" s="1"/>
  <c r="I129" i="29"/>
  <c r="B7037" i="106" s="1"/>
  <c r="D7037" i="106" s="1"/>
  <c r="C129" i="29"/>
  <c r="B1225" i="106" s="1"/>
  <c r="D1225" i="106" s="1"/>
  <c r="B7198" i="106"/>
  <c r="D7198" i="106" s="1"/>
  <c r="E65" i="184"/>
  <c r="N65" i="184" s="1"/>
  <c r="B7162" i="106"/>
  <c r="D7162" i="106" s="1"/>
  <c r="E61" i="184"/>
  <c r="N61" i="184" s="1"/>
  <c r="B7126" i="106"/>
  <c r="D7126" i="106" s="1"/>
  <c r="E57" i="184"/>
  <c r="B7705" i="106"/>
  <c r="D7705" i="106" s="1"/>
  <c r="E67" i="184"/>
  <c r="N67" i="184" s="1"/>
  <c r="F77" i="4"/>
  <c r="B3255" i="106" s="1"/>
  <c r="D3255" i="106" s="1"/>
  <c r="B7696" i="106"/>
  <c r="D7696" i="106" s="1"/>
  <c r="E66" i="184"/>
  <c r="N66" i="184" s="1"/>
  <c r="B7171" i="106"/>
  <c r="D7171" i="106" s="1"/>
  <c r="E62" i="184"/>
  <c r="N62" i="184" s="1"/>
  <c r="B7135" i="106"/>
  <c r="D7135" i="106" s="1"/>
  <c r="E58" i="184"/>
  <c r="N58" i="184" s="1"/>
  <c r="H15" i="184"/>
  <c r="D31" i="108"/>
  <c r="E16" i="184"/>
  <c r="H16" i="184" s="1"/>
  <c r="C342" i="29"/>
  <c r="B7216" i="106" s="1"/>
  <c r="D7216" i="106"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14" i="29" l="1"/>
  <c r="N23" i="3"/>
  <c r="B284" i="106" s="1"/>
  <c r="D284" i="106" s="1"/>
  <c r="F41" i="108"/>
  <c r="G43" i="108" s="1"/>
  <c r="B1381" i="106"/>
  <c r="D1381" i="106" s="1"/>
  <c r="B5527" i="106"/>
  <c r="D5527" i="106" s="1"/>
  <c r="B7220" i="106"/>
  <c r="D7220" i="106" s="1"/>
  <c r="F75" i="34"/>
  <c r="B7886" i="106" s="1"/>
  <c r="D7886" i="106" s="1"/>
  <c r="B7222" i="106"/>
  <c r="D7222" i="106" s="1"/>
  <c r="F76" i="34"/>
  <c r="B7887" i="106" s="1"/>
  <c r="D7887" i="106" s="1"/>
  <c r="H19" i="184"/>
  <c r="L20" i="184" s="1"/>
  <c r="E367" i="29"/>
  <c r="B3636" i="106" s="1"/>
  <c r="D3636" i="106" s="1"/>
  <c r="B3635" i="106"/>
  <c r="D3635" i="106" s="1"/>
  <c r="C151" i="29"/>
  <c r="B1226" i="106" s="1"/>
  <c r="D1226" i="106" s="1"/>
  <c r="E19" i="184"/>
  <c r="N57" i="184"/>
  <c r="N68" i="184" s="1"/>
  <c r="E68" i="184"/>
  <c r="L16" i="11"/>
  <c r="B2061" i="106" s="1"/>
  <c r="D2061" i="106" s="1"/>
  <c r="D44" i="36"/>
  <c r="B5770" i="106"/>
  <c r="D577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B2567" i="106"/>
  <c r="D2567" i="106" s="1"/>
  <c r="B6227" i="106" l="1"/>
  <c r="D6227" i="106" s="1"/>
  <c r="F8" i="4"/>
  <c r="B2595" i="106" s="1"/>
  <c r="D259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<sst xmlns="http://schemas.openxmlformats.org/spreadsheetml/2006/main" count="5139" uniqueCount="2078">
  <si>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</si>
  <si>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</si>
  <si>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</si>
  <si>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</si>
  <si>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</si>
  <si>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</si>
  <si>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</si>
  <si>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</si>
  <si>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</si>
  <si>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</si>
  <si>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</si>
  <si>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</si>
  <si>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</si>
  <si>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</si>
  <si>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</si>
  <si>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</si>
  <si>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</si>
  <si>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</si>
  <si>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</si>
  <si>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</si>
  <si>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</si>
  <si>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</si>
  <si>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</si>
  <si>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</si>
  <si>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</si>
  <si>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</si>
  <si>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</si>
  <si>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</si>
  <si>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</si>
  <si>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</si>
  <si>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</si>
  <si>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</si>
  <si>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</si>
  <si>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</si>
  <si>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</si>
  <si>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</si>
  <si>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</si>
  <si>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</si>
  <si>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</si>
  <si>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</si>
  <si>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</si>
  <si>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</si>
  <si>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</si>
  <si>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</si>
  <si>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</si>
  <si>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</si>
  <si>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</si>
  <si>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</si>
  <si>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</si>
  <si>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</si>
  <si>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</si>
  <si>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</si>
  <si>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</si>
  <si>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</si>
  <si>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</si>
  <si>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</si>
  <si>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</si>
  <si>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</si>
  <si>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</si>
  <si>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</si>
  <si>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</si>
  <si>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</si>
  <si>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</si>
  <si>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</si>
  <si>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</si>
  <si>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</si>
  <si>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</si>
  <si>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</si>
  <si>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</si>
  <si>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</si>
  <si>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</si>
  <si>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</si>
  <si>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</si>
  <si>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</si>
  <si>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</si>
  <si>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</si>
  <si>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</si>
  <si>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</si>
  <si>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</si>
  <si>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</si>
  <si>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</si>
  <si>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</si>
  <si>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</si>
  <si>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</si>
  <si>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</si>
  <si>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</si>
  <si>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</si>
  <si>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</si>
  <si>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</si>
  <si>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</si>
  <si>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</si>
  <si>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</si>
  <si>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</si>
  <si>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</si>
  <si>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</si>
  <si>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</si>
  <si>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</si>
  <si>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</si>
  <si>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</si>
  <si>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</si>
  <si>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</si>
  <si>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</si>
  <si>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</si>
  <si>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</si>
  <si>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</si>
  <si>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</si>
  <si>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</si>
  <si>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</si>
  <si>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</si>
  <si>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</si>
  <si>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</si>
  <si>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</si>
  <si>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</si>
  <si>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</si>
  <si>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</si>
  <si>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</si>
  <si>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</si>
  <si>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</si>
  <si>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</si>
  <si>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</si>
  <si>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</si>
  <si>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</si>
  <si>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</si>
  <si>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</si>
  <si>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</si>
  <si>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</si>
  <si>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</si>
  <si>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</si>
  <si>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</si>
  <si>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</si>
  <si>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</si>
  <si>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</si>
  <si>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</si>
  <si>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</si>
  <si>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</si>
  <si>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</si>
  <si>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</si>
  <si>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</si>
  <si>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</si>
  <si>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</si>
  <si>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</si>
  <si>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</si>
  <si>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</si>
  <si>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</si>
  <si>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</si>
  <si>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</si>
  <si>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</si>
  <si>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</si>
  <si>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</si>
  <si>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</si>
  <si>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</si>
  <si>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</si>
  <si>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</si>
  <si>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</si>
  <si>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</si>
  <si>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</si>
  <si>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</si>
  <si>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</si>
  <si>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</si>
  <si>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</si>
  <si>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</si>
  <si>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</si>
  <si>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</si>
  <si>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</si>
  <si>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</si>
  <si>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</si>
  <si>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</si>
  <si>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</si>
  <si>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</si>
  <si>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</si>
  <si>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</si>
  <si>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</si>
  <si>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</si>
  <si>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</si>
  <si>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</si>
  <si>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</si>
  <si>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</si>
  <si>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</si>
  <si>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</si>
  <si>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</si>
  <si>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</si>
  <si>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</si>
  <si>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</si>
  <si>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</si>
  <si>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</si>
  <si>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</si>
  <si>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</si>
  <si>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</si>
  <si>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</si>
  <si>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</si>
  <si>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</si>
  <si>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</si>
  <si>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</si>
  <si>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</si>
  <si>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</si>
  <si>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</si>
  <si>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</si>
  <si>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</si>
  <si>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</si>
  <si>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</si>
  <si>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</si>
  <si>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</si>
  <si>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</si>
  <si>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</si>
  <si>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</si>
  <si>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</si>
  <si>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</si>
  <si>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</si>
  <si>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</si>
  <si>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</si>
  <si>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</si>
  <si>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</si>
  <si>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</si>
  <si>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</si>
  <si>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</si>
  <si>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</si>
  <si>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</si>
  <si>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</si>
  <si>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</si>
  <si>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</si>
  <si>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</si>
  <si>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</si>
  <si>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</si>
  <si>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</si>
  <si>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</si>
  <si>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</si>
  <si>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</si>
  <si>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</si>
  <si>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</si>
  <si>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</si>
  <si>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</si>
  <si>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</si>
  <si>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</si>
  <si>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</si>
  <si>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</si>
  <si>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</si>
  <si>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</si>
  <si>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</si>
  <si>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</si>
  <si>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</si>
  <si>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</si>
  <si>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</si>
  <si>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</si>
  <si>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</si>
  <si>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</si>
  <si>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</si>
  <si>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</si>
  <si>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</si>
  <si>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</si>
  <si>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</si>
  <si>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</si>
  <si>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</si>
  <si>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</si>
  <si>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</si>
  <si>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</si>
  <si>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</si>
  <si>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</si>
  <si>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</si>
  <si>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</si>
  <si>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</si>
  <si>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</si>
  <si>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</si>
  <si>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</si>
  <si>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</si>
  <si>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</si>
  <si>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</si>
  <si>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</si>
  <si>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</si>
  <si>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</si>
  <si>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</si>
  <si>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</si>
  <si>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</si>
  <si>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</si>
  <si>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</si>
  <si>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</si>
  <si>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</si>
  <si>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</si>
  <si>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</si>
  <si>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</si>
  <si>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</si>
  <si>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</si>
  <si>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</si>
  <si>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</si>
  <si>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</si>
  <si>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</si>
  <si>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</si>
  <si>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</si>
  <si>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</si>
  <si>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</si>
  <si>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</si>
  <si>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</si>
  <si>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</si>
  <si>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</si>
  <si>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</si>
  <si>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</si>
  <si>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</si>
  <si>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</si>
  <si>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</si>
  <si>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</si>
  <si>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</si>
  <si>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</si>
  <si>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</si>
  <si>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</si>
  <si>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</si>
  <si>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</si>
  <si>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</si>
  <si>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</si>
  <si>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</si>
  <si>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</si>
  <si>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</si>
  <si>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</si>
  <si>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</si>
  <si>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</si>
  <si>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</si>
  <si>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</si>
  <si>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</si>
  <si>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</si>
  <si>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</si>
  <si>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</si>
  <si>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</si>
  <si>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</si>
  <si>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</si>
  <si>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</si>
  <si>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</si>
  <si>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</si>
  <si>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</si>
  <si>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</si>
  <si>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</si>
  <si>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</si>
  <si>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</si>
  <si>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</si>
  <si>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</si>
  <si>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</si>
  <si>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</si>
  <si>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</si>
  <si>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</si>
  <si>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</si>
  <si>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</si>
  <si>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</si>
  <si>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</si>
  <si>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</si>
  <si>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</si>
  <si>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</si>
  <si>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</si>
  <si>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</si>
  <si>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</si>
  <si>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</si>
  <si>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</si>
  <si>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</si>
  <si>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</si>
  <si>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</si>
  <si>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</si>
  <si>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</si>
  <si>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</si>
  <si>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</si>
  <si>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</si>
  <si>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</si>
  <si>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</si>
  <si>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</si>
  <si>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</si>
  <si>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</si>
  <si>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</si>
  <si>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</si>
  <si>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</si>
  <si>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</si>
  <si>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</si>
  <si>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</si>
  <si>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</si>
  <si>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</si>
  <si>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</si>
  <si>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</si>
  <si>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</si>
  <si>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</si>
  <si>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</si>
  <si>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</si>
  <si>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</si>
  <si>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</si>
  <si>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</si>
  <si>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</si>
  <si>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</si>
  <si>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</si>
  <si>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</si>
  <si>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</si>
  <si>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</si>
  <si>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</si>
  <si>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</si>
  <si>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</si>
  <si>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</si>
  <si>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</si>
  <si>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</si>
  <si>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</si>
  <si>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</si>
  <si>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</si>
  <si>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</si>
  <si>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</si>
  <si>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</si>
  <si>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</si>
  <si>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</si>
  <si>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</si>
  <si>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</si>
  <si>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</si>
  <si>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</si>
  <si>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</si>
  <si>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</si>
  <si>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</si>
  <si>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</si>
  <si>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</si>
  <si>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</si>
  <si>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</si>
  <si>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</si>
  <si>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</si>
  <si>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</si>
  <si>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</si>
  <si>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</si>
  <si>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</si>
  <si>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</si>
  <si>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</si>
  <si>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</si>
  <si>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</si>
  <si>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</si>
  <si>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</si>
  <si>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</si>
  <si>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</si>
  <si>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</si>
  <si>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</si>
  <si>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</si>
  <si>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</si>
  <si>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</si>
  <si>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</si>
  <si>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</si>
  <si>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</si>
  <si>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</si>
  <si>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</si>
  <si>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</si>
  <si>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</si>
  <si>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</si>
  <si>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</si>
  <si>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</si>
  <si>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</si>
  <si>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</si>
  <si>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</si>
  <si>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</si>
  <si>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</si>
  <si>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</si>
  <si>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</si>
  <si>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</si>
  <si>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</si>
  <si>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</si>
  <si>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</si>
  <si>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</si>
  <si>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</si>
  <si>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</si>
  <si>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</si>
  <si>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</si>
  <si>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</si>
  <si>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</si>
  <si>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</si>
  <si>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</si>
  <si>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</si>
  <si>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</si>
  <si>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</si>
  <si>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</si>
  <si>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</si>
  <si>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</si>
  <si>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</si>
  <si>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</si>
  <si>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</si>
  <si>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</si>
  <si>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</si>
  <si>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</si>
  <si>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</si>
  <si>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</si>
  <si>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</si>
  <si>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</si>
  <si>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</si>
  <si>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</si>
  <si>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</si>
  <si>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</si>
  <si>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</si>
  <si>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</si>
  <si>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</si>
  <si>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</si>
  <si>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</si>
  <si>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</si>
  <si>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</si>
  <si>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</si>
  <si>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</si>
  <si>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</si>
  <si>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</si>
  <si>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</si>
  <si>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</si>
  <si>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</si>
  <si>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</si>
  <si>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</si>
  <si>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</si>
  <si>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</si>
  <si>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</si>
  <si>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</si>
  <si>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</si>
  <si>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</si>
  <si>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</si>
  <si>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</si>
  <si>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</si>
  <si>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</si>
  <si>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</si>
  <si>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</si>
  <si>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</si>
  <si>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</si>
  <si>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</si>
  <si>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</si>
  <si>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</si>
  <si>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</si>
  <si>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</si>
  <si>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</si>
  <si>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</si>
  <si>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</si>
  <si>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</si>
  <si>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</si>
  <si>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</si>
  <si>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</si>
  <si>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</si>
  <si>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</si>
  <si>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</si>
  <si>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</si>
  <si>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</si>
  <si>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</si>
  <si>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</si>
  <si>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</si>
  <si>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</si>
  <si>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</si>
  <si>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</si>
  <si>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</si>
  <si>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</si>
  <si>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</si>
  <si>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</si>
  <si>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</si>
  <si>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</si>
  <si>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</si>
  <si>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</si>
  <si>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</si>
  <si>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</si>
  <si>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</si>
  <si>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</si>
  <si>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</si>
  <si>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</si>
  <si>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</si>
  <si>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</si>
  <si>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</si>
  <si>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</si>
  <si>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</si>
  <si>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</si>
  <si>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</si>
  <si>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</si>
  <si>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</si>
  <si>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</si>
  <si>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</si>
  <si>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</si>
  <si>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</si>
  <si>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</si>
  <si>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</si>
  <si>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</si>
  <si>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</si>
  <si>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</si>
  <si>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</si>
  <si>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</si>
  <si>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</si>
  <si>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</si>
  <si>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</si>
  <si>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</si>
  <si>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</si>
  <si>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</si>
  <si>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</si>
  <si>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</si>
  <si>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</si>
  <si>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</si>
  <si>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</si>
  <si>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</si>
  <si>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</si>
  <si>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</si>
  <si>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</si>
  <si>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</si>
  <si>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</si>
  <si>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</si>
  <si>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</si>
  <si>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</si>
  <si>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</si>
  <si>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</si>
  <si>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</si>
  <si>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</si>
  <si>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</si>
  <si>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</si>
  <si>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</si>
  <si>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</si>
  <si>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</si>
  <si>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</si>
  <si>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</si>
  <si>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</si>
  <si>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</si>
  <si>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</si>
  <si>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</si>
  <si>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</si>
  <si>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</si>
  <si>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</si>
  <si>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</si>
  <si>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</si>
  <si>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</si>
  <si>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</si>
  <si>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</si>
  <si>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</si>
  <si>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</si>
  <si>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</si>
  <si>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</si>
  <si>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</si>
  <si>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</si>
  <si>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</si>
  <si>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</si>
  <si>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</si>
  <si>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</si>
  <si>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</si>
  <si>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</si>
  <si>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</si>
  <si>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</si>
  <si>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</si>
  <si>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</si>
  <si>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</si>
  <si>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</si>
  <si>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</si>
  <si>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</si>
  <si>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</si>
  <si>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</si>
  <si>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</si>
  <si>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</si>
  <si>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</si>
  <si>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</si>
  <si>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</si>
  <si>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</si>
  <si>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</si>
  <si>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</si>
  <si>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</si>
  <si>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</si>
  <si>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</si>
  <si>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</si>
  <si>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</si>
  <si>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</si>
  <si>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</si>
  <si>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</si>
  <si>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</si>
  <si>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</si>
  <si>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</si>
  <si>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</si>
  <si>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</si>
  <si>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</si>
  <si>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</si>
  <si>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</si>
  <si>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</si>
  <si>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</si>
  <si>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</si>
  <si>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</si>
  <si>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</si>
  <si>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</si>
  <si>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</si>
  <si>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</si>
  <si>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</si>
  <si>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</si>
  <si>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</si>
  <si>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</si>
  <si>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</si>
  <si>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</si>
  <si>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</si>
  <si>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</si>
  <si>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</si>
  <si>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</si>
  <si>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</si>
  <si>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</si>
  <si>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</si>
  <si>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</si>
  <si>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</si>
  <si>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</si>
  <si>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</si>
  <si>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</si>
  <si>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</si>
  <si>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</si>
  <si>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</si>
  <si>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</si>
  <si>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</si>
  <si>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</si>
  <si>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</si>
  <si>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</si>
  <si>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</si>
  <si>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</si>
  <si>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</si>
  <si>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</si>
  <si>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</si>
  <si>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</si>
  <si>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</si>
  <si>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</si>
  <si>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</si>
  <si>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</si>
  <si>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</si>
  <si>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</si>
  <si>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</si>
  <si>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</si>
  <si>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</si>
  <si>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</si>
  <si>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</si>
  <si>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</si>
  <si>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</si>
  <si>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</si>
  <si>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</si>
  <si>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</si>
  <si>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</si>
  <si>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</si>
  <si>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</si>
  <si>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</si>
  <si>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</si>
  <si>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</si>
  <si>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</si>
  <si>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</si>
  <si>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</si>
  <si>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</si>
  <si>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</si>
  <si>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</si>
  <si>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</si>
  <si>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</si>
  <si>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</si>
  <si>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</si>
  <si>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</si>
  <si>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</si>
  <si>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</si>
  <si>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</si>
  <si>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</si>
  <si>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</si>
  <si>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</si>
  <si>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</si>
  <si>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</si>
  <si>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</si>
  <si>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</si>
  <si>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</si>
  <si>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</si>
  <si>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</si>
  <si>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</si>
  <si>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</si>
  <si>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</si>
  <si>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</si>
  <si>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</si>
  <si>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</si>
  <si>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</si>
  <si>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</si>
  <si>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</si>
  <si>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</si>
  <si>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</si>
  <si>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</si>
  <si>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</si>
  <si>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</si>
  <si>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</si>
  <si>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</si>
  <si>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</si>
  <si>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</si>
  <si>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</si>
  <si>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</si>
  <si>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</si>
  <si>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</si>
  <si>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</si>
  <si>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</si>
  <si>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</si>
  <si>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</si>
  <si>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</si>
  <si>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</si>
  <si>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</si>
  <si>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</si>
  <si>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</si>
  <si>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</si>
  <si>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</si>
  <si>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</si>
  <si>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</si>
  <si>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</si>
  <si>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</si>
  <si>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</si>
  <si>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</si>
  <si>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</si>
  <si>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</si>
  <si>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</si>
  <si>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</si>
  <si>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</si>
  <si>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</si>
  <si>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</si>
  <si>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</si>
  <si>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</si>
  <si>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</si>
  <si>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</si>
  <si>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</si>
  <si>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</si>
  <si>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</si>
  <si>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</si>
  <si>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</si>
  <si>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</si>
  <si>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</si>
  <si>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</si>
  <si>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</si>
  <si>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</si>
  <si>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</si>
  <si>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</si>
  <si>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</si>
  <si>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</si>
  <si>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</si>
  <si>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</si>
  <si>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</si>
  <si>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</si>
  <si>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</si>
  <si>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</si>
  <si>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</si>
  <si>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</si>
  <si>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</si>
  <si>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</si>
  <si>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</si>
  <si>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</si>
  <si>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</si>
  <si>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</si>
  <si>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</si>
  <si>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</si>
  <si>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</si>
  <si>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</si>
  <si>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</si>
  <si>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</si>
  <si>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</si>
  <si>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</si>
  <si>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</si>
  <si>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</si>
  <si>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</si>
  <si>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</si>
  <si>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</si>
  <si>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</si>
  <si>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</si>
  <si>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</si>
  <si>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</si>
  <si>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</si>
  <si>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</si>
  <si>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</si>
  <si>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</si>
  <si>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</si>
  <si>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</si>
  <si>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</si>
  <si>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</si>
  <si>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</si>
  <si>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</si>
  <si>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</si>
  <si>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</si>
  <si>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</si>
  <si>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</si>
  <si>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</si>
  <si>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</si>
  <si>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</si>
  <si>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</si>
  <si>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</si>
  <si>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</si>
  <si>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</si>
  <si>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</si>
  <si>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</si>
  <si>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</si>
  <si>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</si>
  <si>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</si>
  <si>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</si>
  <si>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</si>
  <si>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</si>
  <si>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</si>
  <si>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</si>
  <si>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</si>
  <si>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</si>
  <si>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</si>
  <si>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</si>
  <si>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</si>
  <si>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</si>
  <si>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</si>
  <si>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</si>
  <si>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</si>
  <si>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</si>
  <si>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</si>
  <si>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</si>
  <si>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</si>
  <si>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</si>
  <si>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</si>
  <si>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</si>
  <si>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</si>
  <si>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</si>
  <si>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</si>
  <si>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</si>
  <si>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</si>
  <si>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</si>
  <si>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</si>
  <si>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</si>
  <si>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</si>
  <si>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</si>
  <si>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</si>
  <si>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</si>
  <si>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</si>
  <si>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</si>
  <si>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</si>
  <si>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</si>
  <si>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</si>
  <si>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</si>
  <si>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</si>
  <si>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</si>
  <si>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</si>
  <si>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</si>
  <si>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</si>
  <si>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</si>
  <si>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</si>
  <si>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</si>
  <si>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</si>
  <si>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</si>
  <si>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</si>
  <si>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</si>
  <si>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</si>
  <si>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</si>
  <si>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</si>
  <si>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</si>
  <si>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</si>
  <si>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</si>
  <si>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</si>
  <si>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</si>
  <si>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</si>
  <si>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</si>
  <si>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</si>
  <si>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</si>
  <si>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</si>
  <si>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</si>
  <si>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</si>
  <si>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</si>
  <si>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</si>
  <si>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</si>
  <si>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</si>
  <si>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</si>
  <si>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</si>
  <si>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</si>
  <si>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</si>
  <si>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</si>
  <si>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</si>
  <si>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</si>
  <si>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</si>
  <si>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</si>
  <si>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</si>
  <si>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</si>
  <si>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</si>
  <si>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</si>
  <si>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</si>
  <si>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</si>
  <si>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</si>
  <si>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</si>
  <si>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</si>
  <si>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</si>
  <si>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</si>
  <si>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</si>
  <si>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</si>
  <si>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</si>
  <si>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</si>
  <si>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</si>
  <si>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</si>
  <si>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</si>
  <si>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</si>
  <si>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</si>
  <si>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</si>
  <si>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</si>
  <si>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</si>
  <si>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</si>
  <si>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</si>
  <si>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</si>
  <si>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</si>
  <si>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</si>
  <si>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</si>
  <si>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</si>
  <si>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</si>
  <si>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</si>
  <si>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</si>
  <si>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</si>
  <si>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</si>
  <si>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</si>
  <si>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</si>
  <si>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</si>
  <si>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</si>
  <si>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</si>
  <si>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</si>
  <si>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</si>
  <si>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</si>
  <si>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</si>
  <si>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</si>
  <si>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</si>
  <si>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</si>
  <si>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</si>
  <si>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</si>
  <si>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</si>
  <si>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</si>
  <si>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</si>
  <si>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</si>
  <si>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</si>
  <si>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</si>
  <si>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</si>
  <si>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</si>
  <si>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</si>
  <si>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</si>
  <si>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</si>
  <si>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</si>
  <si>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</si>
  <si>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</si>
  <si>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</si>
  <si>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</si>
  <si>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</si>
  <si>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</si>
  <si>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</si>
  <si>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</si>
  <si>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</si>
  <si>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</si>
  <si>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</si>
  <si>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</si>
  <si>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</si>
  <si>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</si>
  <si>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</si>
  <si>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</si>
  <si>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</si>
  <si>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</si>
  <si>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</si>
  <si>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</si>
  <si>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</si>
  <si>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</si>
  <si>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</si>
  <si>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</si>
  <si>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</si>
  <si>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</si>
  <si>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</si>
  <si>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</si>
  <si>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</si>
  <si>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</si>
  <si>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</si>
  <si>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</si>
  <si>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</si>
  <si>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</si>
  <si>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</si>
  <si>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</si>
  <si>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</si>
  <si>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</si>
  <si>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</si>
  <si>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</si>
  <si>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</si>
  <si>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</si>
  <si>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</si>
  <si>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</si>
  <si>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</si>
  <si>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</si>
  <si>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</si>
  <si>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</si>
  <si>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</si>
  <si>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</si>
  <si>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</si>
  <si>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</si>
  <si>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</si>
  <si>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</si>
  <si>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</si>
  <si>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</si>
  <si>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</si>
  <si>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</si>
  <si>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</si>
  <si>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</si>
  <si>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</si>
  <si>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</si>
  <si>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</si>
  <si>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</si>
  <si>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</si>
  <si>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</si>
  <si>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</si>
  <si>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</si>
  <si>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</si>
  <si>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</si>
  <si>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</si>
  <si>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</si>
  <si>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</si>
  <si>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</si>
  <si>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</si>
  <si>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</si>
  <si>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</si>
  <si>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</si>
  <si>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</si>
  <si>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</si>
  <si>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</si>
  <si>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</si>
  <si>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</si>
  <si>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</si>
  <si>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</si>
  <si>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</si>
  <si>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</si>
  <si>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</si>
  <si>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</si>
  <si>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</si>
  <si>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</si>
  <si>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</si>
  <si>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</si>
  <si>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</si>
  <si>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</si>
  <si>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</si>
  <si>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</si>
  <si>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</si>
  <si>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</si>
  <si>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</si>
  <si>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</si>
  <si>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</si>
  <si>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</si>
  <si>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</si>
  <si>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</si>
  <si>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</si>
  <si>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</si>
  <si>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</si>
  <si>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</si>
  <si>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</si>
  <si>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</si>
  <si>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</si>
  <si>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</si>
  <si>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</si>
  <si>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</si>
  <si>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</si>
  <si>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</si>
  <si>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</si>
  <si>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</si>
  <si>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</si>
  <si>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</si>
  <si>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</si>
  <si>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</si>
  <si>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</si>
  <si>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</si>
  <si>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</si>
  <si>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</si>
  <si>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</si>
  <si>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</si>
  <si>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</si>
  <si>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</si>
  <si>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</si>
  <si>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</si>
  <si>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</si>
  <si>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</si>
  <si>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</si>
  <si>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</si>
  <si>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</si>
  <si>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</si>
  <si>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</si>
  <si>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</si>
  <si>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</si>
  <si>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</si>
  <si>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</si>
  <si>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</si>
  <si>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</si>
  <si>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</si>
  <si>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</si>
  <si>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</si>
  <si>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</si>
  <si>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</si>
  <si>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</si>
  <si>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</si>
  <si>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</si>
  <si>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</si>
  <si>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</si>
  <si>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</si>
  <si>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</si>
  <si>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</si>
  <si>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</si>
  <si>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</si>
  <si>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</si>
  <si>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</si>
  <si>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</si>
  <si>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</si>
  <si>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</si>
  <si>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</si>
  <si>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</si>
  <si>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</si>
  <si>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</si>
  <si>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</si>
  <si>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</si>
  <si>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</si>
  <si>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</si>
  <si>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</si>
  <si>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</si>
  <si>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</si>
  <si>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</si>
  <si>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</si>
  <si>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</si>
  <si>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</si>
  <si>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</si>
  <si>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</si>
  <si>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</si>
  <si>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</si>
  <si>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</si>
  <si>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</si>
  <si>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</si>
  <si>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</si>
  <si>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</si>
  <si>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</si>
  <si>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</si>
  <si>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</si>
  <si>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</si>
  <si>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</si>
  <si>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</si>
  <si>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</si>
  <si>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</si>
  <si>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</si>
  <si>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</si>
  <si>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</si>
  <si>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</si>
  <si>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</si>
  <si>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</si>
  <si>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</si>
  <si>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</si>
  <si>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</si>
  <si>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</si>
  <si>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</si>
  <si>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</si>
  <si>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</si>
  <si>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</si>
  <si>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</si>
  <si>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</si>
  <si>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</si>
  <si>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</si>
  <si>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</si>
  <si>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</si>
  <si>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</si>
  <si>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</si>
  <si>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</si>
  <si>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</si>
  <si>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</si>
  <si>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</si>
  <si>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</si>
  <si>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</si>
  <si>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</si>
  <si>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</si>
  <si>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</si>
  <si>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</si>
  <si>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</si>
  <si>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</si>
  <si>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</si>
  <si>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</si>
  <si>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</si>
  <si>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</si>
  <si>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</si>
  <si>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</si>
  <si>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</si>
  <si>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</si>
  <si>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</si>
  <si>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</si>
  <si>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</si>
  <si>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</si>
  <si>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</si>
  <si>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</si>
  <si>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</si>
  <si>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</si>
  <si>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</si>
  <si>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</si>
  <si>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</si>
  <si>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</si>
  <si>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</si>
  <si>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</si>
  <si>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</si>
  <si>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</si>
  <si>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</si>
  <si>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</si>
  <si>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</si>
  <si>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</si>
  <si>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</si>
  <si>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</si>
  <si>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</si>
  <si>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</si>
  <si>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</si>
  <si>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</si>
  <si>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</si>
  <si>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</si>
  <si>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</si>
  <si>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</si>
  <si>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</si>
  <si>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</si>
  <si>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</si>
  <si>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</si>
  <si>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</si>
  <si>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</si>
  <si>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</si>
  <si>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</si>
  <si>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</si>
  <si>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</si>
  <si>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</si>
  <si>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</si>
  <si>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</si>
  <si>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</si>
  <si>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</si>
  <si>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</si>
  <si>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</si>
  <si>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</si>
  <si>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</si>
  <si>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</si>
  <si>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</si>
  <si>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</si>
  <si>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</si>
  <si>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</si>
  <si>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</si>
  <si>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</si>
  <si>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</si>
  <si>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</si>
  <si>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</si>
  <si>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</si>
  <si>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</si>
  <si>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</si>
  <si>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</si>
  <si>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</si>
  <si>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</si>
  <si>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</si>
  <si>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</si>
  <si>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</si>
  <si>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</si>
  <si>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</si>
  <si>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</si>
  <si>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</si>
  <si>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</si>
  <si>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</si>
  <si>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</si>
  <si>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</si>
  <si>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</si>
  <si>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</si>
  <si>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</si>
  <si>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</si>
  <si>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</si>
  <si>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</si>
  <si>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</si>
  <si>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</si>
  <si>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</si>
  <si>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</si>
  <si>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</si>
  <si>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</si>
  <si>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</si>
  <si>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</si>
  <si>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</si>
  <si>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</si>
  <si>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</si>
  <si>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</si>
  <si>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</si>
  <si>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</si>
  <si>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</si>
  <si>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</si>
  <si>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</si>
  <si>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</si>
  <si>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</si>
  <si>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</si>
  <si>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</si>
  <si>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</si>
  <si>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</si>
  <si>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</si>
  <si>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</si>
  <si>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</si>
  <si>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</si>
  <si>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</si>
  <si>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</si>
  <si>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</si>
  <si>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</si>
  <si>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</si>
  <si>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</si>
  <si>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</si>
  <si>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</si>
  <si>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</si>
  <si>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</si>
  <si>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</si>
  <si>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</si>
  <si>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</si>
  <si>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</si>
  <si>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</si>
  <si>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</si>
  <si>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</si>
  <si>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</si>
  <si>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</si>
  <si>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</si>
  <si>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</si>
  <si>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</si>
  <si>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</si>
  <si>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</si>
  <si>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</si>
  <si>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</si>
  <si>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</si>
  <si>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</si>
  <si>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</si>
  <si>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</si>
  <si>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</si>
  <si>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</si>
  <si>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</si>
  <si>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</si>
  <si>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</si>
  <si>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</si>
  <si>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</si>
  <si>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</si>
  <si>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</si>
  <si>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</si>
  <si>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</si>
  <si>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</si>
  <si>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</si>
  <si>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</si>
  <si>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</si>
  <si>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</si>
  <si>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</si>
  <si>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</si>
  <si>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</si>
  <si>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</si>
  <si>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</si>
  <si>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</si>
  <si>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</si>
  <si>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</si>
  <si>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</si>
  <si>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</si>
  <si>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</si>
  <si>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</si>
  <si>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</si>
  <si>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</si>
  <si>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</si>
  <si>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</si>
  <si>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</si>
  <si>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</si>
  <si>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</si>
  <si>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</si>
  <si>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</si>
  <si>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</si>
  <si>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</si>
  <si>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</si>
  <si>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</si>
  <si>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</si>
  <si>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</si>
  <si>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</si>
  <si>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</si>
  <si>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</si>
  <si>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</si>
  <si>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</si>
  <si>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</si>
  <si>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</si>
  <si>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</si>
  <si>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</si>
  <si>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</si>
  <si>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</si>
  <si>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</si>
  <si>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</si>
  <si>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</si>
  <si>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</si>
  <si>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</si>
  <si>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</si>
  <si>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</si>
  <si>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</si>
  <si>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</si>
  <si>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</si>
  <si>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</si>
  <si>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</si>
  <si>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</si>
  <si>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</si>
  <si>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</si>
  <si>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</si>
  <si>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</si>
  <si>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</si>
  <si>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</si>
  <si>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</si>
  <si>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</si>
  <si>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</si>
  <si>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</si>
  <si>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</si>
  <si>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</si>
  <si>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</si>
  <si>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</si>
  <si>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</si>
  <si>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</si>
  <si>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</si>
  <si>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</si>
  <si>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</si>
  <si>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</si>
  <si>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</si>
  <si>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</si>
  <si>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</si>
  <si>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</si>
  <si>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</si>
  <si>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</si>
  <si>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</si>
  <si>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</si>
  <si>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</si>
  <si>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</si>
  <si>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</si>
  <si>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</si>
  <si>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</si>
  <si>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</si>
  <si>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</si>
  <si>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</si>
  <si>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</si>
  <si>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</si>
  <si>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</si>
  <si>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</si>
  <si>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</si>
  <si>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</si>
  <si>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</si>
  <si>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</si>
  <si>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</si>
  <si>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</si>
  <si>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</si>
  <si>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</si>
  <si>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</si>
  <si>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</si>
  <si>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</si>
  <si>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</si>
  <si>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</si>
  <si>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</si>
  <si>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</si>
  <si>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</si>
  <si>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</si>
  <si>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</si>
  <si>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</si>
  <si>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</si>
  <si>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</si>
  <si>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</si>
  <si>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</si>
  <si>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</si>
  <si>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</si>
  <si>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</si>
  <si>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</si>
  <si>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</si>
  <si>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</si>
  <si>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</si>
  <si>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</si>
  <si>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</si>
  <si>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</si>
  <si>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</si>
  <si>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</si>
  <si>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</si>
  <si>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</si>
  <si>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</si>
  <si>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</si>
  <si>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</si>
  <si>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</si>
  <si>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</si>
  <si>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</si>
  <si>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</si>
  <si>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</si>
  <si>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</si>
  <si>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</si>
  <si>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</si>
  <si>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</si>
  <si>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</si>
  <si>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</si>
  <si>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</si>
  <si>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</si>
  <si>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</si>
  <si>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</si>
  <si>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</si>
  <si>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</si>
  <si>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</si>
  <si>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</si>
  <si>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</si>
  <si>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</si>
  <si>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</si>
  <si>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</si>
  <si>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</si>
  <si>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</si>
  <si>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</si>
  <si>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</si>
  <si>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</si>
  <si>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</si>
  <si>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</si>
  <si>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</si>
  <si>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</si>
  <si>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</si>
  <si>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</si>
  <si>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</si>
  <si>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</si>
  <si>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</si>
  <si>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</si>
  <si>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</si>
  <si>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</si>
  <si>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</si>
  <si>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</si>
  <si>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</si>
  <si>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</si>
  <si>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</si>
  <si>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</si>
  <si>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</si>
  <si>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</si>
  <si>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</si>
  <si>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</si>
  <si>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</si>
  <si>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</si>
  <si>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</si>
  <si>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</si>
  <si>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</si>
  <si>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</si>
  <si>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</si>
  <si>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</si>
  <si>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</si>
  <si>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</si>
  <si>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</si>
  <si>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</si>
  <si>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</si>
  <si>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</si>
  <si>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</si>
  <si>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</si>
  <si>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</si>
  <si>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</si>
  <si>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</si>
  <si>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</si>
  <si>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</si>
  <si>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</si>
  <si>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</si>
  <si>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</si>
  <si>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</si>
  <si>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</si>
  <si>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</si>
  <si>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</si>
  <si>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</si>
  <si>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</si>
  <si>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</si>
  <si>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</si>
  <si>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</si>
  <si>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</si>
  <si>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</si>
  <si>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</si>
  <si>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</si>
  <si>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</si>
  <si>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</si>
  <si>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</si>
  <si>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</si>
  <si>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</si>
  <si>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</si>
  <si>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</si>
  <si>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</si>
  <si>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</si>
  <si>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</si>
  <si>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</si>
  <si>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</si>
  <si>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</si>
  <si>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</si>
  <si>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</si>
  <si>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</si>
  <si>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</si>
  <si>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</si>
  <si>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</si>
  <si>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</si>
  <si>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</si>
  <si>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</si>
  <si>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</si>
  <si>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</si>
  <si>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</si>
  <si>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</si>
  <si>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</si>
  <si>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</si>
  <si>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</si>
  <si>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</si>
  <si>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</si>
  <si>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</si>
  <si>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</si>
  <si>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</si>
  <si>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</si>
  <si>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</si>
  <si>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</si>
  <si>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</si>
  <si>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</si>
  <si>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</si>
  <si>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</si>
  <si>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</si>
  <si>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</si>
  <si>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</si>
  <si>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</si>
  <si>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</si>
  <si>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</si>
  <si>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</si>
  <si>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</si>
  <si>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</si>
  <si>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</si>
  <si>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</si>
  <si>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</si>
  <si>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</si>
  <si>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</si>
  <si>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</si>
  <si>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</si>
  <si>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</si>
  <si>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</si>
  <si>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</si>
  <si>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</si>
  <si>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</si>
  <si>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</si>
  <si>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</si>
  <si>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</si>
  <si>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</si>
  <si>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</si>
  <si>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</si>
  <si>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</si>
  <si>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</si>
  <si>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</si>
  <si>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</si>
  <si>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</si>
  <si>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</si>
  <si>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</si>
  <si>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</si>
  <si>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</si>
  <si>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</si>
  <si>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</si>
  <si>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</si>
  <si>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</si>
  <si>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</si>
  <si>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</si>
  <si>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</si>
  <si>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</si>
  <si>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</si>
  <si>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</si>
  <si>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</si>
  <si>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</si>
  <si>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</si>
  <si>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</si>
  <si>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</si>
  <si>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</si>
  <si>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</si>
  <si>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</si>
  <si>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</si>
  <si>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</si>
  <si>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</si>
  <si>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</si>
  <si>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</si>
  <si>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</si>
  <si>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</si>
  <si>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</si>
  <si>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</si>
  <si>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</si>
  <si>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</si>
  <si>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</si>
  <si>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</si>
  <si>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</si>
  <si>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</si>
  <si>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</si>
  <si>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</si>
  <si>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</si>
  <si>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</si>
  <si>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</si>
  <si>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</si>
  <si>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</si>
  <si>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</si>
  <si>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</si>
  <si>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</si>
  <si>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</si>
  <si>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</si>
  <si>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</si>
  <si>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</si>
  <si>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</si>
  <si>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</si>
  <si>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</si>
  <si>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</si>
  <si>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</si>
  <si>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</si>
  <si>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</si>
  <si>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</si>
  <si>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</si>
  <si>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</si>
  <si>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</si>
  <si>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</si>
  <si>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</si>
  <si>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</si>
  <si>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</si>
  <si>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</si>
  <si>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</si>
  <si>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</si>
  <si>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</si>
  <si>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</si>
  <si>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</si>
  <si>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</si>
  <si>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</si>
  <si>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</si>
  <si>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</si>
  <si>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</si>
  <si>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</si>
  <si>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</si>
  <si>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</si>
  <si>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</si>
  <si>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</si>
  <si>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</si>
  <si>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</si>
  <si>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</si>
  <si>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</si>
  <si>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</si>
  <si>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</si>
  <si>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</si>
  <si>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</si>
  <si>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</si>
  <si>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</si>
  <si>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</si>
  <si>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</si>
  <si>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</si>
  <si>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</si>
  <si>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</si>
  <si>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</si>
  <si>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</si>
  <si>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</si>
  <si>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</si>
  <si>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</si>
  <si>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</si>
  <si>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</si>
  <si>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</si>
  <si>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</si>
  <si>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</si>
  <si>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</si>
  <si>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</si>
  <si>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</si>
  <si>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</si>
  <si>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</si>
  <si>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</si>
  <si>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</si>
  <si>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</si>
  <si>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</si>
  <si>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</si>
  <si>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</si>
  <si>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</si>
  <si>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</si>
  <si>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</si>
  <si>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</si>
  <si>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</si>
  <si>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</si>
  <si>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</si>
  <si>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</si>
  <si>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</si>
  <si>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</si>
  <si>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</si>
  <si>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</si>
  <si>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</si>
  <si>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</si>
  <si>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</si>
  <si>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</si>
  <si>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</si>
  <si>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</si>
  <si>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</si>
  <si>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</si>
  <si>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</si>
  <si>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</si>
  <si>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</si>
  <si>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</si>
  <si>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</si>
  <si>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</si>
  <si>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</si>
  <si>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</si>
  <si>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</si>
  <si>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</si>
  <si>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</si>
  <si>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</si>
  <si>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</si>
  <si>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</si>
  <si>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</si>
  <si>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</si>
  <si>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</si>
  <si>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</si>
  <si>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</si>
  <si>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</si>
  <si>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</si>
  <si>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</si>
  <si>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</si>
  <si>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</si>
  <si>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</si>
  <si>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</si>
  <si>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</si>
  <si>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</si>
  <si>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</si>
  <si>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</si>
  <si>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</si>
  <si>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</si>
  <si>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</si>
  <si>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</si>
  <si>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</si>
  <si>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</si>
  <si>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</si>
  <si>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</si>
  <si>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</si>
  <si>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</si>
  <si>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</si>
  <si>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</si>
  <si>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</si>
  <si>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</si>
  <si>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</si>
  <si>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</si>
  <si>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</si>
  <si>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</si>
  <si>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</si>
  <si>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</si>
  <si>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</si>
  <si>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</si>
  <si>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</si>
  <si>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</si>
  <si>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</si>
  <si>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</si>
  <si>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</si>
  <si>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</si>
  <si>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</si>
  <si>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</si>
  <si>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</si>
  <si>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</si>
  <si>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</si>
  <si>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</si>
  <si>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</si>
  <si>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</si>
  <si>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</si>
  <si>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</si>
  <si>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</si>
  <si>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</si>
  <si>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</si>
  <si>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</si>
  <si>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</si>
  <si>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</si>
  <si>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</si>
  <si>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</si>
  <si>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</si>
  <si>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</si>
  <si>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</si>
  <si>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</si>
  <si>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</si>
  <si>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</si>
  <si>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</si>
  <si>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</si>
  <si>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</si>
  <si>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</si>
  <si>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</si>
  <si>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</si>
  <si>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</si>
  <si>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</si>
  <si>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</si>
  <si>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</si>
  <si>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</si>
  <si>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</si>
  <si>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</si>
  <si>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</si>
  <si>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</si>
  <si>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</si>
  <si>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</si>
  <si>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</si>
  <si>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</si>
  <si>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</si>
  <si>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</si>
  <si>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</si>
  <si>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</si>
  <si>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</si>
  <si>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</si>
  <si>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</si>
  <si>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</si>
  <si>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</si>
  <si>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</si>
  <si>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</si>
  <si>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</si>
  <si>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</si>
  <si>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</si>
  <si>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</si>
  <si>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</si>
  <si>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</si>
  <si>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</si>
  <si>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</si>
  <si>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</si>
  <si>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</si>
  <si>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</si>
  <si>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</si>
  <si>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</si>
  <si>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</si>
  <si>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</si>
  <si>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</si>
  <si>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</si>
  <si>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</si>
  <si>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</si>
  <si>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</si>
  <si>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</si>
  <si>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</si>
  <si>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</si>
  <si>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</si>
  <si>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</si>
  <si>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</si>
  <si>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</si>
  <si>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</si>
  <si>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</si>
  <si>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</si>
  <si>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</si>
  <si>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</si>
  <si>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</si>
  <si>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</si>
  <si>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</si>
  <si>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</si>
  <si>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</si>
  <si>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</si>
  <si>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</si>
  <si>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</si>
  <si>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</si>
  <si>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</si>
  <si>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</si>
  <si>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</si>
  <si>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</si>
  <si>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</si>
  <si>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</si>
  <si>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</si>
  <si>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</si>
  <si>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</si>
  <si>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</si>
  <si>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</si>
  <si>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</si>
  <si>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</si>
  <si>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</si>
  <si>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</si>
  <si>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</si>
  <si>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</si>
  <si>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</si>
  <si>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</si>
  <si>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</si>
  <si>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</si>
  <si>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</si>
  <si>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</si>
  <si>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</si>
  <si>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</si>
  <si>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</si>
  <si>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</si>
  <si>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</si>
  <si>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</si>
  <si>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</si>
  <si>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</si>
  <si>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</si>
  <si>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</si>
  <si>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</si>
  <si>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</si>
  <si>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</si>
  <si>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</si>
  <si>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</si>
  <si>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</si>
  <si>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</si>
  <si>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</si>
  <si>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</si>
  <si>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</si>
  <si>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</si>
  <si>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</si>
  <si>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</si>
  <si>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</si>
  <si>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</si>
  <si>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</si>
  <si>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</si>
  <si>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</si>
  <si>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</si>
  <si>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</si>
  <si>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</si>
  <si>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</si>
  <si>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</si>
  <si>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</si>
  <si>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</si>
  <si>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</si>
  <si>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</si>
  <si>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</si>
  <si>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</si>
  <si>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</si>
  <si>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</si>
  <si>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</si>
  <si>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</si>
  <si>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</si>
  <si>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</si>
  <si>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</si>
  <si>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</si>
  <si>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</si>
  <si>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</si>
  <si>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</si>
  <si>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RANDOLPH</t>
  </si>
  <si>
    <t>815 LOCUST STREET</t>
  </si>
  <si>
    <t>RED BUD</t>
  </si>
  <si>
    <t>FICK, EGGEMEYER &amp; WILLIAMSON, CPA'S</t>
  </si>
  <si>
    <t>CURTIS STOLL, CPA</t>
  </si>
  <si>
    <t>205 S MAIN ST</t>
  </si>
  <si>
    <t>COLUMBIA</t>
  </si>
  <si>
    <t>IL</t>
  </si>
  <si>
    <t>618-281-4999</t>
  </si>
  <si>
    <t>618-281-9533</t>
  </si>
  <si>
    <t>CURTIS@AFEWCPAS.COM</t>
  </si>
  <si>
    <t>X</t>
  </si>
  <si>
    <t>x</t>
  </si>
  <si>
    <t>Fire and safety - 2010</t>
  </si>
  <si>
    <t>Fire and safety - 2012</t>
  </si>
  <si>
    <t>Fire and safety - 2016</t>
  </si>
  <si>
    <t>General obligation - 2020</t>
  </si>
  <si>
    <t>Capital lease</t>
  </si>
  <si>
    <t>General obligation</t>
  </si>
  <si>
    <t>PSIC</t>
  </si>
  <si>
    <t>Illinois Funds</t>
  </si>
  <si>
    <t>Perandoe Special Education District</t>
  </si>
  <si>
    <t>No contracts</t>
  </si>
  <si>
    <t>Page 29 - No contracts</t>
  </si>
  <si>
    <t>Fick, Eggemeyer &amp; Williamson, CPA's</t>
  </si>
  <si>
    <t>PDF in Opinion Page with signature</t>
  </si>
  <si>
    <t xml:space="preserve">   Red Bud CUSD 132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</si>
</sst>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949902</xdr:colOff>
          <xdr:row>10</xdr:row>
          <xdr:rowOff>25977</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2062</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2062</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45079132026</v>
      </c>
      <c r="B13" s="2087"/>
      <c r="C13" s="2087"/>
      <c r="D13" s="2087"/>
      <c r="E13" s="2087"/>
      <c r="F13" s="2087"/>
      <c r="G13" s="2087"/>
      <c r="H13" s="2088"/>
      <c r="I13" s="31"/>
      <c r="J13" s="30"/>
      <c r="K13" s="28"/>
      <c r="L13" s="30"/>
      <c r="M13" s="30"/>
      <c r="N13" s="30"/>
      <c r="O13" s="30"/>
      <c r="P13" s="30"/>
      <c r="Q13" s="30"/>
      <c r="R13" s="30"/>
      <c r="S13" s="30"/>
      <c r="T13" s="2091" t="s">
        <v>2054</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2051</v>
      </c>
      <c r="B15" s="2089"/>
      <c r="C15" s="2089"/>
      <c r="D15" s="2089"/>
      <c r="E15" s="2089"/>
      <c r="F15" s="2089"/>
      <c r="G15" s="2089"/>
      <c r="H15" s="2090"/>
      <c r="T15" s="2052" t="s">
        <v>2055</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2077</v>
      </c>
      <c r="B17" s="2114"/>
      <c r="C17" s="2114"/>
      <c r="D17" s="2114"/>
      <c r="E17" s="2114"/>
      <c r="F17" s="2114"/>
      <c r="G17" s="2114"/>
      <c r="H17" s="2115"/>
      <c r="T17" s="2101" t="s">
        <v>2056</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2052</v>
      </c>
      <c r="B19" s="2085"/>
      <c r="C19" s="2085"/>
      <c r="D19" s="2085"/>
      <c r="E19" s="2085"/>
      <c r="F19" s="2085"/>
      <c r="G19" s="2085"/>
      <c r="H19" s="2083"/>
      <c r="I19" s="30"/>
      <c r="J19" s="96"/>
      <c r="K19" s="40"/>
      <c r="L19" s="38"/>
      <c r="M19" s="109" t="s">
        <v>312</v>
      </c>
      <c r="P19" s="27"/>
      <c r="Q19" s="27"/>
      <c r="R19" s="27"/>
      <c r="S19" s="31"/>
      <c r="T19" s="2084" t="s">
        <v>2057</v>
      </c>
      <c r="U19" s="2082"/>
      <c r="V19" s="2082"/>
      <c r="W19" s="2083"/>
      <c r="X19" s="2099" t="s">
        <v>2058</v>
      </c>
      <c r="Y19" s="2100"/>
      <c r="Z19" s="2097">
        <v>62236</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2053</v>
      </c>
      <c r="B21" s="2082"/>
      <c r="C21" s="2082"/>
      <c r="D21" s="2082"/>
      <c r="E21" s="2082"/>
      <c r="F21" s="2082"/>
      <c r="G21" s="2082"/>
      <c r="H21" s="2083"/>
      <c r="I21" s="2107" t="s">
        <v>673</v>
      </c>
      <c r="J21" s="2070"/>
      <c r="K21" s="2070"/>
      <c r="L21" s="2070"/>
      <c r="M21" s="2070"/>
      <c r="N21" s="2070"/>
      <c r="O21" s="2070"/>
      <c r="P21" s="2070"/>
      <c r="Q21" s="2070"/>
      <c r="R21" s="2070"/>
      <c r="S21" s="2071"/>
      <c r="T21" s="2049" t="s">
        <v>2059</v>
      </c>
      <c r="U21" s="2050"/>
      <c r="V21" s="2050"/>
      <c r="W21" s="2050"/>
      <c r="X21" s="2063" t="s">
        <v>2060</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v>66.005025000000003</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62278</v>
      </c>
      <c r="B25" s="2082"/>
      <c r="C25" s="2082"/>
      <c r="D25" s="2082"/>
      <c r="E25" s="2082"/>
      <c r="F25" s="2082"/>
      <c r="G25" s="2082"/>
      <c r="H25" s="2083"/>
      <c r="I25" s="110"/>
      <c r="J25" s="2148"/>
      <c r="K25" s="2148"/>
      <c r="L25" s="2148"/>
      <c r="M25" s="2148"/>
      <c r="N25" s="2148"/>
      <c r="O25" s="2148"/>
      <c r="P25" s="2148"/>
      <c r="Q25" s="2148"/>
      <c r="R25" s="2148"/>
      <c r="S25" s="2149"/>
      <c r="T25" s="2041" t="s">
        <v>2061</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2062</v>
      </c>
      <c r="F29" s="137" t="s">
        <v>1305</v>
      </c>
      <c r="G29" s="111"/>
      <c r="I29" s="51"/>
      <c r="J29" s="99"/>
      <c r="K29" s="28" t="s">
        <v>572</v>
      </c>
      <c r="L29" s="99" t="s">
        <v>2062</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t="s">
        <v>2062</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c r="B42" s="2131"/>
      <c r="C42" s="2132"/>
      <c r="D42" s="2145"/>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5" sqref="E1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3927258</v>
      </c>
      <c r="C4" s="1722"/>
      <c r="D4" s="1723">
        <f>B4-C4</f>
        <v>3927258</v>
      </c>
      <c r="E4" s="1722">
        <v>4089382</v>
      </c>
      <c r="F4" s="1723">
        <f>E4-C4</f>
        <v>4089382</v>
      </c>
    </row>
    <row r="5" spans="1:8" ht="13.7" customHeight="1" x14ac:dyDescent="0.2">
      <c r="A5" s="579" t="s">
        <v>865</v>
      </c>
      <c r="B5" s="1724">
        <f>'Revenues 9-14'!D5</f>
        <v>1067204</v>
      </c>
      <c r="C5" s="1664"/>
      <c r="D5" s="1725">
        <f t="shared" ref="D5:D18" si="0">B5-C5</f>
        <v>1067204</v>
      </c>
      <c r="E5" s="1664">
        <v>1111245</v>
      </c>
      <c r="F5" s="1725">
        <f>E5-C5</f>
        <v>1111245</v>
      </c>
    </row>
    <row r="6" spans="1:8" ht="13.7" customHeight="1" x14ac:dyDescent="0.2">
      <c r="A6" s="579" t="s">
        <v>408</v>
      </c>
      <c r="B6" s="1724">
        <f>'Revenues 9-14'!E5</f>
        <v>641150</v>
      </c>
      <c r="C6" s="1664"/>
      <c r="D6" s="1725">
        <f t="shared" si="0"/>
        <v>641150</v>
      </c>
      <c r="E6" s="1664">
        <v>532731</v>
      </c>
      <c r="F6" s="1725">
        <f t="shared" ref="F6:F18" si="1">E6-C6</f>
        <v>532731</v>
      </c>
    </row>
    <row r="7" spans="1:8" ht="13.7" customHeight="1" x14ac:dyDescent="0.2">
      <c r="A7" s="579" t="s">
        <v>154</v>
      </c>
      <c r="B7" s="1724">
        <f>'Revenues 9-14'!F5</f>
        <v>426873</v>
      </c>
      <c r="C7" s="1664"/>
      <c r="D7" s="1725">
        <f t="shared" si="0"/>
        <v>426873</v>
      </c>
      <c r="E7" s="1664">
        <v>444498</v>
      </c>
      <c r="F7" s="1725">
        <f t="shared" si="1"/>
        <v>444498</v>
      </c>
    </row>
    <row r="8" spans="1:8" ht="13.7" customHeight="1" x14ac:dyDescent="0.2">
      <c r="A8" s="579" t="s">
        <v>1169</v>
      </c>
      <c r="B8" s="1724">
        <f>'Revenues 9-14'!G5</f>
        <v>341283</v>
      </c>
      <c r="C8" s="1664"/>
      <c r="D8" s="1725">
        <f t="shared" si="0"/>
        <v>341283</v>
      </c>
      <c r="E8" s="1664">
        <f>105124+170021</f>
        <v>275145</v>
      </c>
      <c r="F8" s="1725">
        <f t="shared" si="1"/>
        <v>275145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106717</v>
      </c>
      <c r="C10" s="1664"/>
      <c r="D10" s="1725">
        <f t="shared" si="0"/>
        <v>106717</v>
      </c>
      <c r="E10" s="1664">
        <v>111125</v>
      </c>
      <c r="F10" s="1725">
        <f t="shared" si="1"/>
        <v>111125</v>
      </c>
    </row>
    <row r="11" spans="1:8" x14ac:dyDescent="0.2">
      <c r="A11" s="579" t="s">
        <v>406</v>
      </c>
      <c r="B11" s="1724">
        <f>'Revenues 9-14'!J5</f>
        <v>421564</v>
      </c>
      <c r="C11" s="1664"/>
      <c r="D11" s="1725">
        <f t="shared" si="0"/>
        <v>421564</v>
      </c>
      <c r="E11" s="1664">
        <v>420051</v>
      </c>
      <c r="F11" s="1725">
        <f t="shared" si="1"/>
        <v>420051</v>
      </c>
    </row>
    <row r="12" spans="1:8" ht="13.7" customHeight="1" x14ac:dyDescent="0.2">
      <c r="A12" s="579" t="s">
        <v>156</v>
      </c>
      <c r="B12" s="1724">
        <f>'Revenues 9-14'!K5</f>
        <v>106717</v>
      </c>
      <c r="C12" s="1664"/>
      <c r="D12" s="1725">
        <f t="shared" si="0"/>
        <v>106717</v>
      </c>
      <c r="E12" s="1664">
        <v>111125</v>
      </c>
      <c r="F12" s="1725">
        <f t="shared" si="1"/>
        <v>111125</v>
      </c>
    </row>
    <row r="13" spans="1:8" ht="13.7" customHeight="1" x14ac:dyDescent="0.2">
      <c r="A13" s="579" t="s">
        <v>930</v>
      </c>
      <c r="B13" s="1724">
        <f>SUM('Revenues 9-14'!C6:D6)</f>
        <v>106717</v>
      </c>
      <c r="C13" s="1664"/>
      <c r="D13" s="1725">
        <f t="shared" si="0"/>
        <v>106717</v>
      </c>
      <c r="E13" s="1664">
        <v>111125</v>
      </c>
      <c r="F13" s="1725">
        <f t="shared" si="1"/>
        <v>111125</v>
      </c>
    </row>
    <row r="14" spans="1:8" ht="13.7" customHeight="1" x14ac:dyDescent="0.2">
      <c r="A14" s="579" t="s">
        <v>407</v>
      </c>
      <c r="B14" s="1724">
        <f>SUM('Revenues 9-14'!C7:D7,'Revenues 9-14'!F7:H7)</f>
        <v>85386</v>
      </c>
      <c r="C14" s="1664"/>
      <c r="D14" s="1725">
        <f t="shared" si="0"/>
        <v>85386</v>
      </c>
      <c r="E14" s="1664">
        <v>88900</v>
      </c>
      <c r="F14" s="1725">
        <f t="shared" si="1"/>
        <v>88900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7230869</v>
      </c>
      <c r="C19" s="1726">
        <f>SUM(C4:C18)</f>
        <v>0</v>
      </c>
      <c r="D19" s="1726">
        <f>SUM(D4:D18)</f>
        <v>7230869</v>
      </c>
      <c r="E19" s="1726">
        <f>SUM(E4:E18)</f>
        <v>7295327</v>
      </c>
      <c r="F19" s="1726">
        <f>SUM(F4:F18)</f>
        <v>7295327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C36" sqref="C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2064</v>
      </c>
      <c r="B31" s="595">
        <v>40241</v>
      </c>
      <c r="C31" s="1734">
        <v>1450000</v>
      </c>
      <c r="D31" s="1735">
        <v>4</v>
      </c>
      <c r="E31" s="1734">
        <v>170000</v>
      </c>
      <c r="F31" s="1734"/>
      <c r="G31" s="1734"/>
      <c r="H31" s="1734">
        <v>170000</v>
      </c>
      <c r="I31" s="1736">
        <f>((E31+F31)-H31)+G31</f>
        <v>0</v>
      </c>
      <c r="J31" s="1734"/>
      <c r="K31" s="596"/>
    </row>
    <row r="32" spans="1:11" ht="12" customHeight="1" x14ac:dyDescent="0.2">
      <c r="A32" s="594" t="s">
        <v>2065</v>
      </c>
      <c r="B32" s="595">
        <v>41067</v>
      </c>
      <c r="C32" s="1734">
        <v>3100000</v>
      </c>
      <c r="D32" s="1735">
        <v>4</v>
      </c>
      <c r="E32" s="1734">
        <v>980000</v>
      </c>
      <c r="F32" s="1734"/>
      <c r="G32" s="1734"/>
      <c r="H32" s="1734">
        <v>320000</v>
      </c>
      <c r="I32" s="1736">
        <f>((E32+F32)-H32)+G32</f>
        <v>660000</v>
      </c>
      <c r="J32" s="1734">
        <v>621020</v>
      </c>
      <c r="K32" s="596"/>
    </row>
    <row r="33" spans="1:11" ht="12" customHeight="1" x14ac:dyDescent="0.2">
      <c r="A33" s="594" t="s">
        <v>2066</v>
      </c>
      <c r="B33" s="595">
        <v>42444</v>
      </c>
      <c r="C33" s="1734">
        <v>1500000</v>
      </c>
      <c r="D33" s="1735">
        <v>4</v>
      </c>
      <c r="E33" s="1734">
        <v>1389000</v>
      </c>
      <c r="F33" s="1734"/>
      <c r="G33" s="1734"/>
      <c r="H33" s="1734">
        <v>59000</v>
      </c>
      <c r="I33" s="1736">
        <f t="shared" ref="I33:I48" si="1">((E33+F33)-H33)+G33</f>
        <v>1330000</v>
      </c>
      <c r="J33" s="1734">
        <v>1330000</v>
      </c>
      <c r="K33" s="596"/>
    </row>
    <row r="34" spans="1:11" ht="12" customHeight="1" x14ac:dyDescent="0.2">
      <c r="A34" s="594" t="s">
        <v>2067</v>
      </c>
      <c r="B34" s="595">
        <v>43966</v>
      </c>
      <c r="C34" s="1734">
        <v>1700000</v>
      </c>
      <c r="D34" s="1735">
        <v>8</v>
      </c>
      <c r="E34" s="1734"/>
      <c r="F34" s="1734">
        <v>1700000</v>
      </c>
      <c r="G34" s="1734"/>
      <c r="H34" s="1734"/>
      <c r="I34" s="1736">
        <f t="shared" si="1"/>
        <v>1700000</v>
      </c>
      <c r="J34" s="1734">
        <v>1700000</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7750000</v>
      </c>
      <c r="D49" s="1742"/>
      <c r="E49" s="1736">
        <f t="shared" ref="E49:J49" si="2">SUM(E31:E48)</f>
        <v>2539000</v>
      </c>
      <c r="F49" s="1736">
        <f t="shared" si="2"/>
        <v>1700000</v>
      </c>
      <c r="G49" s="1736">
        <f t="shared" si="2"/>
        <v>0</v>
      </c>
      <c r="H49" s="1736">
        <f t="shared" si="2"/>
        <v>549000</v>
      </c>
      <c r="I49" s="1736">
        <f t="shared" si="2"/>
        <v>3690000</v>
      </c>
      <c r="J49" s="1736">
        <f t="shared" si="2"/>
        <v>3651020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t="s">
        <v>2068</v>
      </c>
      <c r="G52" s="2312"/>
      <c r="H52" s="596"/>
      <c r="I52" s="596"/>
      <c r="J52" s="600"/>
    </row>
    <row r="53" spans="1:11" ht="11.25" customHeight="1" x14ac:dyDescent="0.2">
      <c r="A53" s="604" t="s">
        <v>907</v>
      </c>
      <c r="B53" s="605" t="s">
        <v>945</v>
      </c>
      <c r="C53" s="600"/>
      <c r="D53" s="597"/>
      <c r="E53" s="603" t="s">
        <v>494</v>
      </c>
      <c r="F53" s="2313" t="s">
        <v>2069</v>
      </c>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3"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85386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85386</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85386</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85386</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514108</v>
      </c>
      <c r="D5" s="1770"/>
      <c r="E5" s="1770"/>
      <c r="F5" s="1765">
        <f>(C5+D5)-E5</f>
        <v>514108</v>
      </c>
      <c r="G5" s="676"/>
      <c r="H5" s="680"/>
      <c r="I5" s="680"/>
      <c r="J5" s="680"/>
      <c r="K5" s="637"/>
      <c r="L5" s="1442">
        <f>F5-K5</f>
        <v>514108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24986047</v>
      </c>
      <c r="D8" s="1771">
        <v>1161482</v>
      </c>
      <c r="E8" s="1771"/>
      <c r="F8" s="1765">
        <f>(C8+D8)-E8</f>
        <v>26147529</v>
      </c>
      <c r="G8" s="681">
        <v>50</v>
      </c>
      <c r="H8" s="619">
        <v>10284922</v>
      </c>
      <c r="I8" s="619">
        <v>808341</v>
      </c>
      <c r="J8" s="619"/>
      <c r="K8" s="1442">
        <f>(H8+I8)-J8</f>
        <v>11093263</v>
      </c>
      <c r="L8" s="1442">
        <f>F8-K8</f>
        <v>15054266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1339518</v>
      </c>
      <c r="D10" s="1772">
        <v>76338</v>
      </c>
      <c r="E10" s="1772"/>
      <c r="F10" s="1773">
        <f>(C10+D10)-E10</f>
        <v>1415856</v>
      </c>
      <c r="G10" s="681">
        <v>20</v>
      </c>
      <c r="H10" s="683">
        <v>726878</v>
      </c>
      <c r="I10" s="683">
        <v>71793</v>
      </c>
      <c r="J10" s="683"/>
      <c r="K10" s="1442">
        <f>(H10+I10)-J10</f>
        <v>798671</v>
      </c>
      <c r="L10" s="1442">
        <f>F10-K10</f>
        <v>617185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845788</v>
      </c>
      <c r="D12" s="1771">
        <v>80446</v>
      </c>
      <c r="E12" s="1771"/>
      <c r="F12" s="1765">
        <f>(C12+D12)-E12</f>
        <v>926234</v>
      </c>
      <c r="G12" s="681">
        <v>10</v>
      </c>
      <c r="H12" s="619">
        <v>643287</v>
      </c>
      <c r="I12" s="619">
        <v>94283</v>
      </c>
      <c r="J12" s="619"/>
      <c r="K12" s="1442">
        <f>(H12+I12)-J12</f>
        <v>737570</v>
      </c>
      <c r="L12" s="1442">
        <f>F12-K12</f>
        <v>188664</v>
      </c>
    </row>
    <row r="13" spans="1:14" ht="14.25" thickTop="1" thickBot="1" x14ac:dyDescent="0.25">
      <c r="A13" s="684" t="s">
        <v>1112</v>
      </c>
      <c r="B13" s="679">
        <v>252</v>
      </c>
      <c r="C13" s="1771">
        <v>1554410</v>
      </c>
      <c r="D13" s="1771"/>
      <c r="E13" s="1771"/>
      <c r="F13" s="1765">
        <f>(C13+D13)-E13</f>
        <v>1554410</v>
      </c>
      <c r="G13" s="681">
        <v>5</v>
      </c>
      <c r="H13" s="619">
        <v>449765</v>
      </c>
      <c r="I13" s="619">
        <v>288531</v>
      </c>
      <c r="J13" s="619"/>
      <c r="K13" s="1442">
        <f>(H13+I13)-J13</f>
        <v>738296</v>
      </c>
      <c r="L13" s="1442">
        <f>F13-K13</f>
        <v>816114</v>
      </c>
    </row>
    <row r="14" spans="1:14" ht="14.25" thickTop="1" thickBot="1" x14ac:dyDescent="0.25">
      <c r="A14" s="684" t="s">
        <v>1113</v>
      </c>
      <c r="B14" s="679">
        <v>253</v>
      </c>
      <c r="C14" s="1745">
        <v>35412</v>
      </c>
      <c r="D14" s="1745"/>
      <c r="E14" s="1745"/>
      <c r="F14" s="1765">
        <f>(C14+D14)-E14</f>
        <v>35412</v>
      </c>
      <c r="G14" s="681">
        <v>3</v>
      </c>
      <c r="H14" s="619">
        <v>35412</v>
      </c>
      <c r="I14" s="619"/>
      <c r="J14" s="619"/>
      <c r="K14" s="1442">
        <f>(H14+I14)-J14</f>
        <v>35412</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29275283</v>
      </c>
      <c r="D16" s="1765">
        <f>SUM(D3,D5:D6,D8:D10,D12:D15)</f>
        <v>1318266</v>
      </c>
      <c r="E16" s="1765">
        <f>SUM(E3,E5:E6,E8:E10,E12:E15)</f>
        <v>0</v>
      </c>
      <c r="F16" s="1765">
        <f>SUM(F3,F5:F6,F8:F10,F12:F15)</f>
        <v>30593549</v>
      </c>
      <c r="G16" s="681"/>
      <c r="H16" s="1435">
        <f>SUM(H3,H6,H8:H10,H12:H14,)</f>
        <v>12140264</v>
      </c>
      <c r="I16" s="1435">
        <f>SUM(I3,I6,I8:I10,I12:I14,)</f>
        <v>1262948</v>
      </c>
      <c r="J16" s="1435">
        <f>SUM(J3,J6,J8:J10,J12:J14,)</f>
        <v>0</v>
      </c>
      <c r="K16" s="1435">
        <f>(H16+I16)-J16</f>
        <v>13403212</v>
      </c>
      <c r="L16" s="1435">
        <f>F16-K16</f>
        <v>17190337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148880</v>
      </c>
      <c r="G17" s="676">
        <v>10</v>
      </c>
      <c r="H17" s="621"/>
      <c r="I17" s="1442">
        <f>F17/G17</f>
        <v>14888</v>
      </c>
      <c r="J17" s="621"/>
      <c r="K17" s="638"/>
      <c r="L17" s="638"/>
    </row>
    <row r="18" spans="1:12" ht="14.25" thickTop="1" thickBot="1" x14ac:dyDescent="0.25">
      <c r="A18" s="1440" t="s">
        <v>680</v>
      </c>
      <c r="B18" s="1441"/>
      <c r="C18" s="623"/>
      <c r="D18" s="623"/>
      <c r="E18" s="623"/>
      <c r="F18" s="686"/>
      <c r="G18" s="687"/>
      <c r="H18" s="624"/>
      <c r="I18" s="1435">
        <f>SUM(I16,I17)</f>
        <v>1277836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1" colorId="8" zoomScale="110" zoomScaleNormal="110" workbookViewId="0">
      <selection activeCell="B186" sqref="B18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8001509</v>
      </c>
      <c r="G8" s="701"/>
    </row>
    <row r="9" spans="1:9" x14ac:dyDescent="0.2">
      <c r="A9" s="705" t="s">
        <v>457</v>
      </c>
      <c r="B9" s="706" t="s">
        <v>1848</v>
      </c>
      <c r="C9" s="707"/>
      <c r="D9" s="705" t="s">
        <v>498</v>
      </c>
      <c r="E9" s="704"/>
      <c r="F9" s="1775">
        <f>'Expenditures 15-22'!K151</f>
        <v>1044417</v>
      </c>
      <c r="G9" s="708"/>
    </row>
    <row r="10" spans="1:9" x14ac:dyDescent="0.2">
      <c r="A10" s="705" t="s">
        <v>496</v>
      </c>
      <c r="B10" s="706" t="s">
        <v>1849</v>
      </c>
      <c r="C10" s="707"/>
      <c r="D10" s="705" t="s">
        <v>498</v>
      </c>
      <c r="E10" s="704"/>
      <c r="F10" s="1775">
        <f>'Expenditures 15-22'!K174</f>
        <v>611865</v>
      </c>
      <c r="G10" s="708"/>
    </row>
    <row r="11" spans="1:9" x14ac:dyDescent="0.2">
      <c r="A11" s="705" t="s">
        <v>458</v>
      </c>
      <c r="B11" s="706" t="s">
        <v>1850</v>
      </c>
      <c r="C11" s="707"/>
      <c r="D11" s="705" t="s">
        <v>498</v>
      </c>
      <c r="E11" s="704"/>
      <c r="F11" s="1775">
        <f>'Expenditures 15-22'!K210</f>
        <v>697288</v>
      </c>
      <c r="G11" s="708"/>
    </row>
    <row r="12" spans="1:9" x14ac:dyDescent="0.2">
      <c r="A12" s="705" t="s">
        <v>459</v>
      </c>
      <c r="B12" s="706" t="s">
        <v>1851</v>
      </c>
      <c r="C12" s="707"/>
      <c r="D12" s="705" t="s">
        <v>498</v>
      </c>
      <c r="E12" s="704"/>
      <c r="F12" s="1775">
        <f>'Expenditures 15-22'!K295</f>
        <v>377971</v>
      </c>
      <c r="G12" s="708"/>
    </row>
    <row r="13" spans="1:9" x14ac:dyDescent="0.2">
      <c r="A13" s="705" t="s">
        <v>106</v>
      </c>
      <c r="B13" s="706" t="s">
        <v>1852</v>
      </c>
      <c r="C13" s="707"/>
      <c r="D13" s="705" t="s">
        <v>498</v>
      </c>
      <c r="E13" s="704"/>
      <c r="F13" s="1775">
        <f>'Expenditures 15-22'!K342</f>
        <v>400000</v>
      </c>
      <c r="G13" s="709"/>
    </row>
    <row r="14" spans="1:9" ht="12" customHeight="1" thickBot="1" x14ac:dyDescent="0.25">
      <c r="A14" s="1443"/>
      <c r="B14" s="1444"/>
      <c r="C14" s="1445"/>
      <c r="D14" s="1446" t="s">
        <v>498</v>
      </c>
      <c r="E14" s="1447" t="s">
        <v>952</v>
      </c>
      <c r="F14" s="1776">
        <f>SUM(F8:F13)</f>
        <v>11133050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95641</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75120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96441</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154862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647737</v>
      </c>
      <c r="G53" s="701"/>
    </row>
    <row r="54" spans="1:7" x14ac:dyDescent="0.2">
      <c r="A54" s="705" t="s">
        <v>456</v>
      </c>
      <c r="B54" s="705" t="s">
        <v>1459</v>
      </c>
      <c r="C54" s="724" t="s">
        <v>975</v>
      </c>
      <c r="D54" s="720" t="s">
        <v>1086</v>
      </c>
      <c r="E54" s="704"/>
      <c r="F54" s="1782">
        <f>'Expenditures 15-22'!G114</f>
        <v>36852</v>
      </c>
      <c r="G54" s="701"/>
    </row>
    <row r="55" spans="1:7" x14ac:dyDescent="0.2">
      <c r="A55" s="705" t="s">
        <v>456</v>
      </c>
      <c r="B55" s="705" t="s">
        <v>1460</v>
      </c>
      <c r="C55" s="724" t="s">
        <v>975</v>
      </c>
      <c r="D55" s="720" t="s">
        <v>288</v>
      </c>
      <c r="E55" s="704"/>
      <c r="F55" s="1782">
        <f>'Expenditures 15-22'!I114</f>
        <v>148880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3630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549000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159282</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4510</v>
      </c>
      <c r="G67" s="701"/>
    </row>
    <row r="68" spans="1:9" x14ac:dyDescent="0.2">
      <c r="A68" s="705" t="s">
        <v>459</v>
      </c>
      <c r="B68" s="705" t="s">
        <v>1462</v>
      </c>
      <c r="C68" s="721" t="str">
        <f>'Expenditures 15-22'!B218</f>
        <v>1225</v>
      </c>
      <c r="D68" s="727" t="str">
        <f>'Expenditures 15-22'!A218</f>
        <v>Special Education Programs - Pre-K</v>
      </c>
      <c r="E68" s="704"/>
      <c r="F68" s="1782">
        <f>'Expenditures 15-22'!K218</f>
        <v>5218</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1977173</v>
      </c>
      <c r="G77" s="701"/>
    </row>
    <row r="78" spans="1:9" s="728" customFormat="1" ht="12" customHeight="1" thickTop="1" thickBot="1" x14ac:dyDescent="0.25">
      <c r="A78" s="1450"/>
      <c r="B78" s="1448"/>
      <c r="C78" s="1445"/>
      <c r="D78" s="1449" t="s">
        <v>2012</v>
      </c>
      <c r="E78" s="1447"/>
      <c r="F78" s="1788">
        <f>(F14-F77)</f>
        <v>9155877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941.96</v>
      </c>
      <c r="G79" s="733"/>
      <c r="H79" s="705"/>
      <c r="I79" s="705"/>
    </row>
    <row r="80" spans="1:9" s="728" customFormat="1" ht="12" customHeight="1" thickBot="1" x14ac:dyDescent="0.25">
      <c r="A80" s="1452"/>
      <c r="B80" s="1448"/>
      <c r="C80" s="1445"/>
      <c r="D80" s="1449" t="s">
        <v>2013</v>
      </c>
      <c r="E80" s="1447" t="s">
        <v>952</v>
      </c>
      <c r="F80" s="1790">
        <f>IF(F79&gt;0,F78/F79," Complete Line 79")</f>
        <v>9720.0273896980761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197310</v>
      </c>
      <c r="G95" s="745"/>
    </row>
    <row r="96" spans="1:7" x14ac:dyDescent="0.2">
      <c r="A96" s="741" t="s">
        <v>139</v>
      </c>
      <c r="B96" s="741" t="s">
        <v>174</v>
      </c>
      <c r="C96" s="743">
        <v>1700</v>
      </c>
      <c r="D96" s="751" t="str">
        <f>'Revenues 9-14'!A82</f>
        <v>Total District/School Activity Income</v>
      </c>
      <c r="E96" s="739"/>
      <c r="F96" s="1793">
        <f>SUM('Revenues 9-14'!C82,'Revenues 9-14'!D82)</f>
        <v>31758</v>
      </c>
      <c r="G96" s="745"/>
    </row>
    <row r="97" spans="1:7" x14ac:dyDescent="0.2">
      <c r="A97" s="741" t="s">
        <v>456</v>
      </c>
      <c r="B97" s="741" t="s">
        <v>175</v>
      </c>
      <c r="C97" s="743">
        <f>'Revenues 9-14'!B84</f>
        <v>1811</v>
      </c>
      <c r="D97" s="744" t="str">
        <f>'Revenues 9-14'!A84</f>
        <v>Rentals - Regular Textbooks</v>
      </c>
      <c r="E97" s="739"/>
      <c r="F97" s="1793">
        <f>'Revenues 9-14'!C84</f>
        <v>25275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33595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137930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9396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2080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13085</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425603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249993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177543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4339</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241097</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8319</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51462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5558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75311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270222</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1959876</v>
      </c>
    </row>
    <row r="176" spans="1:7" ht="12" customHeight="1" x14ac:dyDescent="0.2">
      <c r="A176" s="1443"/>
      <c r="B176" s="1453"/>
      <c r="C176" s="1454"/>
      <c r="D176" s="1455" t="s">
        <v>2014</v>
      </c>
      <c r="E176" s="1456"/>
      <c r="F176" s="1793">
        <f>'PCTC-OEPP 27-28'!F78-F175</f>
        <v>7196001</v>
      </c>
    </row>
    <row r="177" spans="1:9" ht="12" customHeight="1" x14ac:dyDescent="0.2">
      <c r="A177" s="1443"/>
      <c r="B177" s="1453"/>
      <c r="C177" s="1454"/>
      <c r="D177" s="1455" t="s">
        <v>1794</v>
      </c>
      <c r="E177" s="1456"/>
      <c r="F177" s="1793">
        <f>'Cap Outlay Deprec 26'!I18</f>
        <v>1277836</v>
      </c>
    </row>
    <row r="178" spans="1:9" ht="12" customHeight="1" x14ac:dyDescent="0.2">
      <c r="A178" s="1443"/>
      <c r="B178" s="1453"/>
      <c r="C178" s="1454"/>
      <c r="D178" s="1455" t="s">
        <v>2015</v>
      </c>
      <c r="E178" s="1456"/>
      <c r="F178" s="1793">
        <f>F176+F177</f>
        <v>8473837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941.96</v>
      </c>
      <c r="G179" s="763"/>
      <c r="I179" s="701"/>
    </row>
    <row r="180" spans="1:9" ht="12" customHeight="1" thickBot="1" x14ac:dyDescent="0.25">
      <c r="A180" s="1443"/>
      <c r="B180" s="1457"/>
      <c r="C180" s="1454"/>
      <c r="D180" s="1455" t="s">
        <v>2017</v>
      </c>
      <c r="E180" s="1456" t="s">
        <v>1528</v>
      </c>
      <c r="F180" s="1798">
        <f>F178/F179</f>
        <v>8995.9626735742495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19" sqref="D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t="s">
        <v>2073</v>
      </c>
      <c r="B18" s="1908"/>
      <c r="C18" s="1915"/>
      <c r="D18" s="1886">
        <v>0</v>
      </c>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167305</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39460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5397137</v>
      </c>
      <c r="F19" s="1802"/>
      <c r="G19" s="1804">
        <f>'Expenditures 15-22'!K33-SUM('Expenditures 15-22'!G33,'Expenditures 15-22'!I33)+'Expenditures 15-22'!D229</f>
        <v>5397137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331934</v>
      </c>
      <c r="F21" s="1805"/>
      <c r="G21" s="1808">
        <f>'Expenditures 15-22'!K42-SUM('Expenditures 15-22'!G42,'Expenditures 15-22'!I42)+'Expenditures 15-22'!K120-SUM('Expenditures 15-22'!G120,'Expenditures 15-22'!I120)+'Expenditures 15-22'!K180-SUM('Expenditures 15-22'!G180,'Expenditures 15-22'!I180)+'Expenditures 15-22'!D238</f>
        <v>331934</v>
      </c>
      <c r="H21" s="817"/>
      <c r="I21" s="157"/>
    </row>
    <row r="22" spans="1:9" s="542" customFormat="1" ht="12" customHeight="1" x14ac:dyDescent="0.2">
      <c r="A22" s="824" t="s">
        <v>560</v>
      </c>
      <c r="B22" s="825"/>
      <c r="C22" s="823">
        <v>2200</v>
      </c>
      <c r="D22" s="1805"/>
      <c r="E22" s="1807">
        <f>'Expenditures 15-22'!K47-SUM('Expenditures 15-22'!G47,'Expenditures 15-22'!I47)+'Expenditures 15-22'!D243</f>
        <v>257637</v>
      </c>
      <c r="F22" s="1805"/>
      <c r="G22" s="1808">
        <f>'Expenditures 15-22'!K47-SUM('Expenditures 15-22'!G47,'Expenditures 15-22'!I47)+'Expenditures 15-22'!D243</f>
        <v>257637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691606</v>
      </c>
      <c r="F23" s="1805"/>
      <c r="G23" s="1807">
        <f>'Expenditures 15-22'!K53-SUM('Expenditures 15-22'!G53,'Expenditures 15-22'!I53)+'Expenditures 15-22'!D257+'Expenditures 15-22'!K330-SUM('Expenditures 15-22'!G330,'Expenditures 15-22'!I330)</f>
        <v>691606</v>
      </c>
      <c r="H23" s="817"/>
      <c r="I23" s="157"/>
    </row>
    <row r="24" spans="1:9" s="542" customFormat="1" ht="12" customHeight="1" x14ac:dyDescent="0.2">
      <c r="A24" s="824" t="s">
        <v>562</v>
      </c>
      <c r="B24" s="825"/>
      <c r="C24" s="823">
        <v>2400</v>
      </c>
      <c r="D24" s="1805"/>
      <c r="E24" s="1807">
        <f>'Expenditures 15-22'!K57-SUM('Expenditures 15-22'!G57,'Expenditures 15-22'!I57)+'Expenditures 15-22'!D261</f>
        <v>565889</v>
      </c>
      <c r="F24" s="1805"/>
      <c r="G24" s="1808">
        <f>'Expenditures 15-22'!K57-SUM('Expenditures 15-22'!G57,'Expenditures 15-22'!I57)+'Expenditures 15-22'!D261</f>
        <v>565889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79815</v>
      </c>
      <c r="E27" s="1807">
        <f>E8</f>
        <v>0</v>
      </c>
      <c r="F27" s="1807">
        <f>'Expenditures 15-22'!K60-SUM('Expenditures 15-22'!G60,'Expenditures 15-22'!I60)+'Expenditures 15-22'!D264-E8</f>
        <v>79815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1126168</v>
      </c>
      <c r="F28" s="1809">
        <f>'Expenditures 15-22'!K61-SUM('Expenditures 15-22'!G61,'Expenditures 15-22'!I61)+'Expenditures 15-22'!K124-SUM('Expenditures 15-22'!G124,'Expenditures 15-22'!I124)+'Expenditures 15-22'!D266-E9</f>
        <v>1126168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568136</v>
      </c>
      <c r="F29" s="1805"/>
      <c r="G29" s="1808">
        <f>'Expenditures 15-22'!K62-SUM('Expenditures 15-22'!G62,'Expenditures 15-22'!I62)+'Expenditures 15-22'!K125-SUM('Expenditures 15-22'!G125,'Expenditures 15-22'!I125)+'Expenditures 15-22'!K182-SUM('Expenditures 15-22'!G182,'Expenditures 15-22'!I182)+'Expenditures 15-22'!D267</f>
        <v>568136</v>
      </c>
      <c r="H29" s="815"/>
    </row>
    <row r="30" spans="1:9" ht="12" customHeight="1" x14ac:dyDescent="0.2">
      <c r="A30" s="824" t="s">
        <v>100</v>
      </c>
      <c r="B30" s="827"/>
      <c r="C30" s="823">
        <v>2560</v>
      </c>
      <c r="D30" s="1805"/>
      <c r="E30" s="1807">
        <f>'Expenditures 15-22'!K63-SUM('Expenditures 15-22'!G63,'Expenditures 15-22'!I63)+'Expenditures 15-22'!D268-E10</f>
        <v>222160</v>
      </c>
      <c r="F30" s="1805"/>
      <c r="G30" s="1807">
        <f>'Expenditures 15-22'!K63-SUM('Expenditures 15-22'!G63,'Expenditures 15-22'!I63)+'Expenditures 15-22'!D268-E10</f>
        <v>222160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84009</v>
      </c>
      <c r="F35" s="1805"/>
      <c r="G35" s="1807">
        <f>'Expenditures 15-22'!K69-SUM('Expenditures 15-22'!G69,'Expenditures 15-22'!I69)+'Expenditures 15-22'!D274</f>
        <v>84009</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79815</v>
      </c>
      <c r="E41" s="1809">
        <f>SUM(E19:E40)</f>
        <v>9244676</v>
      </c>
      <c r="F41" s="1809">
        <f>SUM(F19:F39)</f>
        <v>1205983</v>
      </c>
      <c r="G41" s="1809">
        <f>SUM(G19:G40)</f>
        <v>8118508</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79815</v>
      </c>
      <c r="F43" s="1458" t="s">
        <v>470</v>
      </c>
      <c r="G43" s="1810">
        <f>F41</f>
        <v>1205983</v>
      </c>
    </row>
    <row r="44" spans="1:7" ht="12" customHeight="1" x14ac:dyDescent="0.2">
      <c r="A44" s="817"/>
      <c r="B44" s="157"/>
      <c r="C44" s="831"/>
      <c r="D44" s="1458" t="s">
        <v>471</v>
      </c>
      <c r="E44" s="1810">
        <f>E41</f>
        <v>9244676</v>
      </c>
      <c r="F44" s="1458" t="s">
        <v>471</v>
      </c>
      <c r="G44" s="1810">
        <f>G41</f>
        <v>8118508</v>
      </c>
    </row>
    <row r="45" spans="1:7" ht="12" customHeight="1" x14ac:dyDescent="0.2">
      <c r="A45" s="817"/>
      <c r="B45" s="157"/>
      <c r="C45" s="157"/>
      <c r="D45" s="1459" t="s">
        <v>999</v>
      </c>
      <c r="E45" s="1811">
        <f>(E43/E44)</f>
        <v>8.6336178790906246E-3</v>
      </c>
      <c r="F45" s="1459" t="s">
        <v>999</v>
      </c>
      <c r="G45" s="1811">
        <f>(G43/G44)</f>
        <v>0.14854736855589723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9" zoomScale="110" zoomScaleNormal="110" workbookViewId="0">
      <selection activeCell="F26" sqref="F2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Red Bud CUSD 132</v>
      </c>
      <c r="D6" s="2404"/>
      <c r="E6" s="2404"/>
      <c r="F6" s="1482"/>
      <c r="G6" s="1507"/>
      <c r="L6" s="1507"/>
      <c r="M6" s="1855"/>
      <c r="N6" s="1855"/>
      <c r="O6" s="1855"/>
    </row>
    <row r="7" spans="1:15" ht="11.25" customHeight="1" thickBot="1" x14ac:dyDescent="0.3">
      <c r="A7" s="1480"/>
      <c r="B7" s="1481"/>
      <c r="C7" s="2405">
        <f>COVER!A13</f>
        <v>45079132026</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2062</v>
      </c>
      <c r="D19" s="1495" t="s">
        <v>2062</v>
      </c>
      <c r="E19" s="1498"/>
      <c r="F19" s="1497" t="s">
        <v>2070</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2062</v>
      </c>
      <c r="D20" s="1495" t="s">
        <v>2062</v>
      </c>
      <c r="E20" s="1498"/>
      <c r="F20" s="1497" t="s">
        <v>2071</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2062</v>
      </c>
      <c r="D26" s="1495" t="s">
        <v>2062</v>
      </c>
      <c r="E26" s="1498"/>
      <c r="F26" s="1497" t="s">
        <v>2072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55" zoomScaleNormal="100" workbookViewId="0">
      <selection activeCell="G63" sqref="G63"/>
    </sheetView>
  </sheetViews>
  <sheetFormatPr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20" t="str">
        <f>COVER!A17</f>
        <v xml:space="preserve">   Red Bud CUSD 132</v>
      </c>
      <c r="K6" s="2420"/>
      <c r="L6" s="2421"/>
      <c r="M6" s="838"/>
      <c r="N6" s="2000"/>
    </row>
    <row r="7" spans="1:14" x14ac:dyDescent="0.2">
      <c r="A7" s="2422" t="s">
        <v>864</v>
      </c>
      <c r="B7" s="2423"/>
      <c r="C7" s="2423"/>
      <c r="D7" s="2423"/>
      <c r="E7" s="2424"/>
      <c r="F7" s="839"/>
      <c r="G7" s="838"/>
      <c r="H7" s="838"/>
      <c r="I7" s="1926" t="s">
        <v>369</v>
      </c>
      <c r="J7" s="2425">
        <f>COVER!A13</f>
        <v>45079132026</v>
      </c>
      <c r="K7" s="2425"/>
      <c r="L7" s="2425"/>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26" t="s">
        <v>478</v>
      </c>
      <c r="B11" s="2427"/>
      <c r="C11" s="2428"/>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245700</v>
      </c>
      <c r="F12" s="1944"/>
      <c r="G12" s="1970">
        <f>G68</f>
        <v>0</v>
      </c>
      <c r="H12" s="1946">
        <f t="shared" ref="H12:H18" si="0">SUM(E12:G12)</f>
        <v>245700</v>
      </c>
      <c r="I12" s="1945">
        <v>244502</v>
      </c>
      <c r="J12" s="1944"/>
      <c r="K12" s="1945"/>
      <c r="L12" s="1946">
        <f t="shared" ref="L12:L18" si="1">SUM(I12:K12)</f>
        <v>244502</v>
      </c>
      <c r="M12" s="838"/>
      <c r="N12" s="2000"/>
    </row>
    <row r="13" spans="1:14" x14ac:dyDescent="0.2">
      <c r="A13" s="2005">
        <v>2</v>
      </c>
      <c r="B13" s="1942" t="s">
        <v>42</v>
      </c>
      <c r="C13" s="842"/>
      <c r="D13" s="1943">
        <v>2330</v>
      </c>
      <c r="E13" s="1946">
        <f>'Expenditures 15-22'!K51</f>
        <v>0</v>
      </c>
      <c r="F13" s="1944"/>
      <c r="G13" s="1970">
        <f>H68</f>
        <v>0</v>
      </c>
      <c r="H13" s="1946">
        <f t="shared" si="0"/>
        <v>0</v>
      </c>
      <c r="I13" s="1945"/>
      <c r="J13" s="1944"/>
      <c r="K13" s="1945"/>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1059</v>
      </c>
      <c r="C15" s="842"/>
      <c r="D15" s="1943">
        <v>2510</v>
      </c>
      <c r="E15" s="1946">
        <f>'Expenditures 15-22'!K59</f>
        <v>0</v>
      </c>
      <c r="F15" s="1946">
        <f>'Expenditures 15-22'!K122</f>
        <v>0</v>
      </c>
      <c r="G15" s="1970">
        <f>J68</f>
        <v>0</v>
      </c>
      <c r="H15" s="1946">
        <f t="shared" si="0"/>
        <v>0</v>
      </c>
      <c r="I15" s="1945"/>
      <c r="J15" s="1945"/>
      <c r="K15" s="1945"/>
      <c r="L15" s="1946">
        <f t="shared" si="1"/>
        <v>0</v>
      </c>
      <c r="M15" s="838"/>
      <c r="N15" s="2000"/>
    </row>
    <row r="16" spans="1:14" x14ac:dyDescent="0.2">
      <c r="A16" s="2005">
        <v>5</v>
      </c>
      <c r="B16" s="1942" t="s">
        <v>101</v>
      </c>
      <c r="C16" s="842"/>
      <c r="D16" s="1943">
        <v>2570</v>
      </c>
      <c r="E16" s="1946">
        <f>'Expenditures 15-22'!K64</f>
        <v>0</v>
      </c>
      <c r="F16" s="1944"/>
      <c r="G16" s="1970">
        <f>K68</f>
        <v>0</v>
      </c>
      <c r="H16" s="1946">
        <f t="shared" si="0"/>
        <v>0</v>
      </c>
      <c r="I16" s="1945"/>
      <c r="J16" s="1944"/>
      <c r="K16" s="1945"/>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29" t="s">
        <v>7</v>
      </c>
      <c r="C18" s="2430"/>
      <c r="D18" s="2431"/>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245700</v>
      </c>
      <c r="F19" s="1952">
        <f t="shared" si="2"/>
        <v>0</v>
      </c>
      <c r="G19" s="1952">
        <f t="shared" ref="G19" si="3">SUM(G12:G17)-G18</f>
        <v>0</v>
      </c>
      <c r="H19" s="1952">
        <f t="shared" si="2"/>
        <v>245700</v>
      </c>
      <c r="I19" s="1952">
        <f t="shared" si="2"/>
        <v>244502</v>
      </c>
      <c r="J19" s="1952">
        <f t="shared" si="2"/>
        <v>0</v>
      </c>
      <c r="K19" s="1952">
        <f t="shared" si="2"/>
        <v>0</v>
      </c>
      <c r="L19" s="1952">
        <f t="shared" si="2"/>
        <v>244502</v>
      </c>
      <c r="M19" s="838"/>
      <c r="N19" s="2000"/>
    </row>
    <row r="20" spans="1:14" ht="13.5" thickTop="1" x14ac:dyDescent="0.2">
      <c r="A20" s="2005">
        <v>9</v>
      </c>
      <c r="B20" s="2432" t="s">
        <v>2021</v>
      </c>
      <c r="C20" s="2432"/>
      <c r="D20" s="2433"/>
      <c r="E20" s="1953"/>
      <c r="F20" s="1953"/>
      <c r="G20" s="1953"/>
      <c r="H20" s="1953"/>
      <c r="I20" s="1953"/>
      <c r="J20" s="1953"/>
      <c r="K20" s="1953"/>
      <c r="L20" s="1954">
        <f>IF(AND(H19&gt;0,L19&gt;0),(((L19-H19)/H19)),"Enter Budget Data")</f>
        <v>-4.875864875864876E-3</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34"/>
      <c r="D27" s="2434"/>
      <c r="E27" s="843"/>
      <c r="F27" s="2435"/>
      <c r="G27" s="2435"/>
      <c r="H27" s="2435"/>
      <c r="I27" s="838"/>
      <c r="J27" s="838"/>
      <c r="K27" s="838"/>
      <c r="L27" s="838"/>
      <c r="M27" s="838"/>
      <c r="N27" s="2000"/>
    </row>
    <row r="28" spans="1:14" x14ac:dyDescent="0.2">
      <c r="A28" s="1999"/>
      <c r="B28" s="2009"/>
      <c r="C28" s="1959" t="s">
        <v>1026</v>
      </c>
      <c r="D28" s="844"/>
      <c r="E28" s="1960"/>
      <c r="F28" s="2436" t="s">
        <v>1492</v>
      </c>
      <c r="G28" s="2436"/>
      <c r="H28" s="2436"/>
      <c r="I28" s="838"/>
      <c r="J28" s="838"/>
      <c r="K28" s="838"/>
      <c r="L28" s="838"/>
      <c r="M28" s="838"/>
      <c r="N28" s="2000"/>
    </row>
    <row r="29" spans="1:14" x14ac:dyDescent="0.2">
      <c r="A29" s="1999"/>
      <c r="B29" s="2009"/>
      <c r="C29" s="2437"/>
      <c r="D29" s="2437"/>
      <c r="E29" s="845"/>
      <c r="F29" s="2437"/>
      <c r="G29" s="2437"/>
      <c r="H29" s="2437"/>
      <c r="I29" s="838"/>
      <c r="J29" s="838"/>
      <c r="K29" s="838"/>
      <c r="L29" s="838"/>
      <c r="M29" s="838"/>
      <c r="N29" s="2000"/>
    </row>
    <row r="30" spans="1:14" x14ac:dyDescent="0.2">
      <c r="A30" s="1999"/>
      <c r="B30" s="2009"/>
      <c r="C30" s="1962" t="s">
        <v>1544</v>
      </c>
      <c r="D30" s="838"/>
      <c r="E30" s="1961"/>
      <c r="F30" s="2419" t="s">
        <v>1493</v>
      </c>
      <c r="G30" s="2419"/>
      <c r="H30" s="2419"/>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40" t="s">
        <v>2024</v>
      </c>
      <c r="D34" s="2441"/>
      <c r="E34" s="2441"/>
      <c r="F34" s="2441"/>
      <c r="G34" s="2441"/>
      <c r="H34" s="2441"/>
      <c r="I34" s="2441"/>
      <c r="J34" s="2441"/>
      <c r="K34" s="2018"/>
      <c r="L34" s="838"/>
      <c r="M34" s="838"/>
      <c r="N34" s="2000"/>
    </row>
    <row r="35" spans="1:14" x14ac:dyDescent="0.2">
      <c r="A35" s="1999"/>
      <c r="B35" s="838"/>
      <c r="C35" s="2441"/>
      <c r="D35" s="2441"/>
      <c r="E35" s="2441"/>
      <c r="F35" s="2441"/>
      <c r="G35" s="2441"/>
      <c r="H35" s="2441"/>
      <c r="I35" s="2441"/>
      <c r="J35" s="2441"/>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40" t="s">
        <v>2025</v>
      </c>
      <c r="D37" s="2441"/>
      <c r="E37" s="2441"/>
      <c r="F37" s="2441"/>
      <c r="G37" s="2441"/>
      <c r="H37" s="2441"/>
      <c r="I37" s="2441"/>
      <c r="J37" s="2441"/>
      <c r="K37" s="2018"/>
      <c r="L37" s="2020"/>
      <c r="M37" s="838"/>
      <c r="N37" s="2000"/>
    </row>
    <row r="38" spans="1:14" x14ac:dyDescent="0.2">
      <c r="A38" s="1999"/>
      <c r="B38" s="838"/>
      <c r="C38" s="2441"/>
      <c r="D38" s="2441"/>
      <c r="E38" s="2441"/>
      <c r="F38" s="2441"/>
      <c r="G38" s="2441"/>
      <c r="H38" s="2441"/>
      <c r="I38" s="2441"/>
      <c r="J38" s="2441"/>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42" t="s">
        <v>2026</v>
      </c>
      <c r="D40" s="2443"/>
      <c r="E40" s="2443"/>
      <c r="F40" s="2443"/>
      <c r="G40" s="2443"/>
      <c r="H40" s="2443"/>
      <c r="I40" s="2443"/>
      <c r="J40" s="2443"/>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20" t="str">
        <f>J6</f>
        <v xml:space="preserve">   Red Bud CUSD 132</v>
      </c>
      <c r="M52" s="2420"/>
      <c r="N52" s="2450"/>
    </row>
    <row r="53" spans="1:14" x14ac:dyDescent="0.2">
      <c r="A53" s="1984"/>
      <c r="B53" s="1985"/>
      <c r="C53" s="1985"/>
      <c r="D53" s="1985"/>
      <c r="E53" s="1985"/>
      <c r="F53" s="1985"/>
      <c r="G53" s="1985"/>
      <c r="H53" s="1985"/>
      <c r="I53" s="1985"/>
      <c r="J53" s="1985"/>
      <c r="K53" s="1926" t="s">
        <v>369</v>
      </c>
      <c r="L53" s="2425">
        <f>J7</f>
        <v>45079132026</v>
      </c>
      <c r="M53" s="2425"/>
      <c r="N53" s="2451"/>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52"/>
      <c r="B55" s="2453"/>
      <c r="C55" s="2453"/>
      <c r="D55" s="1972"/>
      <c r="E55" s="1972"/>
      <c r="F55" s="1972"/>
      <c r="G55" s="2454" t="s">
        <v>2030</v>
      </c>
      <c r="H55" s="2454"/>
      <c r="I55" s="2454"/>
      <c r="J55" s="2454"/>
      <c r="K55" s="2454"/>
      <c r="L55" s="2454"/>
      <c r="M55" s="2454"/>
      <c r="N55" s="2455"/>
    </row>
    <row r="56" spans="1:14" ht="63.75" x14ac:dyDescent="0.2">
      <c r="A56" s="2456" t="s">
        <v>2031</v>
      </c>
      <c r="B56" s="2457"/>
      <c r="C56" s="2458"/>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59" t="s">
        <v>296</v>
      </c>
      <c r="B57" s="2460"/>
      <c r="C57" s="2460"/>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38" t="s">
        <v>2041</v>
      </c>
      <c r="B58" s="2439"/>
      <c r="C58" s="2439"/>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61" t="s">
        <v>297</v>
      </c>
      <c r="B59" s="2462"/>
      <c r="C59" s="2462"/>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61" t="s">
        <v>236</v>
      </c>
      <c r="B60" s="2462"/>
      <c r="C60" s="2462"/>
      <c r="D60" s="1969">
        <v>2364</v>
      </c>
      <c r="E60" s="1979">
        <f>'Expenditures 15-22'!K322</f>
        <v>68874</v>
      </c>
      <c r="F60" s="1974"/>
      <c r="G60" s="2033"/>
      <c r="H60" s="2034"/>
      <c r="I60" s="2034"/>
      <c r="J60" s="2034"/>
      <c r="K60" s="2034"/>
      <c r="L60" s="2034"/>
      <c r="M60" s="2034">
        <v>68874</v>
      </c>
      <c r="N60" s="1977">
        <f t="shared" ref="N60:N67" si="4">IF((SUM(G60:M60))=E60,SUM(G60:M60),"Column N does not agree with Column E")</f>
        <v>68874</v>
      </c>
    </row>
    <row r="61" spans="1:14" ht="24.75" customHeight="1" x14ac:dyDescent="0.2">
      <c r="A61" s="2461" t="s">
        <v>697</v>
      </c>
      <c r="B61" s="2462"/>
      <c r="C61" s="2462"/>
      <c r="D61" s="1969">
        <v>2365</v>
      </c>
      <c r="E61" s="1979">
        <f>'Expenditures 15-22'!K323</f>
        <v>0</v>
      </c>
      <c r="F61" s="1974"/>
      <c r="G61" s="2033"/>
      <c r="H61" s="2034"/>
      <c r="I61" s="2034"/>
      <c r="J61" s="2034"/>
      <c r="K61" s="2034"/>
      <c r="L61" s="2034"/>
      <c r="M61" s="2034"/>
      <c r="N61" s="1977">
        <f t="shared" si="4"/>
        <v>0</v>
      </c>
    </row>
    <row r="62" spans="1:14" ht="24" customHeight="1" x14ac:dyDescent="0.2">
      <c r="A62" s="2461" t="s">
        <v>237</v>
      </c>
      <c r="B62" s="2462"/>
      <c r="C62" s="2462"/>
      <c r="D62" s="1969">
        <v>2366</v>
      </c>
      <c r="E62" s="1979">
        <f>'Expenditures 15-22'!K324</f>
        <v>0</v>
      </c>
      <c r="F62" s="1974"/>
      <c r="G62" s="2033"/>
      <c r="H62" s="2034"/>
      <c r="I62" s="2034"/>
      <c r="J62" s="2034"/>
      <c r="K62" s="2034"/>
      <c r="L62" s="2034"/>
      <c r="M62" s="2034"/>
      <c r="N62" s="1977">
        <f t="shared" si="4"/>
        <v>0</v>
      </c>
    </row>
    <row r="63" spans="1:14" ht="24" customHeight="1" x14ac:dyDescent="0.2">
      <c r="A63" s="2438" t="s">
        <v>1022</v>
      </c>
      <c r="B63" s="2439"/>
      <c r="C63" s="2439"/>
      <c r="D63" s="1969">
        <v>2367</v>
      </c>
      <c r="E63" s="1979">
        <f>'Expenditures 15-22'!K325</f>
        <v>331126</v>
      </c>
      <c r="F63" s="1974"/>
      <c r="G63" s="2033"/>
      <c r="H63" s="2034"/>
      <c r="I63" s="2034"/>
      <c r="J63" s="2034"/>
      <c r="K63" s="2034"/>
      <c r="L63" s="2034"/>
      <c r="M63" s="2034">
        <v>331126</v>
      </c>
      <c r="N63" s="1977">
        <f t="shared" si="4"/>
        <v>331126</v>
      </c>
    </row>
    <row r="64" spans="1:14" ht="24" customHeight="1" x14ac:dyDescent="0.2">
      <c r="A64" s="2461" t="s">
        <v>1023</v>
      </c>
      <c r="B64" s="2462"/>
      <c r="C64" s="2462"/>
      <c r="D64" s="1969">
        <v>2368</v>
      </c>
      <c r="E64" s="1979">
        <f>'Expenditures 15-22'!K326</f>
        <v>0</v>
      </c>
      <c r="F64" s="1974"/>
      <c r="G64" s="2033"/>
      <c r="H64" s="2034"/>
      <c r="I64" s="2034"/>
      <c r="J64" s="2034"/>
      <c r="K64" s="2034"/>
      <c r="L64" s="2034"/>
      <c r="M64" s="2034"/>
      <c r="N64" s="1977">
        <f t="shared" si="4"/>
        <v>0</v>
      </c>
    </row>
    <row r="65" spans="1:14" ht="24" customHeight="1" x14ac:dyDescent="0.2">
      <c r="A65" s="2461" t="s">
        <v>965</v>
      </c>
      <c r="B65" s="2462"/>
      <c r="C65" s="2462"/>
      <c r="D65" s="1969">
        <v>2369</v>
      </c>
      <c r="E65" s="1979">
        <f>'Expenditures 15-22'!K327</f>
        <v>0</v>
      </c>
      <c r="F65" s="1974"/>
      <c r="G65" s="2033"/>
      <c r="H65" s="2034"/>
      <c r="I65" s="2034"/>
      <c r="J65" s="2034"/>
      <c r="K65" s="2034"/>
      <c r="L65" s="2034"/>
      <c r="M65" s="2034"/>
      <c r="N65" s="1977">
        <f t="shared" si="4"/>
        <v>0</v>
      </c>
    </row>
    <row r="66" spans="1:14" ht="24" customHeight="1" x14ac:dyDescent="0.2">
      <c r="A66" s="2461" t="s">
        <v>469</v>
      </c>
      <c r="B66" s="2462"/>
      <c r="C66" s="2462"/>
      <c r="D66" s="1969">
        <v>2371</v>
      </c>
      <c r="E66" s="1979">
        <f>'Expenditures 15-22'!K328</f>
        <v>0</v>
      </c>
      <c r="F66" s="1974"/>
      <c r="G66" s="2033"/>
      <c r="H66" s="2034"/>
      <c r="I66" s="2034"/>
      <c r="J66" s="2034"/>
      <c r="K66" s="2034"/>
      <c r="L66" s="2034"/>
      <c r="M66" s="2034"/>
      <c r="N66" s="1977">
        <f t="shared" si="4"/>
        <v>0</v>
      </c>
    </row>
    <row r="67" spans="1:14" ht="24.75" customHeight="1" x14ac:dyDescent="0.2">
      <c r="A67" s="2463" t="s">
        <v>2042</v>
      </c>
      <c r="B67" s="2464"/>
      <c r="C67" s="2464"/>
      <c r="D67" s="1971">
        <v>2372</v>
      </c>
      <c r="E67" s="1980">
        <f>'Expenditures 15-22'!K329</f>
        <v>0</v>
      </c>
      <c r="F67" s="1974"/>
      <c r="G67" s="2035"/>
      <c r="H67" s="2036"/>
      <c r="I67" s="2036"/>
      <c r="J67" s="2036"/>
      <c r="K67" s="2036"/>
      <c r="L67" s="2036"/>
      <c r="M67" s="2036"/>
      <c r="N67" s="1977">
        <f t="shared" si="4"/>
        <v>0</v>
      </c>
    </row>
    <row r="68" spans="1:14" x14ac:dyDescent="0.2">
      <c r="A68" s="2465" t="s">
        <v>1151</v>
      </c>
      <c r="B68" s="2466"/>
      <c r="C68" s="2466"/>
      <c r="D68" s="1972"/>
      <c r="E68" s="1976">
        <f>SUM(E57:E67)</f>
        <v>400000</v>
      </c>
      <c r="F68" s="1975"/>
      <c r="G68" s="1976">
        <f t="shared" ref="G68:N68" si="5">SUM(G57:G67)</f>
        <v>0</v>
      </c>
      <c r="H68" s="1976">
        <f t="shared" si="5"/>
        <v>0</v>
      </c>
      <c r="I68" s="1976">
        <f t="shared" si="5"/>
        <v>0</v>
      </c>
      <c r="J68" s="1976">
        <f t="shared" si="5"/>
        <v>0</v>
      </c>
      <c r="K68" s="1976">
        <f t="shared" si="5"/>
        <v>0</v>
      </c>
      <c r="L68" s="1976">
        <f t="shared" si="5"/>
        <v>0</v>
      </c>
      <c r="M68" s="1976">
        <f t="shared" si="5"/>
        <v>400000</v>
      </c>
      <c r="N68" s="1990">
        <f t="shared" si="5"/>
        <v>400000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2074</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Red Bud CUSD 132</v>
      </c>
    </row>
    <row r="65" spans="2:2" x14ac:dyDescent="0.2">
      <c r="B65" s="849">
        <f>COVER!A13</f>
        <v>45079132026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9" sqref="C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952500</xdr:colOff>
                <xdr:row>10</xdr:row>
                <xdr:rowOff>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8479447</v>
      </c>
      <c r="C8" s="1813">
        <f>'Acct Summary 7-8'!D8</f>
        <v>2423550</v>
      </c>
      <c r="D8" s="1813">
        <f>'Acct Summary 7-8'!F8</f>
        <v>968561</v>
      </c>
      <c r="E8" s="1813">
        <f>'Acct Summary 7-8'!I8</f>
        <v>129272</v>
      </c>
      <c r="F8" s="1813">
        <f>SUM(B8:E8)</f>
        <v>12000830</v>
      </c>
    </row>
    <row r="9" spans="1:8" s="858" customFormat="1" ht="14.25" customHeight="1" thickBot="1" x14ac:dyDescent="0.25">
      <c r="A9" s="857" t="s">
        <v>1353</v>
      </c>
      <c r="B9" s="1814">
        <f>'Acct Summary 7-8'!C17</f>
        <v>8001509</v>
      </c>
      <c r="C9" s="1814">
        <f>'Acct Summary 7-8'!D17</f>
        <v>1044417</v>
      </c>
      <c r="D9" s="1814">
        <f>'Acct Summary 7-8'!F17</f>
        <v>697288</v>
      </c>
      <c r="E9" s="1813"/>
      <c r="F9" s="1813">
        <f>SUM(B9:E9)</f>
        <v>9743214</v>
      </c>
    </row>
    <row r="10" spans="1:8" s="858" customFormat="1" ht="14.25" thickTop="1" thickBot="1" x14ac:dyDescent="0.25">
      <c r="A10" s="859" t="s">
        <v>1354</v>
      </c>
      <c r="B10" s="1815">
        <f>(B8-B9)</f>
        <v>477938</v>
      </c>
      <c r="C10" s="1815">
        <f>(C8-C9)</f>
        <v>1379133</v>
      </c>
      <c r="D10" s="1815">
        <f>(D8-D9)</f>
        <v>271273</v>
      </c>
      <c r="E10" s="1814">
        <f>(E8-E9)</f>
        <v>129272</v>
      </c>
      <c r="F10" s="1816">
        <f>SUM(F8-F9)</f>
        <v>2257616</v>
      </c>
    </row>
    <row r="11" spans="1:8" s="858" customFormat="1" ht="14.25" thickTop="1" thickBot="1" x14ac:dyDescent="0.25">
      <c r="A11" s="860" t="s">
        <v>1903</v>
      </c>
      <c r="B11" s="1817">
        <f>'Acct Summary 7-8'!C81</f>
        <v>5231766</v>
      </c>
      <c r="C11" s="1817">
        <f>'Acct Summary 7-8'!D81</f>
        <v>10191621</v>
      </c>
      <c r="D11" s="1817">
        <f>'Acct Summary 7-8'!F81</f>
        <v>1118036</v>
      </c>
      <c r="E11" s="1817">
        <f>'Acct Summary 7-8'!I81</f>
        <v>1779862</v>
      </c>
      <c r="F11" s="1818">
        <f>SUM(B11:E11)</f>
        <v>18321285</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C13" sqref="C1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45079132026</v>
      </c>
      <c r="E2" s="1542">
        <v>2020</v>
      </c>
      <c r="F2" s="1542">
        <v>1</v>
      </c>
      <c r="G2" s="1899">
        <v>101000300</v>
      </c>
    </row>
    <row r="3" spans="1:7" ht="15" x14ac:dyDescent="0.25">
      <c r="A3" t="s">
        <v>950</v>
      </c>
      <c r="B3" s="135" t="str">
        <f>COVER!A15</f>
        <v>RANDOLPH</v>
      </c>
      <c r="E3" s="1830" t="s">
        <v>1971</v>
      </c>
      <c r="F3" s="1830" t="s">
        <v>1970</v>
      </c>
      <c r="G3" s="1899">
        <v>101000400</v>
      </c>
    </row>
    <row r="4" spans="1:7" ht="15" x14ac:dyDescent="0.25">
      <c r="A4" t="s">
        <v>1000</v>
      </c>
      <c r="B4" s="135" t="str">
        <f>COVER!A17</f>
        <v xml:space="preserve">   Red Bud CUSD 132</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f>IF(COVER!J30="x","Yes",IF(COVER!L30="x","No",0))</f>
        <v>0</v>
      </c>
      <c r="G13" s="1899">
        <v>202100800</v>
      </c>
    </row>
    <row r="14" spans="1:7" ht="15" x14ac:dyDescent="0.25">
      <c r="A14" t="s">
        <v>473</v>
      </c>
      <c r="B14" s="135" t="str">
        <f>IF(COVER!J31="x","Yes",IF(COVER!L31="x","No",0))</f>
        <v>No</v>
      </c>
      <c r="G14" s="1899">
        <v>402100300</v>
      </c>
    </row>
    <row r="15" spans="1:7" ht="15" x14ac:dyDescent="0.25">
      <c r="A15" t="s">
        <v>573</v>
      </c>
      <c r="B15" s="135">
        <f>COVER!T23</f>
        <v>66.005025000000003</v>
      </c>
      <c r="G15" s="1899">
        <v>402100400</v>
      </c>
    </row>
    <row r="16" spans="1:7" ht="15" x14ac:dyDescent="0.25">
      <c r="A16" t="s">
        <v>419</v>
      </c>
      <c r="B16" s="135" t="str">
        <f>COVER!T13</f>
        <v>FICK, EGGEMEYER &amp; WILLIAMSON, CPA'S</v>
      </c>
      <c r="G16" s="1899">
        <v>402100600</v>
      </c>
    </row>
    <row r="17" spans="1:7" ht="15" x14ac:dyDescent="0.25">
      <c r="A17" t="s">
        <v>878</v>
      </c>
      <c r="B17" s="135" t="str">
        <f>COVER!T15</f>
        <v>CURTIS STOLL, CPA</v>
      </c>
      <c r="G17" s="1899">
        <v>402100800</v>
      </c>
    </row>
    <row r="18" spans="1:7" ht="15" x14ac:dyDescent="0.25">
      <c r="A18" t="s">
        <v>1140</v>
      </c>
      <c r="B18" s="135" t="str">
        <f>COVER!T17</f>
        <v>205 S MAIN ST</v>
      </c>
      <c r="G18" s="1899">
        <v>102200300</v>
      </c>
    </row>
    <row r="19" spans="1:7" ht="15" x14ac:dyDescent="0.25">
      <c r="A19" t="s">
        <v>880</v>
      </c>
      <c r="B19" s="135" t="str">
        <f>COVER!T25</f>
        <v>CURTIS@AFEWCPAS.COM</v>
      </c>
      <c r="G19" s="1899">
        <v>102200400</v>
      </c>
    </row>
    <row r="20" spans="1:7" ht="15" x14ac:dyDescent="0.25">
      <c r="A20" t="s">
        <v>881</v>
      </c>
      <c r="B20" s="135" t="str">
        <f>COVER!T19</f>
        <v>COLUMBIA</v>
      </c>
      <c r="G20" s="1899">
        <v>102200600</v>
      </c>
    </row>
    <row r="21" spans="1:7" ht="15" x14ac:dyDescent="0.25">
      <c r="A21" t="s">
        <v>476</v>
      </c>
      <c r="B21" s="135" t="str">
        <f>COVER!X19</f>
        <v>IL</v>
      </c>
      <c r="G21" s="1899">
        <v>102200800</v>
      </c>
    </row>
    <row r="22" spans="1:7" ht="15" x14ac:dyDescent="0.25">
      <c r="A22" t="s">
        <v>882</v>
      </c>
      <c r="B22" s="135">
        <f>COVER!Z19</f>
        <v>62236</v>
      </c>
      <c r="G22" s="1899">
        <v>102300300</v>
      </c>
    </row>
    <row r="23" spans="1:7" ht="15" x14ac:dyDescent="0.25">
      <c r="A23" t="s">
        <v>1142</v>
      </c>
      <c r="B23" s="135" t="str">
        <f>COVER!T21</f>
        <v>618-281-4999</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2103293</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5231766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5231766</v>
      </c>
      <c r="D92" s="2" t="str">
        <f t="shared" si="0"/>
        <v>Error?</v>
      </c>
      <c r="G92" s="1899">
        <v>102640600</v>
      </c>
    </row>
    <row r="93" spans="1:7" ht="15" x14ac:dyDescent="0.25">
      <c r="A93" s="5">
        <v>32</v>
      </c>
      <c r="B93" s="1832">
        <f>'Assets-Liab 5-6'!C41</f>
        <v>5231766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294638</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10191621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10191621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381550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342570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381550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1118036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1118036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163185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163185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516953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2398532</v>
      </c>
      <c r="C211" s="2" t="s">
        <v>569</v>
      </c>
      <c r="D211" s="2" t="str">
        <f t="shared" si="2"/>
        <v>Error?</v>
      </c>
    </row>
    <row r="212" spans="1:4" x14ac:dyDescent="0.2">
      <c r="A212" s="5">
        <v>151</v>
      </c>
      <c r="B212" s="1832">
        <f>'Assets-Liab 5-6'!H39</f>
        <v>-1881579</v>
      </c>
      <c r="D212" s="2" t="str">
        <f t="shared" si="2"/>
        <v>Error?</v>
      </c>
    </row>
    <row r="213" spans="1:4" x14ac:dyDescent="0.2">
      <c r="A213" s="12">
        <v>152</v>
      </c>
      <c r="B213" s="1832">
        <f>'Assets-Liab 5-6'!H41</f>
        <v>516953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514108</v>
      </c>
      <c r="D273" s="2" t="str">
        <f t="shared" si="3"/>
        <v>Error?</v>
      </c>
    </row>
    <row r="274" spans="1:4" x14ac:dyDescent="0.2">
      <c r="A274" s="5">
        <v>213</v>
      </c>
      <c r="B274" s="1832">
        <f>'Assets-Liab 5-6'!M17</f>
        <v>26147529</v>
      </c>
      <c r="D274" s="2" t="str">
        <f t="shared" si="3"/>
        <v>Error?</v>
      </c>
    </row>
    <row r="275" spans="1:4" x14ac:dyDescent="0.2">
      <c r="A275" s="5">
        <v>214</v>
      </c>
      <c r="B275" s="1832">
        <f>'Assets-Liab 5-6'!M18</f>
        <v>1415856</v>
      </c>
      <c r="D275" s="2" t="str">
        <f t="shared" si="3"/>
        <v>Error?</v>
      </c>
    </row>
    <row r="276" spans="1:4" x14ac:dyDescent="0.2">
      <c r="A276" s="5">
        <v>215</v>
      </c>
      <c r="B276" s="1832">
        <f>'Assets-Liab 5-6'!M19</f>
        <v>2516056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30593549</v>
      </c>
      <c r="C279" s="2" t="s">
        <v>569</v>
      </c>
      <c r="D279" s="2" t="str">
        <f t="shared" si="3"/>
        <v>Error?</v>
      </c>
    </row>
    <row r="280" spans="1:4" x14ac:dyDescent="0.2">
      <c r="A280" s="5">
        <v>219</v>
      </c>
      <c r="B280" s="1832">
        <f>'Assets-Liab 5-6'!M40</f>
        <v>30593549</v>
      </c>
      <c r="D280" s="2" t="str">
        <f t="shared" si="3"/>
        <v>Error?</v>
      </c>
    </row>
    <row r="281" spans="1:4" x14ac:dyDescent="0.2">
      <c r="A281" s="5">
        <v>220</v>
      </c>
      <c r="B281" s="1832">
        <f>'Assets-Liab 5-6'!M41</f>
        <v>30593549</v>
      </c>
      <c r="C281" s="2" t="s">
        <v>569</v>
      </c>
      <c r="D281" s="2" t="str">
        <f t="shared" si="3"/>
        <v>Error?</v>
      </c>
    </row>
    <row r="282" spans="1:4" x14ac:dyDescent="0.2">
      <c r="A282" s="5">
        <v>221</v>
      </c>
      <c r="B282" s="1832">
        <f>'Assets-Liab 5-6'!N21</f>
        <v>38980</v>
      </c>
      <c r="D282" s="2" t="str">
        <f t="shared" si="3"/>
        <v>Error?</v>
      </c>
    </row>
    <row r="283" spans="1:4" x14ac:dyDescent="0.2">
      <c r="A283" s="5">
        <v>222</v>
      </c>
      <c r="B283" s="1832">
        <f>'Assets-Liab 5-6'!N22</f>
        <v>3651020</v>
      </c>
      <c r="D283" s="2" t="str">
        <f t="shared" si="3"/>
        <v>Error?</v>
      </c>
    </row>
    <row r="284" spans="1:4" x14ac:dyDescent="0.2">
      <c r="A284" s="5">
        <v>223</v>
      </c>
      <c r="B284" s="1832">
        <f>'Assets-Liab 5-6'!N23</f>
        <v>3690000</v>
      </c>
      <c r="C284" s="2" t="s">
        <v>569</v>
      </c>
      <c r="D284" s="2" t="str">
        <f t="shared" si="3"/>
        <v>Error?</v>
      </c>
    </row>
    <row r="285" spans="1:4" x14ac:dyDescent="0.2">
      <c r="A285" s="5">
        <v>224</v>
      </c>
      <c r="B285" s="1832">
        <f>'Assets-Liab 5-6'!N36</f>
        <v>3690000</v>
      </c>
      <c r="D285" s="2" t="str">
        <f t="shared" si="3"/>
        <v>Error?</v>
      </c>
    </row>
    <row r="286" spans="1:4" x14ac:dyDescent="0.2">
      <c r="A286" s="10">
        <v>225</v>
      </c>
      <c r="B286" s="1832"/>
      <c r="D286" s="2" t="str">
        <f t="shared" si="3"/>
        <v>OK</v>
      </c>
    </row>
    <row r="287" spans="1:4" x14ac:dyDescent="0.2">
      <c r="A287" s="5">
        <v>226</v>
      </c>
      <c r="B287" s="1832">
        <f>'Assets-Liab 5-6'!N37</f>
        <v>3690000</v>
      </c>
      <c r="C287" s="2" t="s">
        <v>569</v>
      </c>
      <c r="D287" s="2" t="str">
        <f t="shared" si="3"/>
        <v>Error?</v>
      </c>
    </row>
    <row r="288" spans="1:4" x14ac:dyDescent="0.2">
      <c r="A288" s="5">
        <v>227</v>
      </c>
      <c r="B288" s="1832">
        <f>'Assets-Liab 5-6'!N41</f>
        <v>3690000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2911321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191973</v>
      </c>
      <c r="D717" s="2" t="str">
        <f t="shared" si="10"/>
        <v>Error?</v>
      </c>
    </row>
    <row r="718" spans="1:4" x14ac:dyDescent="0.2">
      <c r="A718" s="5">
        <v>657</v>
      </c>
      <c r="B718" s="1832">
        <f>'Expenditures 15-22'!C14</f>
        <v>170527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3969041</v>
      </c>
      <c r="C720" s="2" t="s">
        <v>569</v>
      </c>
      <c r="D720" s="2" t="str">
        <f t="shared" si="10"/>
        <v>Error?</v>
      </c>
    </row>
    <row r="721" spans="1:4" x14ac:dyDescent="0.2">
      <c r="A721" s="5">
        <v>660</v>
      </c>
      <c r="B721" s="1832">
        <f>'Expenditures 15-22'!C36</f>
        <v>50102</v>
      </c>
      <c r="D721" s="2" t="str">
        <f t="shared" si="10"/>
        <v>Error?</v>
      </c>
    </row>
    <row r="722" spans="1:4" x14ac:dyDescent="0.2">
      <c r="A722" s="5">
        <v>661</v>
      </c>
      <c r="B722" s="1832">
        <f>'Expenditures 15-22'!C37</f>
        <v>90762</v>
      </c>
      <c r="D722" s="2" t="str">
        <f t="shared" si="10"/>
        <v>Error?</v>
      </c>
    </row>
    <row r="723" spans="1:4" x14ac:dyDescent="0.2">
      <c r="A723" s="5">
        <v>662</v>
      </c>
      <c r="B723" s="1832">
        <f>'Expenditures 15-22'!C38</f>
        <v>31595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72486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244945</v>
      </c>
      <c r="C727" s="2" t="s">
        <v>569</v>
      </c>
      <c r="D727" s="2" t="str">
        <f t="shared" si="10"/>
        <v>Error?</v>
      </c>
    </row>
    <row r="728" spans="1:4" x14ac:dyDescent="0.2">
      <c r="A728" s="5">
        <v>667</v>
      </c>
      <c r="B728" s="1832">
        <f>'Expenditures 15-22'!C44</f>
        <v>7033</v>
      </c>
      <c r="D728" s="2" t="str">
        <f t="shared" si="10"/>
        <v>Error?</v>
      </c>
    </row>
    <row r="729" spans="1:4" x14ac:dyDescent="0.2">
      <c r="A729" s="5">
        <v>668</v>
      </c>
      <c r="B729" s="1832">
        <f>'Expenditures 15-22'!C45</f>
        <v>163202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170235</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194242</v>
      </c>
      <c r="D733" s="2" t="str">
        <f t="shared" si="10"/>
        <v>Error?</v>
      </c>
    </row>
    <row r="734" spans="1:4" x14ac:dyDescent="0.2">
      <c r="A734" s="5">
        <v>673</v>
      </c>
      <c r="B734" s="1832">
        <f>'Expenditures 15-22'!C53</f>
        <v>194242</v>
      </c>
      <c r="C734" s="2" t="s">
        <v>569</v>
      </c>
      <c r="D734" s="2" t="str">
        <f t="shared" si="10"/>
        <v>Error?</v>
      </c>
    </row>
    <row r="735" spans="1:4" x14ac:dyDescent="0.2">
      <c r="A735" s="5">
        <v>674</v>
      </c>
      <c r="B735" s="1832">
        <f>'Expenditures 15-22'!C55</f>
        <v>453703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453703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44434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177398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221832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64900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64900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1349857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5318898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615231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45738</v>
      </c>
      <c r="D775" s="2" t="str">
        <f t="shared" si="11"/>
        <v>Error?</v>
      </c>
    </row>
    <row r="776" spans="1:4" x14ac:dyDescent="0.2">
      <c r="A776" s="5">
        <v>715</v>
      </c>
      <c r="B776" s="1832">
        <f>'Expenditures 15-22'!D14</f>
        <v>12892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860316</v>
      </c>
      <c r="C778" s="2" t="s">
        <v>569</v>
      </c>
      <c r="D778" s="2" t="str">
        <f t="shared" si="11"/>
        <v>Error?</v>
      </c>
    </row>
    <row r="779" spans="1:4" x14ac:dyDescent="0.2">
      <c r="A779" s="5">
        <v>718</v>
      </c>
      <c r="B779" s="1832">
        <f>'Expenditures 15-22'!D36</f>
        <v>11250</v>
      </c>
      <c r="D779" s="2" t="str">
        <f t="shared" si="11"/>
        <v>Error?</v>
      </c>
    </row>
    <row r="780" spans="1:4" x14ac:dyDescent="0.2">
      <c r="A780" s="5">
        <v>719</v>
      </c>
      <c r="B780" s="1832">
        <f>'Expenditures 15-22'!D37</f>
        <v>10544</v>
      </c>
      <c r="D780" s="2" t="str">
        <f t="shared" si="11"/>
        <v>Error?</v>
      </c>
    </row>
    <row r="781" spans="1:4" x14ac:dyDescent="0.2">
      <c r="A781" s="5">
        <v>720</v>
      </c>
      <c r="B781" s="1832">
        <f>'Expenditures 15-22'!D38</f>
        <v>12610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13879</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48283</v>
      </c>
      <c r="C785" s="2" t="s">
        <v>569</v>
      </c>
      <c r="D785" s="2" t="str">
        <f t="shared" si="11"/>
        <v>Error?</v>
      </c>
    </row>
    <row r="786" spans="1:4" x14ac:dyDescent="0.2">
      <c r="A786" s="5">
        <v>725</v>
      </c>
      <c r="B786" s="1832">
        <f>'Expenditures 15-22'!D44</f>
        <v>2485</v>
      </c>
      <c r="D786" s="2" t="str">
        <f t="shared" si="11"/>
        <v>Error?</v>
      </c>
    </row>
    <row r="787" spans="1:4" x14ac:dyDescent="0.2">
      <c r="A787" s="5">
        <v>726</v>
      </c>
      <c r="B787" s="1832">
        <f>'Expenditures 15-22'!D45</f>
        <v>23457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25942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29138</v>
      </c>
      <c r="D791" s="2" t="str">
        <f t="shared" si="11"/>
        <v>Error?</v>
      </c>
    </row>
    <row r="792" spans="1:4" x14ac:dyDescent="0.2">
      <c r="A792" s="5">
        <v>731</v>
      </c>
      <c r="B792" s="1832">
        <f>'Expenditures 15-22'!D53</f>
        <v>29138</v>
      </c>
      <c r="C792" s="2" t="s">
        <v>569</v>
      </c>
      <c r="D792" s="2" t="str">
        <f t="shared" si="11"/>
        <v>Error?</v>
      </c>
    </row>
    <row r="793" spans="1:4" x14ac:dyDescent="0.2">
      <c r="A793" s="5">
        <v>732</v>
      </c>
      <c r="B793" s="1832">
        <f>'Expenditures 15-22'!D55</f>
        <v>79359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79359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11930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11930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194652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1054968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7664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28082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67687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105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25044</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25149</v>
      </c>
      <c r="C843" s="2" t="s">
        <v>569</v>
      </c>
      <c r="D843" s="2" t="str">
        <f t="shared" si="12"/>
        <v>Error?</v>
      </c>
    </row>
    <row r="844" spans="1:4" x14ac:dyDescent="0.2">
      <c r="A844" s="5">
        <v>783</v>
      </c>
      <c r="B844" s="1832">
        <f>'Expenditures 15-22'!E44</f>
        <v>29799</v>
      </c>
      <c r="D844" s="2" t="str">
        <f t="shared" si="12"/>
        <v>Error?</v>
      </c>
    </row>
    <row r="845" spans="1:4" x14ac:dyDescent="0.2">
      <c r="A845" s="5">
        <v>784</v>
      </c>
      <c r="B845" s="1832">
        <f>'Expenditures 15-22'!E45</f>
        <v>2263</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32062</v>
      </c>
      <c r="C847" s="2" t="s">
        <v>569</v>
      </c>
      <c r="D847" s="2" t="str">
        <f t="shared" si="12"/>
        <v>Error?</v>
      </c>
    </row>
    <row r="848" spans="1:4" x14ac:dyDescent="0.2">
      <c r="A848" s="5">
        <v>787</v>
      </c>
      <c r="B848" s="1832">
        <f>'Expenditures 15-22'!E49</f>
        <v>33909</v>
      </c>
      <c r="D848" s="2" t="str">
        <f t="shared" si="12"/>
        <v>Error?</v>
      </c>
    </row>
    <row r="849" spans="1:4" x14ac:dyDescent="0.2">
      <c r="A849" s="5">
        <v>788</v>
      </c>
      <c r="B849" s="1832">
        <f>'Expenditures 15-22'!E50</f>
        <v>4239</v>
      </c>
      <c r="D849" s="2" t="str">
        <f t="shared" si="12"/>
        <v>Error?</v>
      </c>
    </row>
    <row r="850" spans="1:4" x14ac:dyDescent="0.2">
      <c r="A850" s="5">
        <v>789</v>
      </c>
      <c r="B850" s="1832">
        <f>'Expenditures 15-22'!E53</f>
        <v>38148</v>
      </c>
      <c r="C850" s="2" t="s">
        <v>569</v>
      </c>
      <c r="D850" s="2" t="str">
        <f t="shared" si="12"/>
        <v>Error?</v>
      </c>
    </row>
    <row r="851" spans="1:4" x14ac:dyDescent="0.2">
      <c r="A851" s="5">
        <v>790</v>
      </c>
      <c r="B851" s="1832">
        <f>'Expenditures 15-22'!E55</f>
        <v>858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858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24822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1013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25835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6551</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6551</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128603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196290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121173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28557</v>
      </c>
      <c r="D891" s="2" t="str">
        <f t="shared" si="12"/>
        <v>Error?</v>
      </c>
    </row>
    <row r="892" spans="1:4" x14ac:dyDescent="0.2">
      <c r="A892" s="5">
        <v>831</v>
      </c>
      <c r="B892" s="1832">
        <f>'Expenditures 15-22'!F14</f>
        <v>41890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216830</v>
      </c>
      <c r="C894" s="2" t="s">
        <v>569</v>
      </c>
      <c r="D894" s="2" t="str">
        <f t="shared" si="12"/>
        <v>Error?</v>
      </c>
    </row>
    <row r="895" spans="1:4" x14ac:dyDescent="0.2">
      <c r="A895" s="5">
        <v>834</v>
      </c>
      <c r="B895" s="1832">
        <f>'Expenditures 15-22'!F36</f>
        <v>52</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1384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818</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2254</v>
      </c>
      <c r="C901" s="2" t="s">
        <v>569</v>
      </c>
      <c r="D901" s="2" t="str">
        <f t="shared" si="13"/>
        <v>Error?</v>
      </c>
    </row>
    <row r="902" spans="1:4" x14ac:dyDescent="0.2">
      <c r="A902" s="5">
        <v>841</v>
      </c>
      <c r="B902" s="1832">
        <f>'Expenditures 15-22'!F44</f>
        <v>3787</v>
      </c>
      <c r="D902" s="2" t="str">
        <f t="shared" si="13"/>
        <v>Error?</v>
      </c>
    </row>
    <row r="903" spans="1:4" x14ac:dyDescent="0.2">
      <c r="A903" s="5">
        <v>842</v>
      </c>
      <c r="B903" s="1832">
        <f>'Expenditures 15-22'!F45</f>
        <v>17416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21203</v>
      </c>
      <c r="C905" s="2" t="s">
        <v>569</v>
      </c>
      <c r="D905" s="2" t="str">
        <f t="shared" si="13"/>
        <v>Error?</v>
      </c>
    </row>
    <row r="906" spans="1:4" x14ac:dyDescent="0.2">
      <c r="A906" s="5">
        <v>845</v>
      </c>
      <c r="B906" s="1832">
        <f>'Expenditures 15-22'!F49</f>
        <v>2690</v>
      </c>
      <c r="D906" s="2" t="str">
        <f t="shared" si="13"/>
        <v>Error?</v>
      </c>
    </row>
    <row r="907" spans="1:4" x14ac:dyDescent="0.2">
      <c r="A907" s="5">
        <v>846</v>
      </c>
      <c r="B907" s="1832">
        <f>'Expenditures 15-22'!F50</f>
        <v>8686</v>
      </c>
      <c r="D907" s="2" t="str">
        <f t="shared" si="13"/>
        <v>Error?</v>
      </c>
    </row>
    <row r="908" spans="1:4" x14ac:dyDescent="0.2">
      <c r="A908" s="5">
        <v>847</v>
      </c>
      <c r="B908" s="1832">
        <f>'Expenditures 15-22'!F53</f>
        <v>11376</v>
      </c>
      <c r="C908" s="2" t="s">
        <v>569</v>
      </c>
      <c r="D908" s="2" t="str">
        <f t="shared" si="13"/>
        <v>Error?</v>
      </c>
    </row>
    <row r="909" spans="1:4" x14ac:dyDescent="0.2">
      <c r="A909" s="5">
        <v>848</v>
      </c>
      <c r="B909" s="1832">
        <f>'Expenditures 15-22'!F55</f>
        <v>2883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2883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1127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167305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168432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206148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422978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6950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4617</v>
      </c>
      <c r="D949" s="2" t="str">
        <f t="shared" si="13"/>
        <v>Error?</v>
      </c>
    </row>
    <row r="950" spans="1:4" x14ac:dyDescent="0.2">
      <c r="A950" s="5">
        <v>889</v>
      </c>
      <c r="B950" s="1832">
        <f>'Expenditures 15-22'!G14</f>
        <v>1512</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28512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644</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644</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7137</v>
      </c>
      <c r="D965" s="2" t="str">
        <f t="shared" si="14"/>
        <v>Error?</v>
      </c>
    </row>
    <row r="966" spans="1:4" x14ac:dyDescent="0.2">
      <c r="A966" s="5">
        <v>905</v>
      </c>
      <c r="B966" s="1832">
        <f>'Expenditures 15-22'!G53</f>
        <v>7137</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559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559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8340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36852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155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3215</v>
      </c>
      <c r="D1007" s="2" t="str">
        <f t="shared" si="14"/>
        <v>Error?</v>
      </c>
    </row>
    <row r="1008" spans="1:4" x14ac:dyDescent="0.2">
      <c r="A1008" s="5">
        <v>947</v>
      </c>
      <c r="B1008" s="1832">
        <f>'Expenditures 15-22'!H14</f>
        <v>7520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165752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70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70</v>
      </c>
      <c r="C1021" s="2" t="s">
        <v>569</v>
      </c>
      <c r="D1021" s="2" t="str">
        <f t="shared" si="14"/>
        <v>Error?</v>
      </c>
    </row>
    <row r="1022" spans="1:4" x14ac:dyDescent="0.2">
      <c r="A1022" s="5">
        <v>961</v>
      </c>
      <c r="B1022" s="1832">
        <f>'Expenditures 15-22'!H49</f>
        <v>5164</v>
      </c>
      <c r="D1022" s="2" t="str">
        <f t="shared" si="14"/>
        <v>Error?</v>
      </c>
    </row>
    <row r="1023" spans="1:4" x14ac:dyDescent="0.2">
      <c r="A1023" s="5">
        <v>962</v>
      </c>
      <c r="B1023" s="1832">
        <f>'Expenditures 15-22'!H50</f>
        <v>2258</v>
      </c>
      <c r="D1023" s="2" t="str">
        <f t="shared" ref="D1023:D1086" si="15">IF(ISBLANK(B1023),"OK",IF(A1023-B1023=0,"OK","Error?"))</f>
        <v>Error?</v>
      </c>
    </row>
    <row r="1024" spans="1:4" x14ac:dyDescent="0.2">
      <c r="A1024" s="5">
        <v>963</v>
      </c>
      <c r="B1024" s="1832">
        <f>'Expenditures 15-22'!H53</f>
        <v>7422</v>
      </c>
      <c r="C1024" s="2" t="s">
        <v>569</v>
      </c>
      <c r="D1024" s="2" t="str">
        <f t="shared" si="15"/>
        <v>Error?</v>
      </c>
    </row>
    <row r="1025" spans="1:4" x14ac:dyDescent="0.2">
      <c r="A1025" s="5">
        <v>964</v>
      </c>
      <c r="B1025" s="1832">
        <f>'Expenditures 15-22'!H55</f>
        <v>1662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1662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9154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647737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822643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3662494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274100</v>
      </c>
      <c r="C1105" s="2" t="s">
        <v>569</v>
      </c>
      <c r="D1105" s="2" t="str">
        <f t="shared" si="16"/>
        <v>Error?</v>
      </c>
    </row>
    <row r="1106" spans="1:4" x14ac:dyDescent="0.2">
      <c r="A1106" s="5">
        <v>1045</v>
      </c>
      <c r="B1106" s="1832">
        <f>'Expenditures 15-22'!K14</f>
        <v>262423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5308138</v>
      </c>
      <c r="C1108" s="2" t="s">
        <v>569</v>
      </c>
      <c r="D1108" s="2" t="str">
        <f t="shared" si="16"/>
        <v>Error?</v>
      </c>
    </row>
    <row r="1109" spans="1:4" x14ac:dyDescent="0.2">
      <c r="A1109" s="5">
        <v>1048</v>
      </c>
      <c r="B1109" s="1832">
        <f>'Expenditures 15-22'!K36</f>
        <v>61404</v>
      </c>
      <c r="C1109" s="2" t="s">
        <v>569</v>
      </c>
      <c r="D1109" s="2" t="str">
        <f t="shared" si="16"/>
        <v>Error?</v>
      </c>
    </row>
    <row r="1110" spans="1:4" x14ac:dyDescent="0.2">
      <c r="A1110" s="5">
        <v>1049</v>
      </c>
      <c r="B1110" s="1832">
        <f>'Expenditures 15-22'!K37</f>
        <v>101306</v>
      </c>
      <c r="C1110" s="2" t="s">
        <v>569</v>
      </c>
      <c r="D1110" s="2" t="str">
        <f t="shared" si="16"/>
        <v>Error?</v>
      </c>
    </row>
    <row r="1111" spans="1:4" x14ac:dyDescent="0.2">
      <c r="A1111" s="5">
        <v>1050</v>
      </c>
      <c r="B1111" s="1832">
        <f>'Expenditures 15-22'!K38</f>
        <v>45694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112227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320631</v>
      </c>
      <c r="C1115" s="2" t="s">
        <v>569</v>
      </c>
      <c r="D1115" s="2" t="str">
        <f t="shared" si="16"/>
        <v>Error?</v>
      </c>
    </row>
    <row r="1116" spans="1:4" x14ac:dyDescent="0.2">
      <c r="A1116" s="5">
        <v>1055</v>
      </c>
      <c r="B1116" s="1832">
        <f>'Expenditures 15-22'!K44</f>
        <v>43104</v>
      </c>
      <c r="C1116" s="2" t="s">
        <v>569</v>
      </c>
      <c r="D1116" s="2" t="str">
        <f t="shared" si="16"/>
        <v>Error?</v>
      </c>
    </row>
    <row r="1117" spans="1:4" x14ac:dyDescent="0.2">
      <c r="A1117" s="5">
        <v>1056</v>
      </c>
      <c r="B1117" s="1832">
        <f>'Expenditures 15-22'!K45</f>
        <v>207052</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250156</v>
      </c>
      <c r="C1119" s="2" t="s">
        <v>569</v>
      </c>
      <c r="D1119" s="2" t="str">
        <f t="shared" si="16"/>
        <v>Error?</v>
      </c>
    </row>
    <row r="1120" spans="1:4" x14ac:dyDescent="0.2">
      <c r="A1120" s="5">
        <v>1059</v>
      </c>
      <c r="B1120" s="1832">
        <f>'Expenditures 15-22'!K49</f>
        <v>41763</v>
      </c>
      <c r="C1120" s="2" t="s">
        <v>569</v>
      </c>
      <c r="D1120" s="2" t="str">
        <f t="shared" si="16"/>
        <v>Error?</v>
      </c>
    </row>
    <row r="1121" spans="1:4" x14ac:dyDescent="0.2">
      <c r="A1121" s="5">
        <v>1060</v>
      </c>
      <c r="B1121" s="1832">
        <f>'Expenditures 15-22'!K50</f>
        <v>245700</v>
      </c>
      <c r="C1121" s="2" t="s">
        <v>569</v>
      </c>
      <c r="D1121" s="2" t="str">
        <f t="shared" si="16"/>
        <v>Error?</v>
      </c>
    </row>
    <row r="1122" spans="1:4" x14ac:dyDescent="0.2">
      <c r="A1122" s="5">
        <v>1061</v>
      </c>
      <c r="B1122" s="1832">
        <f>'Expenditures 15-22'!K53</f>
        <v>287463</v>
      </c>
      <c r="C1122" s="2" t="s">
        <v>569</v>
      </c>
      <c r="D1122" s="2" t="str">
        <f t="shared" si="16"/>
        <v>Error?</v>
      </c>
    </row>
    <row r="1123" spans="1:4" x14ac:dyDescent="0.2">
      <c r="A1123" s="5">
        <v>1062</v>
      </c>
      <c r="B1123" s="1832">
        <f>'Expenditures 15-22'!K55</f>
        <v>538465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538465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70383</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358205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428588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220331</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220331</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2045634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647737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8001509</v>
      </c>
      <c r="C1152" s="2" t="s">
        <v>569</v>
      </c>
      <c r="D1152" s="2" t="str">
        <f t="shared" si="17"/>
        <v>Error?</v>
      </c>
    </row>
    <row r="1153" spans="1:4" x14ac:dyDescent="0.2">
      <c r="A1153" s="5">
        <v>1092</v>
      </c>
      <c r="B1153" s="1832">
        <f>'Expenditures 15-22'!K115</f>
        <v>477938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487384</v>
      </c>
      <c r="D1221" s="2" t="str">
        <f t="shared" si="18"/>
        <v>Error?</v>
      </c>
    </row>
    <row r="1222" spans="1:4" x14ac:dyDescent="0.2">
      <c r="A1222" s="10">
        <v>1161</v>
      </c>
      <c r="B1222" s="1832"/>
      <c r="D1222" s="2" t="str">
        <f t="shared" si="18"/>
        <v>OK</v>
      </c>
    </row>
    <row r="1223" spans="1:4" x14ac:dyDescent="0.2">
      <c r="A1223" s="5">
        <v>1162</v>
      </c>
      <c r="B1223" s="1832">
        <f>'Expenditures 15-22'!C127</f>
        <v>487384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487384</v>
      </c>
      <c r="C1225" s="2" t="s">
        <v>569</v>
      </c>
      <c r="D1225" s="2" t="str">
        <f t="shared" si="18"/>
        <v>Error?</v>
      </c>
    </row>
    <row r="1226" spans="1:4" x14ac:dyDescent="0.2">
      <c r="A1226" s="5">
        <v>1165</v>
      </c>
      <c r="B1226" s="1832">
        <f>'Expenditures 15-22'!C151</f>
        <v>487384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55193</v>
      </c>
      <c r="D1229" s="2" t="str">
        <f t="shared" si="18"/>
        <v>Error?</v>
      </c>
    </row>
    <row r="1230" spans="1:4" x14ac:dyDescent="0.2">
      <c r="A1230" s="10">
        <v>1169</v>
      </c>
      <c r="B1230" s="1832"/>
      <c r="D1230" s="2" t="str">
        <f t="shared" si="18"/>
        <v>OK</v>
      </c>
    </row>
    <row r="1231" spans="1:4" x14ac:dyDescent="0.2">
      <c r="A1231" s="5">
        <v>1170</v>
      </c>
      <c r="B1231" s="1832">
        <f>'Expenditures 15-22'!D127</f>
        <v>55193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55193</v>
      </c>
      <c r="C1233" s="2" t="s">
        <v>569</v>
      </c>
      <c r="D1233" s="2" t="str">
        <f t="shared" si="18"/>
        <v>Error?</v>
      </c>
    </row>
    <row r="1234" spans="1:4" x14ac:dyDescent="0.2">
      <c r="A1234" s="5">
        <v>1173</v>
      </c>
      <c r="B1234" s="1832">
        <f>'Expenditures 15-22'!D151</f>
        <v>55193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389112</v>
      </c>
      <c r="D1237" s="2" t="str">
        <f t="shared" si="18"/>
        <v>Error?</v>
      </c>
    </row>
    <row r="1238" spans="1:4" x14ac:dyDescent="0.2">
      <c r="A1238" s="10">
        <v>1177</v>
      </c>
      <c r="B1238" s="1832"/>
      <c r="D1238" s="2" t="str">
        <f t="shared" si="18"/>
        <v>OK</v>
      </c>
    </row>
    <row r="1239" spans="1:4" x14ac:dyDescent="0.2">
      <c r="A1239" s="5">
        <v>1178</v>
      </c>
      <c r="B1239" s="1832">
        <f>'Expenditures 15-22'!E127</f>
        <v>389112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389112</v>
      </c>
      <c r="C1241" s="2" t="s">
        <v>569</v>
      </c>
      <c r="D1241" s="2" t="str">
        <f t="shared" si="18"/>
        <v>Error?</v>
      </c>
    </row>
    <row r="1242" spans="1:4" x14ac:dyDescent="0.2">
      <c r="A1242" s="5">
        <v>1181</v>
      </c>
      <c r="B1242" s="1832">
        <f>'Expenditures 15-22'!E151</f>
        <v>389112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108998</v>
      </c>
      <c r="D1245" s="2" t="str">
        <f t="shared" si="18"/>
        <v>Error?</v>
      </c>
    </row>
    <row r="1246" spans="1:4" x14ac:dyDescent="0.2">
      <c r="A1246" s="10">
        <v>1185</v>
      </c>
      <c r="B1246" s="1832"/>
      <c r="D1246" s="2" t="str">
        <f t="shared" si="18"/>
        <v>OK</v>
      </c>
    </row>
    <row r="1247" spans="1:4" x14ac:dyDescent="0.2">
      <c r="A1247" s="5">
        <v>1186</v>
      </c>
      <c r="B1247" s="1832">
        <f>'Expenditures 15-22'!F127</f>
        <v>108998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108998</v>
      </c>
      <c r="C1249" s="2" t="s">
        <v>569</v>
      </c>
      <c r="D1249" s="2" t="str">
        <f t="shared" si="18"/>
        <v>Error?</v>
      </c>
    </row>
    <row r="1250" spans="1:4" x14ac:dyDescent="0.2">
      <c r="A1250" s="5">
        <v>1189</v>
      </c>
      <c r="B1250" s="1832">
        <f>'Expenditures 15-22'!F151</f>
        <v>108998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3630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3630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3630</v>
      </c>
      <c r="C1258" s="2" t="s">
        <v>569</v>
      </c>
      <c r="D1258" s="2" t="str">
        <f t="shared" si="18"/>
        <v>Error?</v>
      </c>
    </row>
    <row r="1259" spans="1:4" x14ac:dyDescent="0.2">
      <c r="A1259" s="5">
        <v>1198</v>
      </c>
      <c r="B1259" s="1832">
        <f>'Expenditures 15-22'!G151</f>
        <v>3630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100</v>
      </c>
      <c r="D1262" s="2" t="str">
        <f t="shared" si="18"/>
        <v>Error?</v>
      </c>
    </row>
    <row r="1263" spans="1:4" x14ac:dyDescent="0.2">
      <c r="A1263" s="10">
        <v>1202</v>
      </c>
      <c r="B1263" s="1832"/>
      <c r="D1263" s="2" t="str">
        <f t="shared" si="18"/>
        <v>OK</v>
      </c>
    </row>
    <row r="1264" spans="1:4" x14ac:dyDescent="0.2">
      <c r="A1264" s="5">
        <v>1203</v>
      </c>
      <c r="B1264" s="1832">
        <f>'Expenditures 15-22'!H127</f>
        <v>100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100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100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1044417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1044417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1044417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1044417</v>
      </c>
      <c r="C1288" s="2" t="s">
        <v>569</v>
      </c>
      <c r="D1288" s="2" t="str">
        <f t="shared" si="19"/>
        <v>Error?</v>
      </c>
    </row>
    <row r="1289" spans="1:4" x14ac:dyDescent="0.2">
      <c r="A1289" s="5">
        <v>1228</v>
      </c>
      <c r="B1289" s="1832">
        <f>'Expenditures 15-22'!K152</f>
        <v>1379133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62865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549000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611865</v>
      </c>
      <c r="C1317" s="2" t="s">
        <v>569</v>
      </c>
      <c r="D1317" s="2" t="str">
        <f t="shared" si="19"/>
        <v>Error?</v>
      </c>
    </row>
    <row r="1318" spans="1:4" x14ac:dyDescent="0.2">
      <c r="A1318" s="5">
        <v>1257</v>
      </c>
      <c r="B1318" s="1832">
        <f>'Expenditures 15-22'!H174</f>
        <v>611865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62865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549000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611865</v>
      </c>
      <c r="C1331" s="2" t="s">
        <v>569</v>
      </c>
      <c r="D1331" s="2" t="str">
        <f t="shared" si="19"/>
        <v>Error?</v>
      </c>
    </row>
    <row r="1332" spans="1:4" x14ac:dyDescent="0.2">
      <c r="A1332" s="5">
        <v>1271</v>
      </c>
      <c r="B1332" s="1832">
        <f>'Expenditures 15-22'!K174</f>
        <v>611865</v>
      </c>
      <c r="C1332" s="2" t="s">
        <v>569</v>
      </c>
      <c r="D1332" s="2" t="str">
        <f t="shared" si="19"/>
        <v>Error?</v>
      </c>
    </row>
    <row r="1333" spans="1:4" x14ac:dyDescent="0.2">
      <c r="A1333" s="5">
        <v>1272</v>
      </c>
      <c r="B1333" s="1832">
        <f>'Expenditures 15-22'!K175</f>
        <v>36689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345824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345824</v>
      </c>
      <c r="C1339" s="2" t="s">
        <v>569</v>
      </c>
      <c r="D1339" s="2" t="str">
        <f t="shared" si="19"/>
        <v>Error?</v>
      </c>
    </row>
    <row r="1340" spans="1:4" x14ac:dyDescent="0.2">
      <c r="A1340" s="5">
        <v>1279</v>
      </c>
      <c r="B1340" s="1832">
        <f>'Expenditures 15-22'!C210</f>
        <v>345824</v>
      </c>
      <c r="C1340" s="2" t="s">
        <v>569</v>
      </c>
      <c r="D1340" s="2" t="str">
        <f t="shared" si="19"/>
        <v>Error?</v>
      </c>
    </row>
    <row r="1341" spans="1:4" x14ac:dyDescent="0.2">
      <c r="A1341" s="5">
        <v>1280</v>
      </c>
      <c r="B1341" s="1832">
        <f>'Expenditures 15-22'!D182</f>
        <v>9575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9575</v>
      </c>
      <c r="C1345" s="2" t="s">
        <v>569</v>
      </c>
      <c r="D1345" s="2" t="str">
        <f t="shared" si="20"/>
        <v>Error?</v>
      </c>
    </row>
    <row r="1346" spans="1:4" x14ac:dyDescent="0.2">
      <c r="A1346" s="5">
        <v>1285</v>
      </c>
      <c r="B1346" s="1832">
        <f>'Expenditures 15-22'!D210</f>
        <v>9575</v>
      </c>
      <c r="C1346" s="2" t="s">
        <v>569</v>
      </c>
      <c r="D1346" s="2" t="str">
        <f t="shared" si="20"/>
        <v>Error?</v>
      </c>
    </row>
    <row r="1347" spans="1:4" x14ac:dyDescent="0.2">
      <c r="A1347" s="5">
        <v>1286</v>
      </c>
      <c r="B1347" s="1832">
        <f>'Expenditures 15-22'!E182</f>
        <v>44829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44829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44829</v>
      </c>
      <c r="C1353" s="2" t="s">
        <v>569</v>
      </c>
      <c r="D1353" s="2" t="str">
        <f t="shared" si="20"/>
        <v>Error?</v>
      </c>
    </row>
    <row r="1354" spans="1:4" x14ac:dyDescent="0.2">
      <c r="A1354" s="5">
        <v>1293</v>
      </c>
      <c r="B1354" s="1832">
        <f>'Expenditures 15-22'!F182</f>
        <v>91661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91661</v>
      </c>
      <c r="C1358" s="2" t="s">
        <v>569</v>
      </c>
      <c r="D1358" s="2" t="str">
        <f t="shared" si="20"/>
        <v>Error?</v>
      </c>
    </row>
    <row r="1359" spans="1:4" x14ac:dyDescent="0.2">
      <c r="A1359" s="5">
        <v>1298</v>
      </c>
      <c r="B1359" s="1832">
        <f>'Expenditures 15-22'!F210</f>
        <v>91661</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13109</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13109</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192290</v>
      </c>
      <c r="C1375" s="2" t="s">
        <v>569</v>
      </c>
      <c r="D1375" s="2" t="str">
        <f t="shared" si="20"/>
        <v>Error?</v>
      </c>
    </row>
    <row r="1376" spans="1:4" x14ac:dyDescent="0.2">
      <c r="A1376" s="5">
        <v>1315</v>
      </c>
      <c r="B1376" s="1832">
        <f>'Expenditures 15-22'!H210</f>
        <v>205399</v>
      </c>
      <c r="C1376" s="2" t="s">
        <v>569</v>
      </c>
      <c r="D1376" s="2" t="str">
        <f t="shared" si="20"/>
        <v>Error?</v>
      </c>
    </row>
    <row r="1377" spans="1:4" x14ac:dyDescent="0.2">
      <c r="A1377" s="5">
        <v>1316</v>
      </c>
      <c r="B1377" s="1832">
        <f>'Expenditures 15-22'!K182</f>
        <v>504998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504998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192290</v>
      </c>
      <c r="C1387" s="2" t="s">
        <v>569</v>
      </c>
      <c r="D1387" s="2" t="str">
        <f t="shared" si="20"/>
        <v>Error?</v>
      </c>
    </row>
    <row r="1388" spans="1:4" x14ac:dyDescent="0.2">
      <c r="A1388" s="5">
        <v>1327</v>
      </c>
      <c r="B1388" s="1832">
        <f>'Expenditures 15-22'!K210</f>
        <v>697288</v>
      </c>
      <c r="C1388" s="2" t="s">
        <v>569</v>
      </c>
      <c r="D1388" s="2" t="str">
        <f t="shared" si="20"/>
        <v>Error?</v>
      </c>
    </row>
    <row r="1389" spans="1:4" x14ac:dyDescent="0.2">
      <c r="A1389" s="5">
        <v>1328</v>
      </c>
      <c r="B1389" s="1832">
        <f>'Expenditures 15-22'!K211</f>
        <v>271273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2670</v>
      </c>
      <c r="D1407" s="2" t="str">
        <f t="shared" ref="D1407:D1470" si="21">IF(ISBLANK(B1407),"OK",IF(A1407-B1407=0,"OK","Error?"))</f>
        <v>Error?</v>
      </c>
    </row>
    <row r="1408" spans="1:4" x14ac:dyDescent="0.2">
      <c r="A1408" s="5">
        <v>1347</v>
      </c>
      <c r="B1408" s="1832">
        <f>'Expenditures 15-22'!D223</f>
        <v>6561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117511</v>
      </c>
      <c r="C1410" s="2" t="s">
        <v>569</v>
      </c>
      <c r="D1410" s="2" t="str">
        <f t="shared" si="21"/>
        <v>Error?</v>
      </c>
    </row>
    <row r="1411" spans="1:4" x14ac:dyDescent="0.2">
      <c r="A1411" s="5">
        <v>1350</v>
      </c>
      <c r="B1411" s="1832">
        <f>'Expenditures 15-22'!D232</f>
        <v>726</v>
      </c>
      <c r="D1411" s="2" t="str">
        <f t="shared" si="21"/>
        <v>Error?</v>
      </c>
    </row>
    <row r="1412" spans="1:4" x14ac:dyDescent="0.2">
      <c r="A1412" s="5">
        <v>1351</v>
      </c>
      <c r="B1412" s="1832">
        <f>'Expenditures 15-22'!D233</f>
        <v>8432</v>
      </c>
      <c r="D1412" s="2" t="str">
        <f t="shared" si="21"/>
        <v>Error?</v>
      </c>
    </row>
    <row r="1413" spans="1:4" x14ac:dyDescent="0.2">
      <c r="A1413" s="5">
        <v>1352</v>
      </c>
      <c r="B1413" s="1832">
        <f>'Expenditures 15-22'!D234</f>
        <v>902</v>
      </c>
      <c r="D1413" s="2" t="str">
        <f t="shared" si="21"/>
        <v>Error?</v>
      </c>
    </row>
    <row r="1414" spans="1:4" x14ac:dyDescent="0.2">
      <c r="A1414" s="5">
        <v>1353</v>
      </c>
      <c r="B1414" s="1832">
        <f>'Expenditures 15-22'!D235</f>
        <v>1243</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11303</v>
      </c>
      <c r="C1417" s="2" t="s">
        <v>569</v>
      </c>
      <c r="D1417" s="2" t="str">
        <f t="shared" si="21"/>
        <v>Error?</v>
      </c>
    </row>
    <row r="1418" spans="1:4" x14ac:dyDescent="0.2">
      <c r="A1418" s="5">
        <v>1357</v>
      </c>
      <c r="B1418" s="1832">
        <f>'Expenditures 15-22'!D240</f>
        <v>102</v>
      </c>
      <c r="D1418" s="2" t="str">
        <f t="shared" si="21"/>
        <v>Error?</v>
      </c>
    </row>
    <row r="1419" spans="1:4" x14ac:dyDescent="0.2">
      <c r="A1419" s="5">
        <v>1358</v>
      </c>
      <c r="B1419" s="1832">
        <f>'Expenditures 15-22'!D241</f>
        <v>8023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8125</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11280</v>
      </c>
      <c r="D1423" s="2" t="str">
        <f t="shared" si="21"/>
        <v>Error?</v>
      </c>
    </row>
    <row r="1424" spans="1:4" x14ac:dyDescent="0.2">
      <c r="A1424" s="5">
        <v>1363</v>
      </c>
      <c r="B1424" s="1832">
        <f>'Expenditures 15-22'!D257</f>
        <v>11280</v>
      </c>
      <c r="C1424" s="2" t="s">
        <v>569</v>
      </c>
      <c r="D1424" s="2" t="str">
        <f t="shared" si="21"/>
        <v>Error?</v>
      </c>
    </row>
    <row r="1425" spans="1:4" x14ac:dyDescent="0.2">
      <c r="A1425" s="5">
        <v>1364</v>
      </c>
      <c r="B1425" s="1832">
        <f>'Expenditures 15-22'!D259</f>
        <v>27424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27424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9432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85381</v>
      </c>
      <c r="D1431" s="2" t="str">
        <f t="shared" si="21"/>
        <v>Error?</v>
      </c>
    </row>
    <row r="1432" spans="1:4" x14ac:dyDescent="0.2">
      <c r="A1432" s="5">
        <v>1371</v>
      </c>
      <c r="B1432" s="1832">
        <f>'Expenditures 15-22'!D267</f>
        <v>63138</v>
      </c>
      <c r="D1432" s="2" t="str">
        <f t="shared" si="21"/>
        <v>Error?</v>
      </c>
    </row>
    <row r="1433" spans="1:4" x14ac:dyDescent="0.2">
      <c r="A1433" s="5">
        <v>1372</v>
      </c>
      <c r="B1433" s="1832">
        <f>'Expenditures 15-22'!D268</f>
        <v>31819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189770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12558</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12558</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260460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377971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2670</v>
      </c>
      <c r="C1471" s="2" t="s">
        <v>569</v>
      </c>
      <c r="D1471" s="2" t="str">
        <f t="shared" ref="D1471:D1534" si="22">IF(ISBLANK(B1471),"OK",IF(A1471-B1471=0,"OK","Error?"))</f>
        <v>Error?</v>
      </c>
    </row>
    <row r="1472" spans="1:4" x14ac:dyDescent="0.2">
      <c r="A1472" s="5">
        <v>1411</v>
      </c>
      <c r="B1472" s="1832">
        <f>'Expenditures 15-22'!K223</f>
        <v>6561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117511</v>
      </c>
      <c r="C1474" s="2" t="s">
        <v>569</v>
      </c>
      <c r="D1474" s="2" t="str">
        <f t="shared" si="22"/>
        <v>Error?</v>
      </c>
    </row>
    <row r="1475" spans="1:4" x14ac:dyDescent="0.2">
      <c r="A1475" s="5">
        <v>1414</v>
      </c>
      <c r="B1475" s="1832">
        <f>'Expenditures 15-22'!K232</f>
        <v>726</v>
      </c>
      <c r="C1475" s="2" t="s">
        <v>569</v>
      </c>
      <c r="D1475" s="2" t="str">
        <f t="shared" si="22"/>
        <v>Error?</v>
      </c>
    </row>
    <row r="1476" spans="1:4" x14ac:dyDescent="0.2">
      <c r="A1476" s="5">
        <v>1415</v>
      </c>
      <c r="B1476" s="1832">
        <f>'Expenditures 15-22'!K233</f>
        <v>8432</v>
      </c>
      <c r="C1476" s="2" t="s">
        <v>569</v>
      </c>
      <c r="D1476" s="2" t="str">
        <f t="shared" si="22"/>
        <v>Error?</v>
      </c>
    </row>
    <row r="1477" spans="1:4" x14ac:dyDescent="0.2">
      <c r="A1477" s="5">
        <v>1416</v>
      </c>
      <c r="B1477" s="1832">
        <f>'Expenditures 15-22'!K234</f>
        <v>902</v>
      </c>
      <c r="C1477" s="2" t="s">
        <v>569</v>
      </c>
      <c r="D1477" s="2" t="str">
        <f t="shared" si="22"/>
        <v>Error?</v>
      </c>
    </row>
    <row r="1478" spans="1:4" x14ac:dyDescent="0.2">
      <c r="A1478" s="5">
        <v>1417</v>
      </c>
      <c r="B1478" s="1832">
        <f>'Expenditures 15-22'!K235</f>
        <v>1243</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11303</v>
      </c>
      <c r="C1481" s="2" t="s">
        <v>569</v>
      </c>
      <c r="D1481" s="2" t="str">
        <f t="shared" si="22"/>
        <v>Error?</v>
      </c>
    </row>
    <row r="1482" spans="1:4" x14ac:dyDescent="0.2">
      <c r="A1482" s="5">
        <v>1421</v>
      </c>
      <c r="B1482" s="1832">
        <f>'Expenditures 15-22'!K240</f>
        <v>102</v>
      </c>
      <c r="C1482" s="2" t="s">
        <v>569</v>
      </c>
      <c r="D1482" s="2" t="str">
        <f t="shared" si="22"/>
        <v>Error?</v>
      </c>
    </row>
    <row r="1483" spans="1:4" x14ac:dyDescent="0.2">
      <c r="A1483" s="5">
        <v>1422</v>
      </c>
      <c r="B1483" s="1832">
        <f>'Expenditures 15-22'!K241</f>
        <v>8023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8125</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11280</v>
      </c>
      <c r="C1487" s="2" t="s">
        <v>569</v>
      </c>
      <c r="D1487" s="2" t="str">
        <f t="shared" si="22"/>
        <v>Error?</v>
      </c>
    </row>
    <row r="1488" spans="1:4" x14ac:dyDescent="0.2">
      <c r="A1488" s="5">
        <v>1427</v>
      </c>
      <c r="B1488" s="1832">
        <f>'Expenditures 15-22'!K257</f>
        <v>11280</v>
      </c>
      <c r="C1488" s="2" t="s">
        <v>569</v>
      </c>
      <c r="D1488" s="2" t="str">
        <f t="shared" si="22"/>
        <v>Error?</v>
      </c>
    </row>
    <row r="1489" spans="1:4" x14ac:dyDescent="0.2">
      <c r="A1489" s="5">
        <v>1428</v>
      </c>
      <c r="B1489" s="1832">
        <f>'Expenditures 15-22'!K259</f>
        <v>27424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27424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9432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85381</v>
      </c>
      <c r="C1495" s="2" t="s">
        <v>569</v>
      </c>
      <c r="D1495" s="2" t="str">
        <f t="shared" si="22"/>
        <v>Error?</v>
      </c>
    </row>
    <row r="1496" spans="1:4" x14ac:dyDescent="0.2">
      <c r="A1496" s="5">
        <v>1435</v>
      </c>
      <c r="B1496" s="1832">
        <f>'Expenditures 15-22'!K267</f>
        <v>63138</v>
      </c>
      <c r="C1496" s="2" t="s">
        <v>569</v>
      </c>
      <c r="D1496" s="2" t="str">
        <f t="shared" si="22"/>
        <v>Error?</v>
      </c>
    </row>
    <row r="1497" spans="1:4" x14ac:dyDescent="0.2">
      <c r="A1497" s="5">
        <v>1436</v>
      </c>
      <c r="B1497" s="1832">
        <f>'Expenditures 15-22'!K268</f>
        <v>31819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189770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12558</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12558</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260460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377971</v>
      </c>
      <c r="C1517" s="2" t="s">
        <v>569</v>
      </c>
      <c r="D1517" s="2" t="str">
        <f t="shared" si="22"/>
        <v>Error?</v>
      </c>
    </row>
    <row r="1518" spans="1:4" x14ac:dyDescent="0.2">
      <c r="A1518" s="5">
        <v>1457</v>
      </c>
      <c r="B1518" s="1832">
        <f>'Expenditures 15-22'!K296</f>
        <v>22109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71915</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71915</v>
      </c>
      <c r="C1535" s="2" t="s">
        <v>569</v>
      </c>
      <c r="D1535" s="2" t="str">
        <f t="shared" ref="D1535:D1598" si="23">IF(ISBLANK(B1535),"OK",IF(A1535-B1535=0,"OK","Error?"))</f>
        <v>Error?</v>
      </c>
    </row>
    <row r="1536" spans="1:4" x14ac:dyDescent="0.2">
      <c r="A1536" s="5">
        <v>1475</v>
      </c>
      <c r="B1536" s="1832">
        <f>'Expenditures 15-22'!E312</f>
        <v>71915</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140524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140524</v>
      </c>
      <c r="C1547" s="2" t="s">
        <v>569</v>
      </c>
      <c r="D1547" s="2" t="str">
        <f t="shared" si="23"/>
        <v>Error?</v>
      </c>
    </row>
    <row r="1548" spans="1:4" x14ac:dyDescent="0.2">
      <c r="A1548" s="5">
        <v>1487</v>
      </c>
      <c r="B1548" s="1832">
        <f>'Expenditures 15-22'!G312</f>
        <v>140524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212439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212439</v>
      </c>
      <c r="C1559" s="2" t="s">
        <v>569</v>
      </c>
      <c r="D1559" s="2" t="str">
        <f t="shared" si="23"/>
        <v>Error?</v>
      </c>
    </row>
    <row r="1560" spans="1:4" x14ac:dyDescent="0.2">
      <c r="A1560" s="5">
        <v>1499</v>
      </c>
      <c r="B1560" s="1832">
        <f>'Expenditures 15-22'!K312</f>
        <v>212439</v>
      </c>
      <c r="C1560" s="2" t="s">
        <v>569</v>
      </c>
      <c r="D1560" s="2" t="str">
        <f t="shared" si="23"/>
        <v>Error?</v>
      </c>
    </row>
    <row r="1561" spans="1:4" x14ac:dyDescent="0.2">
      <c r="A1561" s="5">
        <v>1500</v>
      </c>
      <c r="B1561" s="1832">
        <f>'Expenditures 15-22'!K313</f>
        <v>421628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4753828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5231766</v>
      </c>
      <c r="C1630" s="2" t="s">
        <v>569</v>
      </c>
      <c r="D1630" s="2" t="str">
        <f t="shared" si="24"/>
        <v>Error?</v>
      </c>
    </row>
    <row r="1631" spans="1:4" x14ac:dyDescent="0.2">
      <c r="A1631" s="5">
        <v>1570</v>
      </c>
      <c r="B1631" s="1832">
        <f>'Acct Summary 7-8'!D79</f>
        <v>8812488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10191621</v>
      </c>
      <c r="C1644" s="2" t="s">
        <v>569</v>
      </c>
      <c r="D1644" s="2" t="str">
        <f t="shared" si="24"/>
        <v>Error?</v>
      </c>
    </row>
    <row r="1645" spans="1:4" x14ac:dyDescent="0.2">
      <c r="A1645" s="5">
        <v>1584</v>
      </c>
      <c r="B1645" s="1832">
        <f>'Acct Summary 7-8'!E79</f>
        <v>2291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38980</v>
      </c>
      <c r="C1658" s="2" t="s">
        <v>569</v>
      </c>
      <c r="D1658" s="2" t="str">
        <f t="shared" si="24"/>
        <v>Error?</v>
      </c>
    </row>
    <row r="1659" spans="1:4" x14ac:dyDescent="0.2">
      <c r="A1659" s="5">
        <v>1598</v>
      </c>
      <c r="B1659" s="1832">
        <f>'Acct Summary 7-8'!F79</f>
        <v>846763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1118036</v>
      </c>
      <c r="C1672" s="2" t="s">
        <v>569</v>
      </c>
      <c r="D1672" s="2" t="str">
        <f t="shared" si="25"/>
        <v>Error?</v>
      </c>
    </row>
    <row r="1673" spans="1:4" x14ac:dyDescent="0.2">
      <c r="A1673" s="5">
        <v>1612</v>
      </c>
      <c r="B1673" s="1832">
        <f>'Acct Summary 7-8'!G79</f>
        <v>141076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163185</v>
      </c>
      <c r="C1686" s="2" t="s">
        <v>569</v>
      </c>
      <c r="D1686" s="2" t="str">
        <f t="shared" si="25"/>
        <v>Error?</v>
      </c>
    </row>
    <row r="1687" spans="1:4" x14ac:dyDescent="0.2">
      <c r="A1687" s="5">
        <v>1626</v>
      </c>
      <c r="B1687" s="1832">
        <f>'Acct Summary 7-8'!H79</f>
        <v>-2303207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-1881579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3927258</v>
      </c>
      <c r="C1744" s="2" t="s">
        <v>569</v>
      </c>
      <c r="D1744" s="2" t="str">
        <f t="shared" si="26"/>
        <v>Error?</v>
      </c>
    </row>
    <row r="1745" spans="1:5" x14ac:dyDescent="0.2">
      <c r="A1745" s="5">
        <v>1684</v>
      </c>
      <c r="B1745" s="1832">
        <f>'Tax Sched 23'!B5</f>
        <v>1067204</v>
      </c>
      <c r="C1745" s="2" t="s">
        <v>569</v>
      </c>
      <c r="D1745" s="2" t="str">
        <f t="shared" si="26"/>
        <v>Error?</v>
      </c>
    </row>
    <row r="1746" spans="1:5" x14ac:dyDescent="0.2">
      <c r="A1746" s="5">
        <v>1685</v>
      </c>
      <c r="B1746" s="1832">
        <f>'Tax Sched 23'!B6</f>
        <v>641150</v>
      </c>
      <c r="C1746" s="2" t="s">
        <v>569</v>
      </c>
      <c r="D1746" s="2" t="str">
        <f t="shared" si="26"/>
        <v>Error?</v>
      </c>
    </row>
    <row r="1747" spans="1:5" x14ac:dyDescent="0.2">
      <c r="A1747" s="5">
        <v>1686</v>
      </c>
      <c r="B1747" s="1832">
        <f>'Tax Sched 23'!B7</f>
        <v>426873</v>
      </c>
      <c r="C1747" s="2" t="s">
        <v>569</v>
      </c>
      <c r="D1747" s="2" t="str">
        <f t="shared" si="26"/>
        <v>Error?</v>
      </c>
    </row>
    <row r="1748" spans="1:5" x14ac:dyDescent="0.2">
      <c r="A1748" s="5">
        <v>1687</v>
      </c>
      <c r="B1748" s="1832">
        <f>'Tax Sched 23'!B8</f>
        <v>341283</v>
      </c>
      <c r="C1748" s="2" t="s">
        <v>569</v>
      </c>
      <c r="D1748" s="2" t="str">
        <f t="shared" si="26"/>
        <v>Error?</v>
      </c>
    </row>
    <row r="1749" spans="1:5" x14ac:dyDescent="0.2">
      <c r="A1749" s="5">
        <v>1688</v>
      </c>
      <c r="B1749" s="1832">
        <f>'Tax Sched 23'!B10</f>
        <v>106717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421564</v>
      </c>
      <c r="C1752" s="2" t="s">
        <v>569</v>
      </c>
      <c r="D1752" s="2" t="str">
        <f t="shared" si="26"/>
        <v>Error?</v>
      </c>
    </row>
    <row r="1753" spans="1:5" x14ac:dyDescent="0.2">
      <c r="A1753" s="5">
        <v>1692</v>
      </c>
      <c r="B1753" s="1832">
        <f>'Tax Sched 23'!B12</f>
        <v>106717</v>
      </c>
      <c r="C1753" s="2" t="s">
        <v>569</v>
      </c>
      <c r="D1753" s="2" t="str">
        <f t="shared" si="26"/>
        <v>Error?</v>
      </c>
    </row>
    <row r="1754" spans="1:5" x14ac:dyDescent="0.2">
      <c r="A1754" s="5">
        <v>1693</v>
      </c>
      <c r="B1754" s="1832">
        <f>'Tax Sched 23'!B14</f>
        <v>85386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7230869</v>
      </c>
      <c r="C1759" s="2" t="s">
        <v>569</v>
      </c>
      <c r="D1759" s="2" t="str">
        <f t="shared" si="26"/>
        <v>Error?</v>
      </c>
    </row>
    <row r="1760" spans="1:5" x14ac:dyDescent="0.2">
      <c r="A1760" s="5">
        <v>1699</v>
      </c>
      <c r="B1760" s="1832">
        <f>'Tax Sched 23'!D4</f>
        <v>3927258</v>
      </c>
      <c r="C1760" s="2" t="s">
        <v>569</v>
      </c>
      <c r="D1760" s="2" t="str">
        <f t="shared" si="26"/>
        <v>Error?</v>
      </c>
    </row>
    <row r="1761" spans="1:7" x14ac:dyDescent="0.2">
      <c r="A1761" s="5">
        <v>1700</v>
      </c>
      <c r="B1761" s="1832">
        <f>'Tax Sched 23'!D5</f>
        <v>1067204</v>
      </c>
      <c r="C1761" s="2" t="s">
        <v>569</v>
      </c>
      <c r="D1761" s="2" t="str">
        <f t="shared" si="26"/>
        <v>Error?</v>
      </c>
    </row>
    <row r="1762" spans="1:7" s="8" customFormat="1" x14ac:dyDescent="0.2">
      <c r="A1762" s="5">
        <v>1701</v>
      </c>
      <c r="B1762" s="1832">
        <f>'Tax Sched 23'!D6</f>
        <v>641150</v>
      </c>
      <c r="C1762" s="2" t="s">
        <v>569</v>
      </c>
      <c r="D1762" s="2" t="str">
        <f t="shared" si="26"/>
        <v>Error?</v>
      </c>
      <c r="E1762" s="9"/>
      <c r="G1762"/>
    </row>
    <row r="1763" spans="1:7" x14ac:dyDescent="0.2">
      <c r="A1763" s="5">
        <v>1702</v>
      </c>
      <c r="B1763" s="1832">
        <f>'Tax Sched 23'!D7</f>
        <v>426873</v>
      </c>
      <c r="C1763" s="2" t="s">
        <v>569</v>
      </c>
      <c r="D1763" s="2" t="str">
        <f t="shared" si="26"/>
        <v>Error?</v>
      </c>
    </row>
    <row r="1764" spans="1:7" x14ac:dyDescent="0.2">
      <c r="A1764" s="5">
        <v>1703</v>
      </c>
      <c r="B1764" s="1832">
        <f>'Tax Sched 23'!D8</f>
        <v>341283</v>
      </c>
      <c r="C1764" s="2" t="s">
        <v>569</v>
      </c>
      <c r="D1764" s="2" t="str">
        <f t="shared" si="26"/>
        <v>Error?</v>
      </c>
    </row>
    <row r="1765" spans="1:7" x14ac:dyDescent="0.2">
      <c r="A1765" s="5">
        <v>1704</v>
      </c>
      <c r="B1765" s="1832">
        <f>'Tax Sched 23'!D10</f>
        <v>106717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421564</v>
      </c>
      <c r="C1768" s="2" t="s">
        <v>569</v>
      </c>
      <c r="D1768" s="2" t="str">
        <f t="shared" si="26"/>
        <v>Error?</v>
      </c>
    </row>
    <row r="1769" spans="1:7" x14ac:dyDescent="0.2">
      <c r="A1769" s="5">
        <v>1708</v>
      </c>
      <c r="B1769" s="1832">
        <f>'Tax Sched 23'!D12</f>
        <v>106717</v>
      </c>
      <c r="C1769" s="2" t="s">
        <v>569</v>
      </c>
      <c r="D1769" s="2" t="str">
        <f t="shared" si="26"/>
        <v>Error?</v>
      </c>
    </row>
    <row r="1770" spans="1:7" x14ac:dyDescent="0.2">
      <c r="A1770" s="5">
        <v>1709</v>
      </c>
      <c r="B1770" s="1832">
        <f>'Tax Sched 23'!D14</f>
        <v>85386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7230869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4089382</v>
      </c>
      <c r="C1792" s="2" t="s">
        <v>569</v>
      </c>
      <c r="D1792" s="2" t="str">
        <f t="shared" si="27"/>
        <v>Error?</v>
      </c>
    </row>
    <row r="1793" spans="1:4" x14ac:dyDescent="0.2">
      <c r="A1793" s="5">
        <v>1732</v>
      </c>
      <c r="B1793" s="1832">
        <f>'Tax Sched 23'!F5</f>
        <v>1111245</v>
      </c>
      <c r="C1793" s="2" t="s">
        <v>569</v>
      </c>
      <c r="D1793" s="2" t="str">
        <f t="shared" si="27"/>
        <v>Error?</v>
      </c>
    </row>
    <row r="1794" spans="1:4" x14ac:dyDescent="0.2">
      <c r="A1794" s="5">
        <v>1733</v>
      </c>
      <c r="B1794" s="1832">
        <f>'Tax Sched 23'!F6</f>
        <v>532731</v>
      </c>
      <c r="C1794" s="2" t="s">
        <v>569</v>
      </c>
      <c r="D1794" s="2" t="str">
        <f t="shared" si="27"/>
        <v>Error?</v>
      </c>
    </row>
    <row r="1795" spans="1:4" x14ac:dyDescent="0.2">
      <c r="A1795" s="5">
        <v>1734</v>
      </c>
      <c r="B1795" s="1832">
        <f>'Tax Sched 23'!F7</f>
        <v>444498</v>
      </c>
      <c r="C1795" s="2" t="s">
        <v>569</v>
      </c>
      <c r="D1795" s="2" t="str">
        <f t="shared" si="27"/>
        <v>Error?</v>
      </c>
    </row>
    <row r="1796" spans="1:4" x14ac:dyDescent="0.2">
      <c r="A1796" s="5">
        <v>1735</v>
      </c>
      <c r="B1796" s="1832">
        <f>'Tax Sched 23'!F8</f>
        <v>275145</v>
      </c>
      <c r="C1796" s="2" t="s">
        <v>569</v>
      </c>
      <c r="D1796" s="2" t="str">
        <f t="shared" si="27"/>
        <v>Error?</v>
      </c>
    </row>
    <row r="1797" spans="1:4" x14ac:dyDescent="0.2">
      <c r="A1797" s="5">
        <v>1736</v>
      </c>
      <c r="B1797" s="1832">
        <f>'Tax Sched 23'!F10</f>
        <v>111125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420051</v>
      </c>
      <c r="C1800" s="2" t="s">
        <v>569</v>
      </c>
      <c r="D1800" s="2" t="str">
        <f t="shared" si="27"/>
        <v>Error?</v>
      </c>
    </row>
    <row r="1801" spans="1:4" x14ac:dyDescent="0.2">
      <c r="A1801" s="5">
        <v>1740</v>
      </c>
      <c r="B1801" s="1832">
        <f>'Tax Sched 23'!F12</f>
        <v>111125</v>
      </c>
      <c r="C1801" s="2" t="s">
        <v>569</v>
      </c>
      <c r="D1801" s="2" t="str">
        <f t="shared" si="27"/>
        <v>Error?</v>
      </c>
    </row>
    <row r="1802" spans="1:4" x14ac:dyDescent="0.2">
      <c r="A1802" s="5">
        <v>1741</v>
      </c>
      <c r="B1802" s="1832">
        <f>'Tax Sched 23'!F14</f>
        <v>88900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7295327</v>
      </c>
      <c r="C1807" s="2" t="s">
        <v>569</v>
      </c>
      <c r="D1807" s="2" t="str">
        <f t="shared" si="27"/>
        <v>Error?</v>
      </c>
    </row>
    <row r="1808" spans="1:4" x14ac:dyDescent="0.2">
      <c r="A1808" s="5">
        <v>1747</v>
      </c>
      <c r="B1808" s="1832">
        <f>'Tax Sched 23'!E4</f>
        <v>4089382</v>
      </c>
      <c r="D1808" s="2" t="str">
        <f t="shared" si="27"/>
        <v>Error?</v>
      </c>
    </row>
    <row r="1809" spans="1:4" x14ac:dyDescent="0.2">
      <c r="A1809" s="5">
        <v>1748</v>
      </c>
      <c r="B1809" s="1832">
        <f>'Tax Sched 23'!E5</f>
        <v>1111245</v>
      </c>
      <c r="D1809" s="2" t="str">
        <f t="shared" si="27"/>
        <v>Error?</v>
      </c>
    </row>
    <row r="1810" spans="1:4" x14ac:dyDescent="0.2">
      <c r="A1810" s="5">
        <v>1749</v>
      </c>
      <c r="B1810" s="1832">
        <f>'Tax Sched 23'!E6</f>
        <v>532731</v>
      </c>
      <c r="D1810" s="2" t="str">
        <f t="shared" si="27"/>
        <v>Error?</v>
      </c>
    </row>
    <row r="1811" spans="1:4" x14ac:dyDescent="0.2">
      <c r="A1811" s="5">
        <v>1750</v>
      </c>
      <c r="B1811" s="1832">
        <f>'Tax Sched 23'!E7</f>
        <v>444498</v>
      </c>
      <c r="D1811" s="2" t="str">
        <f t="shared" si="27"/>
        <v>Error?</v>
      </c>
    </row>
    <row r="1812" spans="1:4" x14ac:dyDescent="0.2">
      <c r="A1812" s="5">
        <v>1751</v>
      </c>
      <c r="B1812" s="1832">
        <f>'Tax Sched 23'!E8</f>
        <v>275145</v>
      </c>
      <c r="D1812" s="2" t="str">
        <f t="shared" si="27"/>
        <v>Error?</v>
      </c>
    </row>
    <row r="1813" spans="1:4" x14ac:dyDescent="0.2">
      <c r="A1813" s="5">
        <v>1752</v>
      </c>
      <c r="B1813" s="1832">
        <f>'Tax Sched 23'!E10</f>
        <v>111125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420051</v>
      </c>
      <c r="D1816" s="2" t="str">
        <f t="shared" si="27"/>
        <v>Error?</v>
      </c>
    </row>
    <row r="1817" spans="1:4" x14ac:dyDescent="0.2">
      <c r="A1817" s="5">
        <v>1756</v>
      </c>
      <c r="B1817" s="1832">
        <f>'Tax Sched 23'!E12</f>
        <v>111125</v>
      </c>
      <c r="D1817" s="2" t="str">
        <f t="shared" si="27"/>
        <v>Error?</v>
      </c>
    </row>
    <row r="1818" spans="1:4" x14ac:dyDescent="0.2">
      <c r="A1818" s="5">
        <v>1757</v>
      </c>
      <c r="B1818" s="1832">
        <f>'Tax Sched 23'!E14</f>
        <v>88900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7295327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2539000</v>
      </c>
      <c r="C1939" s="2" t="s">
        <v>569</v>
      </c>
      <c r="D1939" s="2" t="str">
        <f t="shared" si="29"/>
        <v>Error?</v>
      </c>
    </row>
    <row r="1940" spans="1:5" x14ac:dyDescent="0.2">
      <c r="A1940" s="5">
        <v>1879</v>
      </c>
      <c r="B1940" s="1832">
        <f>'Short-Term Long-Term Debt 24'!F49</f>
        <v>1700000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85386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85386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85386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514108</v>
      </c>
      <c r="D2008" s="2" t="str">
        <f t="shared" si="30"/>
        <v>Error?</v>
      </c>
    </row>
    <row r="2009" spans="1:4" x14ac:dyDescent="0.2">
      <c r="A2009" s="5">
        <v>1948</v>
      </c>
      <c r="B2009" s="1832">
        <f>'Cap Outlay Deprec 26'!C8</f>
        <v>24986047</v>
      </c>
      <c r="D2009" s="2" t="str">
        <f t="shared" si="30"/>
        <v>Error?</v>
      </c>
    </row>
    <row r="2010" spans="1:4" x14ac:dyDescent="0.2">
      <c r="A2010" s="5">
        <v>1949</v>
      </c>
      <c r="B2010" s="1832">
        <f>'Cap Outlay Deprec 26'!C10</f>
        <v>1339518</v>
      </c>
      <c r="D2010" s="2" t="str">
        <f t="shared" si="30"/>
        <v>Error?</v>
      </c>
    </row>
    <row r="2011" spans="1:4" x14ac:dyDescent="0.2">
      <c r="A2011" s="5">
        <v>1950</v>
      </c>
      <c r="B2011" s="1832">
        <f>'Cap Outlay Deprec 26'!C12</f>
        <v>845788</v>
      </c>
      <c r="D2011" s="2" t="str">
        <f t="shared" si="30"/>
        <v>Error?</v>
      </c>
    </row>
    <row r="2012" spans="1:4" x14ac:dyDescent="0.2">
      <c r="A2012" s="5">
        <v>1951</v>
      </c>
      <c r="B2012" s="1832">
        <f>'Cap Outlay Deprec 26'!C13</f>
        <v>1554410</v>
      </c>
      <c r="D2012" s="2" t="str">
        <f t="shared" si="30"/>
        <v>Error?</v>
      </c>
    </row>
    <row r="2013" spans="1:4" x14ac:dyDescent="0.2">
      <c r="A2013" s="5">
        <v>1952</v>
      </c>
      <c r="B2013" s="1832">
        <f>'Cap Outlay Deprec 26'!C16</f>
        <v>29275283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1161482</v>
      </c>
      <c r="D2015" s="2" t="str">
        <f t="shared" si="30"/>
        <v>Error?</v>
      </c>
    </row>
    <row r="2016" spans="1:4" x14ac:dyDescent="0.2">
      <c r="A2016" s="5">
        <v>1955</v>
      </c>
      <c r="B2016" s="1832">
        <f>'Cap Outlay Deprec 26'!D10</f>
        <v>76338</v>
      </c>
      <c r="D2016" s="2" t="str">
        <f t="shared" si="30"/>
        <v>Error?</v>
      </c>
    </row>
    <row r="2017" spans="1:4" x14ac:dyDescent="0.2">
      <c r="A2017" s="5">
        <v>1956</v>
      </c>
      <c r="B2017" s="1832">
        <f>'Cap Outlay Deprec 26'!D12</f>
        <v>80446</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1318266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514108</v>
      </c>
      <c r="C2026" s="2" t="s">
        <v>569</v>
      </c>
      <c r="D2026" s="2" t="str">
        <f t="shared" si="30"/>
        <v>Error?</v>
      </c>
    </row>
    <row r="2027" spans="1:4" x14ac:dyDescent="0.2">
      <c r="A2027" s="5">
        <v>1966</v>
      </c>
      <c r="B2027" s="1832">
        <f>'Cap Outlay Deprec 26'!F8</f>
        <v>26147529</v>
      </c>
      <c r="C2027" s="2" t="s">
        <v>569</v>
      </c>
      <c r="D2027" s="2" t="str">
        <f t="shared" si="30"/>
        <v>Error?</v>
      </c>
    </row>
    <row r="2028" spans="1:4" x14ac:dyDescent="0.2">
      <c r="A2028" s="5">
        <v>1967</v>
      </c>
      <c r="B2028" s="1832">
        <f>'Cap Outlay Deprec 26'!F10</f>
        <v>1415856</v>
      </c>
      <c r="C2028" s="2" t="s">
        <v>569</v>
      </c>
      <c r="D2028" s="2" t="str">
        <f t="shared" si="30"/>
        <v>Error?</v>
      </c>
    </row>
    <row r="2029" spans="1:4" x14ac:dyDescent="0.2">
      <c r="A2029" s="5">
        <v>1968</v>
      </c>
      <c r="B2029" s="1832">
        <f>'Cap Outlay Deprec 26'!F12</f>
        <v>926234</v>
      </c>
      <c r="C2029" s="2" t="s">
        <v>569</v>
      </c>
      <c r="D2029" s="2" t="str">
        <f t="shared" si="30"/>
        <v>Error?</v>
      </c>
    </row>
    <row r="2030" spans="1:4" x14ac:dyDescent="0.2">
      <c r="A2030" s="5">
        <v>1969</v>
      </c>
      <c r="B2030" s="1832">
        <f>'Cap Outlay Deprec 26'!F13</f>
        <v>1554410</v>
      </c>
      <c r="C2030" s="2" t="s">
        <v>569</v>
      </c>
      <c r="D2030" s="2" t="str">
        <f t="shared" si="30"/>
        <v>Error?</v>
      </c>
    </row>
    <row r="2031" spans="1:4" x14ac:dyDescent="0.2">
      <c r="A2031" s="5">
        <v>1970</v>
      </c>
      <c r="B2031" s="1832">
        <f>'Cap Outlay Deprec 26'!F16</f>
        <v>30593549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10284922</v>
      </c>
      <c r="D2033" s="2" t="str">
        <f t="shared" si="30"/>
        <v>Error?</v>
      </c>
    </row>
    <row r="2034" spans="1:4" x14ac:dyDescent="0.2">
      <c r="A2034" s="5">
        <v>1973</v>
      </c>
      <c r="B2034" s="1832">
        <f>'Cap Outlay Deprec 26'!H10</f>
        <v>726878</v>
      </c>
      <c r="D2034" s="2" t="str">
        <f t="shared" si="30"/>
        <v>Error?</v>
      </c>
    </row>
    <row r="2035" spans="1:4" x14ac:dyDescent="0.2">
      <c r="A2035" s="5">
        <v>1974</v>
      </c>
      <c r="B2035" s="1832">
        <f>'Cap Outlay Deprec 26'!H12</f>
        <v>643287</v>
      </c>
      <c r="D2035" s="2" t="str">
        <f t="shared" si="30"/>
        <v>Error?</v>
      </c>
    </row>
    <row r="2036" spans="1:4" x14ac:dyDescent="0.2">
      <c r="A2036" s="5">
        <v>1975</v>
      </c>
      <c r="B2036" s="1832">
        <f>'Cap Outlay Deprec 26'!H13</f>
        <v>449765</v>
      </c>
      <c r="D2036" s="2" t="str">
        <f t="shared" si="30"/>
        <v>Error?</v>
      </c>
    </row>
    <row r="2037" spans="1:4" x14ac:dyDescent="0.2">
      <c r="A2037" s="5">
        <v>1976</v>
      </c>
      <c r="B2037" s="1832">
        <f>'Cap Outlay Deprec 26'!H16</f>
        <v>12140264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808341</v>
      </c>
      <c r="D2039" s="2" t="str">
        <f t="shared" si="30"/>
        <v>Error?</v>
      </c>
    </row>
    <row r="2040" spans="1:4" x14ac:dyDescent="0.2">
      <c r="A2040" s="5">
        <v>1979</v>
      </c>
      <c r="B2040" s="1832">
        <f>'Cap Outlay Deprec 26'!I10</f>
        <v>71793</v>
      </c>
      <c r="D2040" s="2" t="str">
        <f t="shared" si="30"/>
        <v>Error?</v>
      </c>
    </row>
    <row r="2041" spans="1:4" x14ac:dyDescent="0.2">
      <c r="A2041" s="5">
        <v>1980</v>
      </c>
      <c r="B2041" s="1832">
        <f>'Cap Outlay Deprec 26'!I12</f>
        <v>94283</v>
      </c>
      <c r="D2041" s="2" t="str">
        <f t="shared" si="30"/>
        <v>Error?</v>
      </c>
    </row>
    <row r="2042" spans="1:4" x14ac:dyDescent="0.2">
      <c r="A2042" s="5">
        <v>1981</v>
      </c>
      <c r="B2042" s="1832">
        <f>'Cap Outlay Deprec 26'!I13</f>
        <v>288531</v>
      </c>
      <c r="D2042" s="2" t="str">
        <f t="shared" si="30"/>
        <v>Error?</v>
      </c>
    </row>
    <row r="2043" spans="1:4" x14ac:dyDescent="0.2">
      <c r="A2043" s="5">
        <v>1982</v>
      </c>
      <c r="B2043" s="1832">
        <f>'Cap Outlay Deprec 26'!I16</f>
        <v>1262948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11093263</v>
      </c>
      <c r="C2051" s="2" t="s">
        <v>569</v>
      </c>
      <c r="D2051" s="2" t="str">
        <f t="shared" si="31"/>
        <v>Error?</v>
      </c>
    </row>
    <row r="2052" spans="1:4" x14ac:dyDescent="0.2">
      <c r="A2052" s="5">
        <v>1991</v>
      </c>
      <c r="B2052" s="1832">
        <f>'Cap Outlay Deprec 26'!K10</f>
        <v>798671</v>
      </c>
      <c r="C2052" s="2" t="s">
        <v>569</v>
      </c>
      <c r="D2052" s="2" t="str">
        <f t="shared" si="31"/>
        <v>Error?</v>
      </c>
    </row>
    <row r="2053" spans="1:4" x14ac:dyDescent="0.2">
      <c r="A2053" s="5">
        <v>1992</v>
      </c>
      <c r="B2053" s="1832">
        <f>'Cap Outlay Deprec 26'!K12</f>
        <v>737570</v>
      </c>
      <c r="C2053" s="2" t="s">
        <v>569</v>
      </c>
      <c r="D2053" s="2" t="str">
        <f t="shared" si="31"/>
        <v>Error?</v>
      </c>
    </row>
    <row r="2054" spans="1:4" x14ac:dyDescent="0.2">
      <c r="A2054" s="5">
        <v>1993</v>
      </c>
      <c r="B2054" s="1832">
        <f>'Cap Outlay Deprec 26'!K13</f>
        <v>738296</v>
      </c>
      <c r="C2054" s="2" t="s">
        <v>569</v>
      </c>
      <c r="D2054" s="2" t="str">
        <f t="shared" si="31"/>
        <v>Error?</v>
      </c>
    </row>
    <row r="2055" spans="1:4" x14ac:dyDescent="0.2">
      <c r="A2055" s="5">
        <v>1994</v>
      </c>
      <c r="B2055" s="1832">
        <f>'Cap Outlay Deprec 26'!K16</f>
        <v>13403212</v>
      </c>
      <c r="C2055" s="2" t="s">
        <v>569</v>
      </c>
      <c r="D2055" s="2" t="str">
        <f t="shared" si="31"/>
        <v>Error?</v>
      </c>
    </row>
    <row r="2056" spans="1:4" x14ac:dyDescent="0.2">
      <c r="A2056" s="5">
        <v>1995</v>
      </c>
      <c r="B2056" s="1832">
        <f>'Cap Outlay Deprec 26'!L5</f>
        <v>514108</v>
      </c>
      <c r="C2056" s="2" t="s">
        <v>569</v>
      </c>
      <c r="D2056" s="2" t="str">
        <f t="shared" si="31"/>
        <v>Error?</v>
      </c>
    </row>
    <row r="2057" spans="1:4" x14ac:dyDescent="0.2">
      <c r="A2057" s="5">
        <v>1996</v>
      </c>
      <c r="B2057" s="1832">
        <f>'Cap Outlay Deprec 26'!L8</f>
        <v>15054266</v>
      </c>
      <c r="C2057" s="2" t="s">
        <v>569</v>
      </c>
      <c r="D2057" s="2" t="str">
        <f t="shared" si="31"/>
        <v>Error?</v>
      </c>
    </row>
    <row r="2058" spans="1:4" x14ac:dyDescent="0.2">
      <c r="A2058" s="5">
        <v>1997</v>
      </c>
      <c r="B2058" s="1832">
        <f>'Cap Outlay Deprec 26'!L10</f>
        <v>617185</v>
      </c>
      <c r="C2058" s="2" t="s">
        <v>569</v>
      </c>
      <c r="D2058" s="2" t="str">
        <f t="shared" si="31"/>
        <v>Error?</v>
      </c>
    </row>
    <row r="2059" spans="1:4" x14ac:dyDescent="0.2">
      <c r="A2059" s="5">
        <v>1998</v>
      </c>
      <c r="B2059" s="1832">
        <f>'Cap Outlay Deprec 26'!L12</f>
        <v>188664</v>
      </c>
      <c r="C2059" s="2" t="s">
        <v>569</v>
      </c>
      <c r="D2059" s="2" t="str">
        <f t="shared" si="31"/>
        <v>Error?</v>
      </c>
    </row>
    <row r="2060" spans="1:4" x14ac:dyDescent="0.2">
      <c r="A2060" s="5">
        <v>1999</v>
      </c>
      <c r="B2060" s="1832">
        <f>'Cap Outlay Deprec 26'!L13</f>
        <v>816114</v>
      </c>
      <c r="C2060" s="2" t="s">
        <v>569</v>
      </c>
      <c r="D2060" s="2" t="str">
        <f t="shared" si="31"/>
        <v>Error?</v>
      </c>
    </row>
    <row r="2061" spans="1:4" x14ac:dyDescent="0.2">
      <c r="A2061" s="5">
        <v>2000</v>
      </c>
      <c r="B2061" s="1832">
        <f>'Cap Outlay Deprec 26'!L16</f>
        <v>17190337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646951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646951</v>
      </c>
      <c r="C2088" s="2" t="s">
        <v>569</v>
      </c>
      <c r="D2088" s="2" t="str">
        <f t="shared" si="31"/>
        <v>Error?</v>
      </c>
    </row>
    <row r="2089" spans="1:4" x14ac:dyDescent="0.2">
      <c r="A2089" s="5">
        <v>2028</v>
      </c>
      <c r="B2089" s="1832">
        <f>'Expenditures 15-22'!K92</f>
        <v>786</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10191621</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1118036</v>
      </c>
      <c r="D2475" s="2" t="str">
        <f t="shared" si="37"/>
        <v>Error?</v>
      </c>
    </row>
    <row r="2476" spans="1:4" x14ac:dyDescent="0.2">
      <c r="A2476" s="10">
        <v>2415</v>
      </c>
      <c r="B2476" s="1832"/>
      <c r="D2476" s="2" t="str">
        <f t="shared" si="37"/>
        <v>OK</v>
      </c>
    </row>
    <row r="2477" spans="1:4" x14ac:dyDescent="0.2">
      <c r="A2477" s="5">
        <v>2416</v>
      </c>
      <c r="B2477" s="1832">
        <f>'Assets-Liab 5-6'!G38</f>
        <v>163185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38980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6682115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983710</v>
      </c>
      <c r="C2553" s="2" t="s">
        <v>569</v>
      </c>
      <c r="D2553" s="2" t="str">
        <f t="shared" si="38"/>
        <v>Error?</v>
      </c>
    </row>
    <row r="2554" spans="1:4" x14ac:dyDescent="0.2">
      <c r="A2554" s="5">
        <v>2493</v>
      </c>
      <c r="B2554" s="1832">
        <f>'Acct Summary 7-8'!C7</f>
        <v>813622</v>
      </c>
      <c r="C2554" s="2" t="s">
        <v>569</v>
      </c>
      <c r="D2554" s="2" t="str">
        <f t="shared" si="38"/>
        <v>Error?</v>
      </c>
    </row>
    <row r="2555" spans="1:4" x14ac:dyDescent="0.2">
      <c r="A2555" s="5">
        <v>2494</v>
      </c>
      <c r="B2555" s="1832">
        <f>'Acct Summary 7-8'!C8</f>
        <v>8479447</v>
      </c>
      <c r="C2555" s="2" t="s">
        <v>569</v>
      </c>
      <c r="D2555" s="2" t="str">
        <f t="shared" si="38"/>
        <v>Error?</v>
      </c>
    </row>
    <row r="2556" spans="1:4" x14ac:dyDescent="0.2">
      <c r="A2556" s="5">
        <v>2495</v>
      </c>
      <c r="B2556" s="1832">
        <f>'Acct Summary 7-8'!C12</f>
        <v>5308138</v>
      </c>
      <c r="C2556" s="2" t="s">
        <v>569</v>
      </c>
      <c r="D2556" s="2" t="str">
        <f t="shared" si="38"/>
        <v>Error?</v>
      </c>
    </row>
    <row r="2557" spans="1:4" x14ac:dyDescent="0.2">
      <c r="A2557" s="5">
        <v>2496</v>
      </c>
      <c r="B2557" s="1832">
        <f>'Acct Summary 7-8'!C13</f>
        <v>2045634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647737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8001509</v>
      </c>
      <c r="C2561" s="2" t="s">
        <v>569</v>
      </c>
      <c r="D2561" s="2" t="str">
        <f t="shared" si="39"/>
        <v>Error?</v>
      </c>
    </row>
    <row r="2562" spans="1:4" x14ac:dyDescent="0.2">
      <c r="A2562" s="5">
        <v>2501</v>
      </c>
      <c r="B2562" s="1832">
        <f>'Acct Summary 7-8'!C20</f>
        <v>477938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2423550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2423550</v>
      </c>
      <c r="C2568" s="2" t="s">
        <v>569</v>
      </c>
      <c r="D2568" s="2" t="str">
        <f t="shared" si="39"/>
        <v>Error?</v>
      </c>
    </row>
    <row r="2569" spans="1:4" x14ac:dyDescent="0.2">
      <c r="A2569" s="5">
        <v>2508</v>
      </c>
      <c r="B2569" s="1832">
        <f>'Acct Summary 7-8'!D13</f>
        <v>1044417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1044417</v>
      </c>
      <c r="C2573" s="2" t="s">
        <v>569</v>
      </c>
      <c r="D2573" s="2" t="str">
        <f t="shared" si="39"/>
        <v>Error?</v>
      </c>
    </row>
    <row r="2574" spans="1:4" x14ac:dyDescent="0.2">
      <c r="A2574" s="5">
        <v>2513</v>
      </c>
      <c r="B2574" s="1832">
        <f>'Acct Summary 7-8'!D20</f>
        <v>1379133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542958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425603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968561</v>
      </c>
      <c r="C2595" s="2" t="s">
        <v>569</v>
      </c>
      <c r="D2595" s="2" t="str">
        <f t="shared" si="39"/>
        <v>Error?</v>
      </c>
    </row>
    <row r="2596" spans="1:4" x14ac:dyDescent="0.2">
      <c r="A2596" s="5">
        <v>2535</v>
      </c>
      <c r="B2596" s="1832">
        <f>'Acct Summary 7-8'!F13</f>
        <v>504998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192290</v>
      </c>
      <c r="C2599" s="2" t="s">
        <v>569</v>
      </c>
      <c r="D2599" s="2" t="str">
        <f t="shared" si="39"/>
        <v>Error?</v>
      </c>
    </row>
    <row r="2600" spans="1:4" x14ac:dyDescent="0.2">
      <c r="A2600" s="5">
        <v>2539</v>
      </c>
      <c r="B2600" s="1832">
        <f>'Acct Summary 7-8'!F17</f>
        <v>697288</v>
      </c>
      <c r="C2600" s="2" t="s">
        <v>569</v>
      </c>
      <c r="D2600" s="2" t="str">
        <f t="shared" si="39"/>
        <v>Error?</v>
      </c>
    </row>
    <row r="2601" spans="1:4" x14ac:dyDescent="0.2">
      <c r="A2601" s="5">
        <v>2540</v>
      </c>
      <c r="B2601" s="1832">
        <f>'Acct Summary 7-8'!F20</f>
        <v>271273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400080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400080</v>
      </c>
      <c r="C2606" s="2" t="s">
        <v>569</v>
      </c>
      <c r="D2606" s="2" t="str">
        <f t="shared" si="39"/>
        <v>Error?</v>
      </c>
    </row>
    <row r="2607" spans="1:4" x14ac:dyDescent="0.2">
      <c r="A2607" s="5">
        <v>2546</v>
      </c>
      <c r="B2607" s="1832">
        <f>'Acct Summary 7-8'!G12</f>
        <v>117511</v>
      </c>
      <c r="C2607" s="2" t="s">
        <v>569</v>
      </c>
      <c r="D2607" s="2" t="str">
        <f t="shared" si="39"/>
        <v>Error?</v>
      </c>
    </row>
    <row r="2608" spans="1:4" x14ac:dyDescent="0.2">
      <c r="A2608" s="5">
        <v>2547</v>
      </c>
      <c r="B2608" s="1832">
        <f>'Acct Summary 7-8'!G13</f>
        <v>260460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377971</v>
      </c>
      <c r="C2612" s="2" t="s">
        <v>569</v>
      </c>
      <c r="D2612" s="2" t="str">
        <f t="shared" si="39"/>
        <v>Error?</v>
      </c>
    </row>
    <row r="2613" spans="1:4" x14ac:dyDescent="0.2">
      <c r="A2613" s="5">
        <v>2552</v>
      </c>
      <c r="B2613" s="1832">
        <f>'Acct Summary 7-8'!G20</f>
        <v>22109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648554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648554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611865</v>
      </c>
      <c r="C2634" s="2" t="s">
        <v>569</v>
      </c>
      <c r="D2634" s="2" t="str">
        <f t="shared" si="40"/>
        <v>Error?</v>
      </c>
    </row>
    <row r="2635" spans="1:4" x14ac:dyDescent="0.2">
      <c r="A2635" s="5">
        <v>2574</v>
      </c>
      <c r="B2635" s="1832">
        <f>'Acct Summary 7-8'!E17</f>
        <v>611865</v>
      </c>
      <c r="C2635" s="2" t="s">
        <v>569</v>
      </c>
      <c r="D2635" s="2" t="str">
        <f t="shared" si="40"/>
        <v>Error?</v>
      </c>
    </row>
    <row r="2636" spans="1:4" x14ac:dyDescent="0.2">
      <c r="A2636" s="5">
        <v>2575</v>
      </c>
      <c r="B2636" s="1832">
        <f>'Acct Summary 7-8'!E20</f>
        <v>36689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634067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634067</v>
      </c>
      <c r="C2658" s="2" t="s">
        <v>569</v>
      </c>
      <c r="D2658" s="2" t="str">
        <f t="shared" si="40"/>
        <v>Error?</v>
      </c>
    </row>
    <row r="2659" spans="1:4" x14ac:dyDescent="0.2">
      <c r="A2659" s="5">
        <v>2598</v>
      </c>
      <c r="B2659" s="1832">
        <f>'Acct Summary 7-8'!H13</f>
        <v>212439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212439</v>
      </c>
      <c r="C2661" s="2" t="s">
        <v>569</v>
      </c>
      <c r="D2661" s="2" t="str">
        <f t="shared" si="40"/>
        <v>Error?</v>
      </c>
    </row>
    <row r="2662" spans="1:4" x14ac:dyDescent="0.2">
      <c r="A2662" s="5">
        <v>2601</v>
      </c>
      <c r="B2662" s="1832">
        <f>'Acct Summary 7-8'!H20</f>
        <v>421628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1779862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572786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1779862</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1779862</v>
      </c>
      <c r="C2913" s="2" t="s">
        <v>569</v>
      </c>
      <c r="D2913" s="2" t="str">
        <f t="shared" si="44"/>
        <v>Error?</v>
      </c>
    </row>
    <row r="2914" spans="1:4" x14ac:dyDescent="0.2">
      <c r="A2914" s="5">
        <v>2853</v>
      </c>
      <c r="B2914" s="1832">
        <f>'Assets-Liab 5-6'!L33</f>
        <v>572786</v>
      </c>
      <c r="D2914" s="2" t="str">
        <f t="shared" si="44"/>
        <v>Error?</v>
      </c>
    </row>
    <row r="2915" spans="1:4" x14ac:dyDescent="0.2">
      <c r="A2915" s="10">
        <v>2854</v>
      </c>
      <c r="B2915" s="1832"/>
      <c r="D2915" s="2" t="str">
        <f t="shared" si="44"/>
        <v>OK</v>
      </c>
    </row>
    <row r="2916" spans="1:4" x14ac:dyDescent="0.2">
      <c r="A2916" s="5">
        <v>2855</v>
      </c>
      <c r="B2916" s="1832">
        <f>'Assets-Liab 5-6'!L34</f>
        <v>572786</v>
      </c>
      <c r="C2916" s="2" t="s">
        <v>569</v>
      </c>
      <c r="D2916" s="2" t="str">
        <f t="shared" si="44"/>
        <v>Error?</v>
      </c>
    </row>
    <row r="2917" spans="1:4" x14ac:dyDescent="0.2">
      <c r="A2917" s="5">
        <v>2856</v>
      </c>
      <c r="B2917" s="1832">
        <f>'Assets-Liab 5-6'!L41</f>
        <v>572786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9812</v>
      </c>
      <c r="D2955" s="2" t="str">
        <f t="shared" si="45"/>
        <v>Error?</v>
      </c>
    </row>
    <row r="2956" spans="1:4" x14ac:dyDescent="0.2">
      <c r="A2956" s="5">
        <v>2895</v>
      </c>
      <c r="B2956" s="1832">
        <f>'Expenditures 15-22'!H79</f>
        <v>600110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37029</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9812</v>
      </c>
      <c r="C2973" s="2" t="s">
        <v>569</v>
      </c>
      <c r="D2973" s="2" t="str">
        <f t="shared" si="45"/>
        <v>Error?</v>
      </c>
    </row>
    <row r="2974" spans="1:4" x14ac:dyDescent="0.2">
      <c r="A2974" s="5">
        <v>2913</v>
      </c>
      <c r="B2974" s="1832">
        <f>'Expenditures 15-22'!K79</f>
        <v>600110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37029</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69275</v>
      </c>
      <c r="D3055" s="2" t="str">
        <f t="shared" si="46"/>
        <v>Error?</v>
      </c>
    </row>
    <row r="3056" spans="1:4" x14ac:dyDescent="0.2">
      <c r="A3056" s="5">
        <v>2995</v>
      </c>
      <c r="B3056" s="1832">
        <f>'Expenditures 15-22'!D10</f>
        <v>23121</v>
      </c>
      <c r="D3056" s="2" t="str">
        <f t="shared" si="46"/>
        <v>Error?</v>
      </c>
    </row>
    <row r="3057" spans="1:4" x14ac:dyDescent="0.2">
      <c r="A3057" s="5">
        <v>2996</v>
      </c>
      <c r="B3057" s="1832">
        <f>'Expenditures 15-22'!E10</f>
        <v>31853</v>
      </c>
      <c r="D3057" s="2" t="str">
        <f t="shared" si="46"/>
        <v>Error?</v>
      </c>
    </row>
    <row r="3058" spans="1:4" x14ac:dyDescent="0.2">
      <c r="A3058" s="5">
        <v>2997</v>
      </c>
      <c r="B3058" s="1832">
        <f>'Expenditures 15-22'!F10</f>
        <v>19686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143935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978</v>
      </c>
      <c r="D3064" s="2" t="str">
        <f t="shared" si="46"/>
        <v>Error?</v>
      </c>
    </row>
    <row r="3065" spans="1:4" x14ac:dyDescent="0.2">
      <c r="A3065" s="5">
        <v>3004</v>
      </c>
      <c r="B3065" s="1832">
        <f>'Expenditures 15-22'!K219</f>
        <v>978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129272</v>
      </c>
      <c r="C3225" s="2" t="s">
        <v>569</v>
      </c>
      <c r="D3225" s="2" t="str">
        <f t="shared" si="49"/>
        <v>Error?</v>
      </c>
    </row>
    <row r="3226" spans="1:4" x14ac:dyDescent="0.2">
      <c r="A3226" s="5">
        <v>3165</v>
      </c>
      <c r="B3226" s="1832">
        <f>'Acct Summary 7-8'!I8</f>
        <v>129272</v>
      </c>
      <c r="C3226" s="2" t="s">
        <v>569</v>
      </c>
      <c r="D3226" s="2" t="str">
        <f t="shared" si="49"/>
        <v>Error?</v>
      </c>
    </row>
    <row r="3227" spans="1:4" x14ac:dyDescent="0.2">
      <c r="A3227" s="5">
        <v>3166</v>
      </c>
      <c r="B3227" s="1832">
        <f>'Acct Summary 7-8'!I20</f>
        <v>129272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477938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1379133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271273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22109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36689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421628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129272</v>
      </c>
      <c r="C3320" s="2" t="s">
        <v>569</v>
      </c>
      <c r="D3320" s="2" t="str">
        <f t="shared" si="50"/>
        <v>Error?</v>
      </c>
    </row>
    <row r="3321" spans="1:4" x14ac:dyDescent="0.2">
      <c r="A3321" s="5">
        <v>3260</v>
      </c>
      <c r="B3321" s="1832">
        <f>'Acct Summary 7-8'!I79</f>
        <v>1650590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1779862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418672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125157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4090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547919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61707</v>
      </c>
      <c r="D3387" s="2" t="str">
        <f t="shared" si="51"/>
        <v>Error?</v>
      </c>
    </row>
    <row r="3388" spans="1:4" x14ac:dyDescent="0.2">
      <c r="A3388" s="5">
        <v>3327</v>
      </c>
      <c r="B3388" s="1832">
        <f>'Expenditures 15-22'!D217</f>
        <v>35031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61707</v>
      </c>
      <c r="C3390" s="2" t="s">
        <v>569</v>
      </c>
      <c r="D3390" s="2" t="str">
        <f t="shared" si="51"/>
        <v>Error?</v>
      </c>
    </row>
    <row r="3391" spans="1:4" x14ac:dyDescent="0.2">
      <c r="A3391" s="5">
        <v>3330</v>
      </c>
      <c r="B3391" s="1832">
        <f>'Expenditures 15-22'!K217</f>
        <v>35031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3128473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7498451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381550</v>
      </c>
      <c r="D3417" s="2" t="str">
        <f t="shared" si="52"/>
        <v>Error?</v>
      </c>
    </row>
    <row r="3418" spans="1:4" x14ac:dyDescent="0.2">
      <c r="A3418" s="10">
        <v>3357</v>
      </c>
      <c r="B3418" s="1832"/>
      <c r="D3418" s="2" t="str">
        <f t="shared" si="52"/>
        <v>OK</v>
      </c>
    </row>
    <row r="3419" spans="1:4" x14ac:dyDescent="0.2">
      <c r="A3419" s="5">
        <v>3358</v>
      </c>
      <c r="B3419" s="1832">
        <f>'Assets-Liab 5-6'!F4</f>
        <v>1118036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163185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516953</v>
      </c>
      <c r="D3425" s="2" t="str">
        <f t="shared" si="52"/>
        <v>Error?</v>
      </c>
    </row>
    <row r="3426" spans="1:4" x14ac:dyDescent="0.2">
      <c r="A3426" s="10">
        <v>3365</v>
      </c>
      <c r="B3426" s="1832"/>
      <c r="D3426" s="2" t="str">
        <f t="shared" si="52"/>
        <v>OK</v>
      </c>
    </row>
    <row r="3427" spans="1:4" x14ac:dyDescent="0.2">
      <c r="A3427" s="5">
        <v>3366</v>
      </c>
      <c r="B3427" s="1832">
        <f>'Assets-Liab 5-6'!I4</f>
        <v>1437292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572786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896369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896369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896369</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896369</v>
      </c>
      <c r="C3568" s="2" t="s">
        <v>569</v>
      </c>
      <c r="D3568" s="2" t="str">
        <f t="shared" si="54"/>
        <v>Error?</v>
      </c>
    </row>
    <row r="3569" spans="1:4" x14ac:dyDescent="0.2">
      <c r="A3569" s="5">
        <v>3508</v>
      </c>
      <c r="B3569" s="1832">
        <f>'Acct Summary 7-8'!K4</f>
        <v>160956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160956</v>
      </c>
      <c r="C3571" s="2" t="s">
        <v>569</v>
      </c>
      <c r="D3571" s="2" t="str">
        <f t="shared" si="54"/>
        <v>Error?</v>
      </c>
    </row>
    <row r="3572" spans="1:4" x14ac:dyDescent="0.2">
      <c r="A3572" s="5">
        <v>3511</v>
      </c>
      <c r="B3572" s="1832">
        <f>'Acct Summary 7-8'!K13</f>
        <v>1165186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1165186</v>
      </c>
      <c r="C3575" s="2" t="s">
        <v>569</v>
      </c>
      <c r="D3575" s="2" t="str">
        <f t="shared" si="54"/>
        <v>Error?</v>
      </c>
    </row>
    <row r="3576" spans="1:4" x14ac:dyDescent="0.2">
      <c r="A3576" s="5">
        <v>3515</v>
      </c>
      <c r="B3576" s="1832">
        <f>'Acct Summary 7-8'!K20</f>
        <v>-1004230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1700000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1700000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1700000</v>
      </c>
      <c r="C3587" s="2" t="s">
        <v>569</v>
      </c>
      <c r="D3587" s="2" t="str">
        <f t="shared" si="55"/>
        <v>Error?</v>
      </c>
    </row>
    <row r="3588" spans="1:4" x14ac:dyDescent="0.2">
      <c r="A3588" s="5">
        <v>3527</v>
      </c>
      <c r="B3588" s="1832">
        <f>'Acct Summary 7-8'!K78</f>
        <v>695770</v>
      </c>
      <c r="C3588" s="2" t="s">
        <v>569</v>
      </c>
      <c r="D3588" s="2" t="str">
        <f t="shared" si="55"/>
        <v>Error?</v>
      </c>
    </row>
    <row r="3589" spans="1:4" x14ac:dyDescent="0.2">
      <c r="A3589" s="5">
        <v>3528</v>
      </c>
      <c r="B3589" s="1832">
        <f>'Acct Summary 7-8'!K79</f>
        <v>200599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896369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3704</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3704</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3704</v>
      </c>
      <c r="C3635" s="2" t="s">
        <v>569</v>
      </c>
      <c r="D3635" s="2" t="str">
        <f t="shared" si="55"/>
        <v>Error?</v>
      </c>
    </row>
    <row r="3636" spans="1:4" x14ac:dyDescent="0.2">
      <c r="A3636" s="5">
        <v>3575</v>
      </c>
      <c r="B3636" s="1832">
        <f>'Expenditures 15-22'!E367</f>
        <v>3704</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1161482</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1161482</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1161482</v>
      </c>
      <c r="C3649" s="2" t="s">
        <v>569</v>
      </c>
      <c r="D3649" s="2" t="str">
        <f t="shared" si="56"/>
        <v>Error?</v>
      </c>
    </row>
    <row r="3650" spans="1:4" x14ac:dyDescent="0.2">
      <c r="A3650" s="5">
        <v>3589</v>
      </c>
      <c r="B3650" s="1832">
        <f>'Expenditures 15-22'!G367</f>
        <v>1161482</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1165186</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1165186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1165186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1165186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-1004230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106717</v>
      </c>
      <c r="C3725" s="2" t="s">
        <v>569</v>
      </c>
      <c r="D3725" s="2" t="str">
        <f t="shared" si="57"/>
        <v>Error?</v>
      </c>
    </row>
    <row r="3726" spans="1:4" x14ac:dyDescent="0.2">
      <c r="A3726" s="5">
        <v>3665</v>
      </c>
      <c r="B3726" s="1832">
        <f>'Tax Sched 23'!D13</f>
        <v>106717</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111125</v>
      </c>
      <c r="C3728" s="2" t="s">
        <v>569</v>
      </c>
      <c r="D3728" s="2" t="str">
        <f t="shared" si="57"/>
        <v>Error?</v>
      </c>
    </row>
    <row r="3729" spans="1:4" x14ac:dyDescent="0.2">
      <c r="A3729" s="5">
        <v>3668</v>
      </c>
      <c r="B3729" s="1832">
        <f>'Tax Sched 23'!E13</f>
        <v>111125</v>
      </c>
      <c r="D3729" s="2" t="str">
        <f t="shared" si="57"/>
        <v>Error?</v>
      </c>
    </row>
    <row r="3730" spans="1:4" x14ac:dyDescent="0.2">
      <c r="A3730" s="5">
        <v>3669</v>
      </c>
      <c r="B3730" s="1832">
        <f>'ICR Computation 30'!E10</f>
        <v>167305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4136020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12615467</v>
      </c>
      <c r="C4122" s="2" t="s">
        <v>569</v>
      </c>
      <c r="D4122" s="2" t="str">
        <f t="shared" si="63"/>
        <v>Error?</v>
      </c>
    </row>
    <row r="4123" spans="1:4" x14ac:dyDescent="0.2">
      <c r="A4123" s="5">
        <v>4062</v>
      </c>
      <c r="B4123" s="1832">
        <f>'Acct Summary 7-8'!D10</f>
        <v>2423550</v>
      </c>
      <c r="C4123" s="2" t="s">
        <v>569</v>
      </c>
      <c r="D4123" s="2" t="str">
        <f t="shared" si="63"/>
        <v>Error?</v>
      </c>
    </row>
    <row r="4124" spans="1:4" x14ac:dyDescent="0.2">
      <c r="A4124" s="5">
        <v>4063</v>
      </c>
      <c r="B4124" s="1832">
        <f>'Acct Summary 7-8'!E10</f>
        <v>648554</v>
      </c>
      <c r="C4124" s="2" t="s">
        <v>569</v>
      </c>
      <c r="D4124" s="2" t="str">
        <f t="shared" si="63"/>
        <v>Error?</v>
      </c>
    </row>
    <row r="4125" spans="1:4" x14ac:dyDescent="0.2">
      <c r="A4125" s="5">
        <v>4064</v>
      </c>
      <c r="B4125" s="1832">
        <f>'Acct Summary 7-8'!F10</f>
        <v>968561</v>
      </c>
      <c r="C4125" s="2" t="s">
        <v>569</v>
      </c>
      <c r="D4125" s="2" t="str">
        <f t="shared" si="63"/>
        <v>Error?</v>
      </c>
    </row>
    <row r="4126" spans="1:4" x14ac:dyDescent="0.2">
      <c r="A4126" s="5">
        <v>4065</v>
      </c>
      <c r="B4126" s="1832">
        <f>'Acct Summary 7-8'!G10</f>
        <v>400080</v>
      </c>
      <c r="C4126" s="2" t="s">
        <v>569</v>
      </c>
      <c r="D4126" s="2" t="str">
        <f t="shared" si="63"/>
        <v>Error?</v>
      </c>
    </row>
    <row r="4127" spans="1:4" x14ac:dyDescent="0.2">
      <c r="A4127" s="5">
        <v>4066</v>
      </c>
      <c r="B4127" s="1832">
        <f>'Acct Summary 7-8'!H10</f>
        <v>634067</v>
      </c>
      <c r="C4127" s="2" t="s">
        <v>569</v>
      </c>
      <c r="D4127" s="2" t="str">
        <f t="shared" si="63"/>
        <v>Error?</v>
      </c>
    </row>
    <row r="4128" spans="1:4" x14ac:dyDescent="0.2">
      <c r="A4128" s="5">
        <v>4067</v>
      </c>
      <c r="B4128" s="1832">
        <f>'Acct Summary 7-8'!I10</f>
        <v>129272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160956</v>
      </c>
      <c r="C4130" s="2" t="s">
        <v>569</v>
      </c>
      <c r="D4130" s="2" t="str">
        <f t="shared" si="63"/>
        <v>Error?</v>
      </c>
    </row>
    <row r="4131" spans="1:4" x14ac:dyDescent="0.2">
      <c r="A4131" s="5">
        <v>4070</v>
      </c>
      <c r="B4131" s="1832">
        <f>'Acct Summary 7-8'!C18</f>
        <v>4136020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12137529</v>
      </c>
      <c r="C4136" s="2" t="s">
        <v>569</v>
      </c>
      <c r="D4136" s="2" t="str">
        <f t="shared" si="63"/>
        <v>Error?</v>
      </c>
    </row>
    <row r="4137" spans="1:4" x14ac:dyDescent="0.2">
      <c r="A4137" s="5">
        <v>4076</v>
      </c>
      <c r="B4137" s="1832">
        <f>'Acct Summary 7-8'!D19</f>
        <v>1044417</v>
      </c>
      <c r="C4137" s="2" t="s">
        <v>569</v>
      </c>
      <c r="D4137" s="2" t="str">
        <f t="shared" si="63"/>
        <v>Error?</v>
      </c>
    </row>
    <row r="4138" spans="1:4" x14ac:dyDescent="0.2">
      <c r="A4138" s="5">
        <v>4077</v>
      </c>
      <c r="B4138" s="1832">
        <f>'Acct Summary 7-8'!E19</f>
        <v>611865</v>
      </c>
      <c r="C4138" s="2" t="s">
        <v>569</v>
      </c>
      <c r="D4138" s="2" t="str">
        <f t="shared" si="63"/>
        <v>Error?</v>
      </c>
    </row>
    <row r="4139" spans="1:4" x14ac:dyDescent="0.2">
      <c r="A4139" s="5">
        <v>4078</v>
      </c>
      <c r="B4139" s="1832">
        <f>'Acct Summary 7-8'!F19</f>
        <v>697288</v>
      </c>
      <c r="C4139" s="2" t="s">
        <v>569</v>
      </c>
      <c r="D4139" s="2" t="str">
        <f t="shared" si="63"/>
        <v>Error?</v>
      </c>
    </row>
    <row r="4140" spans="1:4" x14ac:dyDescent="0.2">
      <c r="A4140" s="5">
        <v>4079</v>
      </c>
      <c r="B4140" s="1832">
        <f>'Acct Summary 7-8'!G19</f>
        <v>377971</v>
      </c>
      <c r="C4140" s="2" t="s">
        <v>569</v>
      </c>
      <c r="D4140" s="2" t="str">
        <f t="shared" si="63"/>
        <v>Error?</v>
      </c>
    </row>
    <row r="4141" spans="1:4" x14ac:dyDescent="0.2">
      <c r="A4141" s="5">
        <v>4080</v>
      </c>
      <c r="B4141" s="1832">
        <f>'Acct Summary 7-8'!H19</f>
        <v>212439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1165186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3690000</v>
      </c>
      <c r="C4171" s="2" t="s">
        <v>569</v>
      </c>
      <c r="D4171" s="2" t="str">
        <f t="shared" si="64"/>
        <v>Error?</v>
      </c>
    </row>
    <row r="4172" spans="1:4" x14ac:dyDescent="0.2">
      <c r="A4172" s="5">
        <v>4111</v>
      </c>
      <c r="B4172" s="1832">
        <f>'Short-Term Long-Term Debt 24'!J49</f>
        <v>3651020</v>
      </c>
      <c r="C4172" s="2" t="s">
        <v>569</v>
      </c>
      <c r="D4172" s="2" t="str">
        <f t="shared" si="64"/>
        <v>Error?</v>
      </c>
    </row>
    <row r="4173" spans="1:4" x14ac:dyDescent="0.2">
      <c r="A4173" s="5">
        <v>4112</v>
      </c>
      <c r="B4173" s="1832">
        <f>'Short-Term Long-Term Debt 24'!H49</f>
        <v>549000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159282</v>
      </c>
      <c r="D4210" s="2" t="str">
        <f t="shared" si="64"/>
        <v>Error?</v>
      </c>
    </row>
    <row r="4211" spans="1:4" x14ac:dyDescent="0.2">
      <c r="A4211" s="5">
        <v>4150</v>
      </c>
      <c r="B4211" s="1832">
        <f>'Expenditures 15-22'!K206</f>
        <v>159282</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1840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2540</v>
      </c>
      <c r="C4268" s="2" t="s">
        <v>569</v>
      </c>
      <c r="D4268" s="2" t="str">
        <f t="shared" si="65"/>
        <v>Error?</v>
      </c>
    </row>
    <row r="4269" spans="1:5" x14ac:dyDescent="0.2">
      <c r="A4269" s="12">
        <v>4208</v>
      </c>
      <c r="B4269" s="1832">
        <f>'FP Info 3'!J16</f>
        <v>18321285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5558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75311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4339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51462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225131521</v>
      </c>
      <c r="D4995" s="2" t="str">
        <f t="shared" si="77"/>
        <v>Error?</v>
      </c>
    </row>
    <row r="4996" spans="1:4" x14ac:dyDescent="0.2">
      <c r="A4996" s="12">
        <v>4935</v>
      </c>
      <c r="B4996" s="1832">
        <f>'FP Info 3'!H31</f>
        <v>31068149.898000002</v>
      </c>
      <c r="D4996" s="2" t="str">
        <f t="shared" si="77"/>
        <v>Error?</v>
      </c>
    </row>
    <row r="4997" spans="1:4" x14ac:dyDescent="0.2">
      <c r="A4997" s="12">
        <v>4936</v>
      </c>
      <c r="B4997" s="1832">
        <f>'FP Info 3'!H37</f>
        <v>3690000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3927258</v>
      </c>
      <c r="D5061" s="2" t="str">
        <f t="shared" si="78"/>
        <v>Error?</v>
      </c>
    </row>
    <row r="5062" spans="1:4" x14ac:dyDescent="0.2">
      <c r="A5062" s="10">
        <v>5001</v>
      </c>
      <c r="B5062" s="1832"/>
      <c r="D5062" s="2" t="str">
        <f t="shared" si="78"/>
        <v>OK</v>
      </c>
    </row>
    <row r="5063" spans="1:4" x14ac:dyDescent="0.2">
      <c r="A5063" s="5">
        <v>5002</v>
      </c>
      <c r="B5063" s="1832">
        <f>'Revenues 9-14'!C7</f>
        <v>85386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4012644</v>
      </c>
      <c r="C5066" s="2" t="s">
        <v>569</v>
      </c>
      <c r="D5066" s="2" t="str">
        <f t="shared" si="78"/>
        <v>Error?</v>
      </c>
    </row>
    <row r="5067" spans="1:4" x14ac:dyDescent="0.2">
      <c r="A5067" s="5">
        <v>5006</v>
      </c>
      <c r="B5067" s="1832">
        <f>'Revenues 9-14'!C14</f>
        <v>16153</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1200000</v>
      </c>
      <c r="D5069" s="2" t="str">
        <f t="shared" si="78"/>
        <v>Error?</v>
      </c>
    </row>
    <row r="5070" spans="1:4" x14ac:dyDescent="0.2">
      <c r="A5070" s="5">
        <v>5009</v>
      </c>
      <c r="B5070" s="1832">
        <f>'Revenues 9-14'!C17</f>
        <v>701391</v>
      </c>
      <c r="D5070" s="2" t="str">
        <f t="shared" si="78"/>
        <v>Error?</v>
      </c>
    </row>
    <row r="5071" spans="1:4" x14ac:dyDescent="0.2">
      <c r="A5071" s="5">
        <v>5010</v>
      </c>
      <c r="B5071" s="1832">
        <f>'Revenues 9-14'!C18</f>
        <v>1917544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326650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9245</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335895</v>
      </c>
      <c r="C5087" s="2" t="s">
        <v>569</v>
      </c>
      <c r="D5087" s="2" t="str">
        <f t="shared" si="78"/>
        <v>Error?</v>
      </c>
    </row>
    <row r="5088" spans="1:4" x14ac:dyDescent="0.2">
      <c r="A5088" s="5">
        <v>5027</v>
      </c>
      <c r="B5088" s="1832">
        <f>'Revenues 9-14'!C65</f>
        <v>122536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122536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17675</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197310</v>
      </c>
      <c r="C5096" s="2" t="s">
        <v>569</v>
      </c>
      <c r="D5096" s="2" t="str">
        <f t="shared" si="78"/>
        <v>Error?</v>
      </c>
    </row>
    <row r="5097" spans="1:4" x14ac:dyDescent="0.2">
      <c r="A5097" s="5">
        <v>5036</v>
      </c>
      <c r="B5097" s="1832">
        <f>'Revenues 9-14'!C77</f>
        <v>20843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10915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31758</v>
      </c>
      <c r="C5102" s="2" t="s">
        <v>569</v>
      </c>
      <c r="D5102" s="2" t="str">
        <f t="shared" si="78"/>
        <v>Error?</v>
      </c>
    </row>
    <row r="5103" spans="1:4" x14ac:dyDescent="0.2">
      <c r="A5103" s="5">
        <v>5042</v>
      </c>
      <c r="B5103" s="1832">
        <f>'Revenues 9-14'!C84</f>
        <v>25275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25275</v>
      </c>
      <c r="C5112" s="2" t="s">
        <v>569</v>
      </c>
      <c r="D5112" s="2" t="str">
        <f t="shared" si="78"/>
        <v>Error?</v>
      </c>
    </row>
    <row r="5113" spans="1:4" x14ac:dyDescent="0.2">
      <c r="A5113" s="5">
        <v>5052</v>
      </c>
      <c r="B5113" s="1832">
        <f>'Revenues 9-14'!C95</f>
        <v>33595</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256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1052</v>
      </c>
      <c r="D5119" s="2" t="str">
        <f t="shared" ref="D5119:D5182" si="79">IF(ISBLANK(B5119),"OK",IF(A5119-B5119=0,"OK","Error?"))</f>
        <v>Error?</v>
      </c>
    </row>
    <row r="5120" spans="1:4" x14ac:dyDescent="0.2">
      <c r="A5120" s="5">
        <v>5059</v>
      </c>
      <c r="B5120" s="1832">
        <f>'Revenues 9-14'!C108</f>
        <v>39153</v>
      </c>
      <c r="C5120" s="2" t="s">
        <v>569</v>
      </c>
      <c r="D5120" s="2" t="str">
        <f t="shared" si="79"/>
        <v>Error?</v>
      </c>
    </row>
    <row r="5121" spans="1:4" x14ac:dyDescent="0.2">
      <c r="A5121" s="5">
        <v>5060</v>
      </c>
      <c r="B5121" s="1832">
        <f>'Revenues 9-14'!C109</f>
        <v>6682115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821219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821219</v>
      </c>
      <c r="C5132" s="2" t="s">
        <v>569</v>
      </c>
      <c r="D5132" s="2" t="str">
        <f t="shared" si="79"/>
        <v>Error?</v>
      </c>
    </row>
    <row r="5133" spans="1:4" x14ac:dyDescent="0.2">
      <c r="A5133" s="5">
        <v>5072</v>
      </c>
      <c r="B5133" s="1832">
        <f>'Revenues 9-14'!C125</f>
        <v>71209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66721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137930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9396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2080</v>
      </c>
      <c r="D5167" s="2" t="str">
        <f t="shared" si="79"/>
        <v>Error?</v>
      </c>
    </row>
    <row r="5168" spans="1:4" x14ac:dyDescent="0.2">
      <c r="A5168" s="5">
        <v>5107</v>
      </c>
      <c r="B5168" s="1832">
        <f>'Revenues 9-14'!C148</f>
        <v>13085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162491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983710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120098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22557</v>
      </c>
      <c r="D5241" s="2" t="str">
        <f t="shared" si="80"/>
        <v>Error?</v>
      </c>
    </row>
    <row r="5242" spans="1:4" x14ac:dyDescent="0.2">
      <c r="A5242" s="5">
        <v>5181</v>
      </c>
      <c r="B5242" s="1832">
        <f>'Revenues 9-14'!C194</f>
        <v>107338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249993</v>
      </c>
      <c r="C5246" s="2" t="s">
        <v>569</v>
      </c>
      <c r="D5246" s="2" t="str">
        <f t="shared" si="80"/>
        <v>Error?</v>
      </c>
    </row>
    <row r="5247" spans="1:4" x14ac:dyDescent="0.2">
      <c r="A5247" s="5">
        <v>5186</v>
      </c>
      <c r="B5247" s="1832">
        <f>'Revenues 9-14'!C200</f>
        <v>177543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4339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177543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241097</v>
      </c>
      <c r="D5278" s="2" t="str">
        <f t="shared" si="81"/>
        <v>Error?</v>
      </c>
    </row>
    <row r="5279" spans="1:4" x14ac:dyDescent="0.2">
      <c r="A5279" s="5">
        <v>5218</v>
      </c>
      <c r="B5279" s="1832">
        <f>'Revenues 9-14'!C214</f>
        <v>8319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249416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813622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813622</v>
      </c>
      <c r="C5326" s="2" t="s">
        <v>569</v>
      </c>
      <c r="D5326" s="2" t="str">
        <f t="shared" si="82"/>
        <v>Error?</v>
      </c>
    </row>
    <row r="5327" spans="1:5" x14ac:dyDescent="0.2">
      <c r="A5327" s="5">
        <v>5266</v>
      </c>
      <c r="B5327" s="1832">
        <f>'Revenues 9-14'!C268</f>
        <v>8479447</v>
      </c>
      <c r="C5327" s="2" t="s">
        <v>569</v>
      </c>
      <c r="D5327" s="2" t="str">
        <f t="shared" si="82"/>
        <v>Error?</v>
      </c>
    </row>
    <row r="5328" spans="1:5" x14ac:dyDescent="0.2">
      <c r="A5328" s="5">
        <v>5267</v>
      </c>
      <c r="B5328" s="1832">
        <f>'Revenues 9-14'!D5</f>
        <v>1067204</v>
      </c>
      <c r="D5328" s="2" t="str">
        <f t="shared" si="82"/>
        <v>Error?</v>
      </c>
    </row>
    <row r="5329" spans="1:4" x14ac:dyDescent="0.2">
      <c r="A5329" s="10">
        <v>5268</v>
      </c>
      <c r="B5329" s="1832"/>
      <c r="D5329" s="2" t="str">
        <f t="shared" si="82"/>
        <v>OK</v>
      </c>
    </row>
    <row r="5330" spans="1:4" x14ac:dyDescent="0.2">
      <c r="A5330" s="5">
        <v>5269</v>
      </c>
      <c r="B5330" s="1832">
        <f>'Revenues 9-14'!D6</f>
        <v>106717</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1173921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1137206</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1137206</v>
      </c>
      <c r="C5339" s="2" t="s">
        <v>569</v>
      </c>
      <c r="D5339" s="2" t="str">
        <f t="shared" si="82"/>
        <v>Error?</v>
      </c>
    </row>
    <row r="5340" spans="1:4" x14ac:dyDescent="0.2">
      <c r="A5340" s="5">
        <v>5279</v>
      </c>
      <c r="B5340" s="1832">
        <f>'Revenues 9-14'!D65</f>
        <v>103732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103732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8691</v>
      </c>
      <c r="D5354" s="2" t="str">
        <f t="shared" si="82"/>
        <v>Error?</v>
      </c>
    </row>
    <row r="5355" spans="1:4" x14ac:dyDescent="0.2">
      <c r="A5355" s="5">
        <v>5294</v>
      </c>
      <c r="B5355" s="1832">
        <f>'Revenues 9-14'!D108</f>
        <v>8691</v>
      </c>
      <c r="C5355" s="2" t="s">
        <v>569</v>
      </c>
      <c r="D5355" s="2" t="str">
        <f t="shared" si="82"/>
        <v>Error?</v>
      </c>
    </row>
    <row r="5356" spans="1:4" x14ac:dyDescent="0.2">
      <c r="A5356" s="5">
        <v>5295</v>
      </c>
      <c r="B5356" s="1832">
        <f>'Revenues 9-14'!D109</f>
        <v>2423550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2423550</v>
      </c>
      <c r="C5508" s="2" t="s">
        <v>569</v>
      </c>
      <c r="D5508" s="2" t="str">
        <f t="shared" si="85"/>
        <v>Error?</v>
      </c>
    </row>
    <row r="5509" spans="1:4" x14ac:dyDescent="0.2">
      <c r="A5509" s="5">
        <v>5448</v>
      </c>
      <c r="B5509" s="1832">
        <f>'Revenues 9-14'!E5</f>
        <v>641150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641150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7404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7404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648554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648554</v>
      </c>
      <c r="C5552" s="2" t="s">
        <v>569</v>
      </c>
      <c r="D5552" s="2" t="str">
        <f t="shared" si="85"/>
        <v>Error?</v>
      </c>
    </row>
    <row r="5553" spans="1:4" x14ac:dyDescent="0.2">
      <c r="A5553" s="5">
        <v>5492</v>
      </c>
      <c r="B5553" s="1832">
        <f>'Revenues 9-14'!F5</f>
        <v>426873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426873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95641</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95641</v>
      </c>
      <c r="C5579" s="2" t="s">
        <v>569</v>
      </c>
      <c r="D5579" s="2" t="str">
        <f t="shared" si="86"/>
        <v>Error?</v>
      </c>
    </row>
    <row r="5580" spans="1:4" x14ac:dyDescent="0.2">
      <c r="A5580" s="5">
        <v>5519</v>
      </c>
      <c r="B5580" s="1832">
        <f>'Revenues 9-14'!F65</f>
        <v>18201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18201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2243</v>
      </c>
      <c r="D5586" s="2" t="str">
        <f t="shared" si="86"/>
        <v>Error?</v>
      </c>
    </row>
    <row r="5587" spans="1:4" x14ac:dyDescent="0.2">
      <c r="A5587" s="5">
        <v>5526</v>
      </c>
      <c r="B5587" s="1832">
        <f>'Revenues 9-14'!F108</f>
        <v>2243</v>
      </c>
      <c r="C5587" s="2" t="s">
        <v>569</v>
      </c>
      <c r="D5587" s="2" t="str">
        <f t="shared" si="86"/>
        <v>Error?</v>
      </c>
    </row>
    <row r="5588" spans="1:4" x14ac:dyDescent="0.2">
      <c r="A5588" s="5">
        <v>5527</v>
      </c>
      <c r="B5588" s="1832">
        <f>'Revenues 9-14'!F109</f>
        <v>542958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270931</v>
      </c>
      <c r="D5615" s="2" t="str">
        <f t="shared" si="86"/>
        <v>Error?</v>
      </c>
    </row>
    <row r="5616" spans="1:4" x14ac:dyDescent="0.2">
      <c r="A5616" s="10">
        <v>5555</v>
      </c>
      <c r="B5616" s="1832"/>
      <c r="D5616" s="2" t="str">
        <f t="shared" si="86"/>
        <v>OK</v>
      </c>
    </row>
    <row r="5617" spans="1:5" x14ac:dyDescent="0.2">
      <c r="A5617" s="5">
        <v>5556</v>
      </c>
      <c r="B5617" s="1832">
        <f>'Revenues 9-14'!F153</f>
        <v>154672</v>
      </c>
      <c r="D5617" s="2" t="str">
        <f t="shared" si="86"/>
        <v>Error?</v>
      </c>
    </row>
    <row r="5618" spans="1:5" x14ac:dyDescent="0.2">
      <c r="A5618" s="5">
        <v>5557</v>
      </c>
      <c r="B5618" s="1832">
        <f>'Revenues 9-14'!F155</f>
        <v>425603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425603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425603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968561</v>
      </c>
      <c r="C5720" s="2" t="s">
        <v>569</v>
      </c>
      <c r="D5720" s="2" t="str">
        <f t="shared" si="88"/>
        <v>Error?</v>
      </c>
    </row>
    <row r="5721" spans="1:4" x14ac:dyDescent="0.2">
      <c r="A5721" s="5">
        <v>5660</v>
      </c>
      <c r="B5721" s="1832">
        <f>'Revenues 9-14'!G5</f>
        <v>341283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341283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55000</v>
      </c>
      <c r="C5730" s="2" t="s">
        <v>569</v>
      </c>
      <c r="D5730" s="2" t="str">
        <f t="shared" si="88"/>
        <v>Error?</v>
      </c>
    </row>
    <row r="5731" spans="1:4" x14ac:dyDescent="0.2">
      <c r="A5731" s="5">
        <v>5670</v>
      </c>
      <c r="B5731" s="1832">
        <f>'Revenues 9-14'!G65</f>
        <v>3797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3797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400080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3835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3835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630232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634067</v>
      </c>
      <c r="C5915" s="2" t="s">
        <v>569</v>
      </c>
      <c r="D5915" s="2" t="str">
        <f t="shared" si="91"/>
        <v>Error?</v>
      </c>
    </row>
    <row r="5916" spans="1:4" x14ac:dyDescent="0.2">
      <c r="A5916" s="5">
        <v>5855</v>
      </c>
      <c r="B5916" s="1832">
        <f>'Revenues 9-14'!I5</f>
        <v>106717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106717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22555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22555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129272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106717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106717</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4239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4239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50000</v>
      </c>
      <c r="D5998" s="2" t="str">
        <f t="shared" si="92"/>
        <v>Error?</v>
      </c>
    </row>
    <row r="5999" spans="1:4" x14ac:dyDescent="0.2">
      <c r="A5999" s="5">
        <v>5938</v>
      </c>
      <c r="B5999" s="1832">
        <f>'Revenues 9-14'!K108</f>
        <v>50000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160956</v>
      </c>
      <c r="C6023" s="2" t="s">
        <v>569</v>
      </c>
      <c r="D6023" s="2" t="str">
        <f t="shared" si="93"/>
        <v>Error?</v>
      </c>
    </row>
    <row r="6024" spans="1:5" x14ac:dyDescent="0.2">
      <c r="A6024" s="5">
        <v>5963</v>
      </c>
      <c r="B6024" s="1832">
        <f>'Revenues 9-14'!G109</f>
        <v>400080</v>
      </c>
      <c r="C6024" s="2" t="s">
        <v>569</v>
      </c>
      <c r="D6024" s="2" t="str">
        <f t="shared" si="93"/>
        <v>Error?</v>
      </c>
    </row>
    <row r="6025" spans="1:5" x14ac:dyDescent="0.2">
      <c r="A6025" s="5">
        <v>5964</v>
      </c>
      <c r="B6025" s="1832">
        <f>'Revenues 9-14'!H109</f>
        <v>634067</v>
      </c>
      <c r="C6025" s="2" t="s">
        <v>569</v>
      </c>
      <c r="D6025" s="2" t="str">
        <f t="shared" si="93"/>
        <v>Error?</v>
      </c>
    </row>
    <row r="6026" spans="1:5" x14ac:dyDescent="0.2">
      <c r="A6026" s="5">
        <v>5965</v>
      </c>
      <c r="B6026" s="1832">
        <f>'Revenues 9-14'!I109</f>
        <v>129272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160956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179635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39460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941.96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2398532</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342570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115110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342570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2398532</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115110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115110</v>
      </c>
      <c r="D6216" s="2" t="str">
        <f t="shared" si="96"/>
        <v>Error?</v>
      </c>
      <c r="E6216" s="2" t="s">
        <v>189</v>
      </c>
    </row>
    <row r="6217" spans="1:5" x14ac:dyDescent="0.2">
      <c r="A6217">
        <v>6156</v>
      </c>
      <c r="B6217" s="1832">
        <f>'Assets-Liab 5-6'!J4</f>
        <v>115110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425633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425633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425633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400000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400000</v>
      </c>
      <c r="D6229" s="2" t="str">
        <f t="shared" si="96"/>
        <v>Error?</v>
      </c>
      <c r="E6229" s="2" t="s">
        <v>189</v>
      </c>
    </row>
    <row r="6230" spans="1:5" x14ac:dyDescent="0.2">
      <c r="A6230">
        <v>6169</v>
      </c>
      <c r="B6230" s="1832">
        <f>'Acct Summary 7-8'!J20</f>
        <v>25633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25633</v>
      </c>
      <c r="D6263" s="2" t="str">
        <f t="shared" si="96"/>
        <v>Error?</v>
      </c>
      <c r="E6263" s="2" t="s">
        <v>189</v>
      </c>
    </row>
    <row r="6264" spans="1:5" x14ac:dyDescent="0.2">
      <c r="A6264">
        <v>6203</v>
      </c>
      <c r="B6264" s="1832">
        <f>'Acct Summary 7-8'!J79</f>
        <v>89477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115110</v>
      </c>
      <c r="D6266" s="2" t="str">
        <f t="shared" si="96"/>
        <v>Error?</v>
      </c>
      <c r="E6266" s="2" t="s">
        <v>189</v>
      </c>
    </row>
    <row r="6267" spans="1:5" x14ac:dyDescent="0.2">
      <c r="A6267">
        <v>6206</v>
      </c>
      <c r="B6267" s="1832">
        <f>'Acct Summary 7-8'!C82</f>
        <v>477938</v>
      </c>
      <c r="D6267" s="2" t="str">
        <f t="shared" si="96"/>
        <v>Error?</v>
      </c>
      <c r="E6267" s="2" t="s">
        <v>189</v>
      </c>
    </row>
    <row r="6268" spans="1:5" x14ac:dyDescent="0.2">
      <c r="A6268">
        <v>6207</v>
      </c>
      <c r="B6268" s="1832">
        <f>'Acct Summary 7-8'!D82</f>
        <v>1379133</v>
      </c>
      <c r="D6268" s="2" t="str">
        <f t="shared" si="96"/>
        <v>Error?</v>
      </c>
      <c r="E6268" s="2" t="s">
        <v>189</v>
      </c>
    </row>
    <row r="6269" spans="1:5" x14ac:dyDescent="0.2">
      <c r="A6269">
        <v>6208</v>
      </c>
      <c r="B6269" s="1832">
        <f>'Acct Summary 7-8'!E82</f>
        <v>36689</v>
      </c>
      <c r="D6269" s="2" t="str">
        <f t="shared" si="96"/>
        <v>Error?</v>
      </c>
      <c r="E6269" s="2" t="s">
        <v>189</v>
      </c>
    </row>
    <row r="6270" spans="1:5" x14ac:dyDescent="0.2">
      <c r="A6270">
        <v>6209</v>
      </c>
      <c r="B6270" s="1832">
        <f>'Acct Summary 7-8'!F82</f>
        <v>271273</v>
      </c>
      <c r="D6270" s="2" t="str">
        <f t="shared" si="96"/>
        <v>Error?</v>
      </c>
      <c r="E6270" s="2" t="s">
        <v>189</v>
      </c>
    </row>
    <row r="6271" spans="1:5" x14ac:dyDescent="0.2">
      <c r="A6271">
        <v>6210</v>
      </c>
      <c r="B6271" s="1832">
        <f>'Acct Summary 7-8'!G82</f>
        <v>22109</v>
      </c>
      <c r="D6271" s="2" t="str">
        <f t="shared" ref="D6271:D6334" si="97">IF(ISBLANK(B6271),"OK",IF(A6271-B6271=0,"OK","Error?"))</f>
        <v>Error?</v>
      </c>
      <c r="E6271" s="2" t="s">
        <v>189</v>
      </c>
    </row>
    <row r="6272" spans="1:5" x14ac:dyDescent="0.2">
      <c r="A6272">
        <v>6211</v>
      </c>
      <c r="B6272" s="1832">
        <f>'Acct Summary 7-8'!H82</f>
        <v>421628</v>
      </c>
      <c r="D6272" s="2" t="str">
        <f t="shared" si="97"/>
        <v>Error?</v>
      </c>
      <c r="E6272" s="2" t="s">
        <v>189</v>
      </c>
    </row>
    <row r="6273" spans="1:5" x14ac:dyDescent="0.2">
      <c r="A6273">
        <v>6212</v>
      </c>
      <c r="B6273" s="1832">
        <f>'Acct Summary 7-8'!I82</f>
        <v>129272</v>
      </c>
      <c r="D6273" s="2" t="str">
        <f t="shared" si="97"/>
        <v>Error?</v>
      </c>
      <c r="E6273" s="2" t="s">
        <v>189</v>
      </c>
    </row>
    <row r="6274" spans="1:5" x14ac:dyDescent="0.2">
      <c r="A6274">
        <v>6213</v>
      </c>
      <c r="B6274" s="1832">
        <f>'Acct Summary 7-8'!J82</f>
        <v>25633</v>
      </c>
      <c r="D6274" s="2" t="str">
        <f t="shared" si="97"/>
        <v>Error?</v>
      </c>
      <c r="E6274" s="2" t="s">
        <v>189</v>
      </c>
    </row>
    <row r="6275" spans="1:5" x14ac:dyDescent="0.2">
      <c r="A6275">
        <v>6214</v>
      </c>
      <c r="B6275" s="1832">
        <f>'Acct Summary 7-8'!K82</f>
        <v>695770</v>
      </c>
      <c r="D6275" s="2" t="str">
        <f t="shared" si="97"/>
        <v>Error?</v>
      </c>
      <c r="E6275" s="2" t="s">
        <v>189</v>
      </c>
    </row>
    <row r="6276" spans="1:5" x14ac:dyDescent="0.2">
      <c r="A6276">
        <v>6215</v>
      </c>
      <c r="B6276" s="1832">
        <f>'Acct Summary 7-8'!C83</f>
        <v>9.1353091862288946E-2</v>
      </c>
      <c r="D6276" s="2" t="str">
        <f t="shared" si="97"/>
        <v>Error?</v>
      </c>
      <c r="E6276" s="2" t="s">
        <v>189</v>
      </c>
    </row>
    <row r="6277" spans="1:5" x14ac:dyDescent="0.2">
      <c r="A6277">
        <v>6216</v>
      </c>
      <c r="B6277" s="1832">
        <f>'Acct Summary 7-8'!D83</f>
        <v>0.13532027927647625</v>
      </c>
      <c r="D6277" s="2" t="str">
        <f t="shared" si="97"/>
        <v>Error?</v>
      </c>
      <c r="E6277" s="2" t="s">
        <v>189</v>
      </c>
    </row>
    <row r="6278" spans="1:5" x14ac:dyDescent="0.2">
      <c r="A6278">
        <v>6217</v>
      </c>
      <c r="B6278" s="1832">
        <f>'Acct Summary 7-8'!E83</f>
        <v>0.94122626988199076</v>
      </c>
      <c r="D6278" s="2" t="str">
        <f t="shared" si="97"/>
        <v>Error?</v>
      </c>
      <c r="E6278" s="2" t="s">
        <v>189</v>
      </c>
    </row>
    <row r="6279" spans="1:5" x14ac:dyDescent="0.2">
      <c r="A6279">
        <v>6218</v>
      </c>
      <c r="B6279" s="1832">
        <f>'Acct Summary 7-8'!F83</f>
        <v>0.24263351090662555</v>
      </c>
      <c r="D6279" s="2" t="str">
        <f t="shared" si="97"/>
        <v>Error?</v>
      </c>
      <c r="E6279" s="2" t="s">
        <v>189</v>
      </c>
    </row>
    <row r="6280" spans="1:5" x14ac:dyDescent="0.2">
      <c r="A6280">
        <v>6219</v>
      </c>
      <c r="B6280" s="1832">
        <f>'Acct Summary 7-8'!G83</f>
        <v>0.13548426632349786</v>
      </c>
      <c r="D6280" s="2" t="str">
        <f t="shared" si="97"/>
        <v>Error?</v>
      </c>
      <c r="E6280" s="2" t="s">
        <v>189</v>
      </c>
    </row>
    <row r="6281" spans="1:5" x14ac:dyDescent="0.2">
      <c r="A6281">
        <v>6220</v>
      </c>
      <c r="B6281" s="1832">
        <f>'Acct Summary 7-8'!H83</f>
        <v>-0.22408200771798581</v>
      </c>
      <c r="D6281" s="2" t="str">
        <f t="shared" si="97"/>
        <v>Error?</v>
      </c>
      <c r="E6281" s="2" t="s">
        <v>189</v>
      </c>
    </row>
    <row r="6282" spans="1:5" x14ac:dyDescent="0.2">
      <c r="A6282">
        <v>6221</v>
      </c>
      <c r="B6282" s="1832">
        <f>'Acct Summary 7-8'!I83</f>
        <v>7.2630349993426463E-2</v>
      </c>
      <c r="D6282" s="2" t="str">
        <f t="shared" si="97"/>
        <v>Error?</v>
      </c>
      <c r="E6282" s="2" t="s">
        <v>189</v>
      </c>
    </row>
    <row r="6283" spans="1:5" x14ac:dyDescent="0.2">
      <c r="A6283">
        <v>6222</v>
      </c>
      <c r="B6283" s="1832">
        <f>'Acct Summary 7-8'!J83</f>
        <v>0.22268265137694379</v>
      </c>
      <c r="D6283" s="2" t="str">
        <f t="shared" si="97"/>
        <v>Error?</v>
      </c>
      <c r="E6283" s="2" t="s">
        <v>189</v>
      </c>
    </row>
    <row r="6284" spans="1:5" x14ac:dyDescent="0.2">
      <c r="A6284">
        <v>6223</v>
      </c>
      <c r="B6284" s="1832">
        <f>'Acct Summary 7-8'!K83</f>
        <v>0.77620935128278645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421564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421564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4069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4069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4250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425633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9396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63530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75120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96441</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90844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154862</v>
      </c>
      <c r="D6880" s="2" t="str">
        <f t="shared" si="106"/>
        <v>Error?</v>
      </c>
    </row>
    <row r="6881" spans="1:4" x14ac:dyDescent="0.2">
      <c r="A6881">
        <v>6820</v>
      </c>
      <c r="B6881" s="1832">
        <f>'Expenditures 15-22'!K22</f>
        <v>154862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148880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148880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148880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786</v>
      </c>
      <c r="D6981" s="2" t="str">
        <f t="shared" si="108"/>
        <v>Error?</v>
      </c>
    </row>
    <row r="6982" spans="1:4" x14ac:dyDescent="0.2">
      <c r="A6982">
        <v>6921</v>
      </c>
      <c r="B6982" s="1832">
        <f>'Expenditures 15-22'!K85</f>
        <v>786</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786</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148880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400000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425633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33008</v>
      </c>
      <c r="D7067" s="2" t="str">
        <f t="shared" si="109"/>
        <v>Error?</v>
      </c>
    </row>
    <row r="7068" spans="1:4" x14ac:dyDescent="0.2">
      <c r="A7068">
        <v>7007</v>
      </c>
      <c r="B7068" s="1832">
        <f>'Expenditures 15-22'!K205</f>
        <v>33008</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4510</v>
      </c>
      <c r="D7073" s="2" t="str">
        <f t="shared" si="109"/>
        <v>Error?</v>
      </c>
    </row>
    <row r="7074" spans="1:4" x14ac:dyDescent="0.2">
      <c r="A7074">
        <v>7013</v>
      </c>
      <c r="B7074" s="1832">
        <f>'Expenditures 15-22'!K216</f>
        <v>4510</v>
      </c>
      <c r="D7074" s="2" t="str">
        <f t="shared" si="109"/>
        <v>Error?</v>
      </c>
    </row>
    <row r="7075" spans="1:4" x14ac:dyDescent="0.2">
      <c r="A7075">
        <v>7014</v>
      </c>
      <c r="B7075" s="1832">
        <f>'Expenditures 15-22'!D218</f>
        <v>5218</v>
      </c>
      <c r="D7075" s="2" t="str">
        <f t="shared" si="109"/>
        <v>Error?</v>
      </c>
    </row>
    <row r="7076" spans="1:4" x14ac:dyDescent="0.2">
      <c r="A7076">
        <v>7015</v>
      </c>
      <c r="B7076" s="1832">
        <f>'Expenditures 15-22'!K218</f>
        <v>5218</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836</v>
      </c>
      <c r="D7079" s="2" t="str">
        <f t="shared" si="109"/>
        <v>Error?</v>
      </c>
    </row>
    <row r="7080" spans="1:4" x14ac:dyDescent="0.2">
      <c r="A7080">
        <v>7019</v>
      </c>
      <c r="B7080" s="1832">
        <f>'Expenditures 15-22'!K226</f>
        <v>836</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68874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68874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331126</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331126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331126</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68874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400000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331126</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68874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400000</v>
      </c>
      <c r="D7224" s="2" t="str">
        <f t="shared" si="111"/>
        <v>Error?</v>
      </c>
    </row>
    <row r="7225" spans="1:4" x14ac:dyDescent="0.2">
      <c r="A7225">
        <v>7164</v>
      </c>
      <c r="B7225" s="1832">
        <f>'Expenditures 15-22'!K343</f>
        <v>25633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11341</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249</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82421</v>
      </c>
      <c r="D7251" s="2" t="str">
        <f t="shared" si="112"/>
        <v>Error?</v>
      </c>
    </row>
    <row r="7252" spans="1:4" x14ac:dyDescent="0.2">
      <c r="A7252">
        <f t="shared" si="113"/>
        <v>7191</v>
      </c>
      <c r="B7252" s="1832">
        <f>'Expenditures 15-22'!D9</f>
        <v>13776</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244</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61322</v>
      </c>
      <c r="D7263" s="2" t="str">
        <f t="shared" si="112"/>
        <v>Error?</v>
      </c>
    </row>
    <row r="7264" spans="1:4" x14ac:dyDescent="0.2">
      <c r="A7264">
        <f t="shared" si="113"/>
        <v>7203</v>
      </c>
      <c r="B7264" s="1832">
        <f>'Expenditures 15-22'!D17</f>
        <v>13060</v>
      </c>
      <c r="D7264" s="2" t="str">
        <f t="shared" si="112"/>
        <v>Error?</v>
      </c>
    </row>
    <row r="7265" spans="1:5" x14ac:dyDescent="0.2">
      <c r="A7265">
        <f t="shared" si="113"/>
        <v>7204</v>
      </c>
      <c r="B7265" s="1832">
        <f>'Expenditures 15-22'!E17</f>
        <v>88</v>
      </c>
      <c r="D7265" s="2" t="str">
        <f t="shared" si="112"/>
        <v>Error?</v>
      </c>
    </row>
    <row r="7266" spans="1:5" x14ac:dyDescent="0.2">
      <c r="A7266">
        <f t="shared" si="113"/>
        <v>7205</v>
      </c>
      <c r="B7266" s="1832">
        <f>'Expenditures 15-22'!F17</f>
        <v>941</v>
      </c>
      <c r="D7266" s="2" t="str">
        <f t="shared" si="112"/>
        <v>Error?</v>
      </c>
    </row>
    <row r="7267" spans="1:5" x14ac:dyDescent="0.2">
      <c r="A7267">
        <f t="shared" si="113"/>
        <v>7206</v>
      </c>
      <c r="B7267" s="1832">
        <f>'Expenditures 15-22'!G17</f>
        <v>15433</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35412</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35412</v>
      </c>
      <c r="D7618" s="2" t="str">
        <f t="shared" si="124"/>
        <v>Error?</v>
      </c>
      <c r="E7618" s="2" t="s">
        <v>19</v>
      </c>
    </row>
    <row r="7619" spans="1:5" x14ac:dyDescent="0.2">
      <c r="A7619">
        <f t="shared" si="123"/>
        <v>7558</v>
      </c>
      <c r="B7619" s="1832">
        <f>'Cap Outlay Deprec 26'!H14</f>
        <v>35412</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35412</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148880</v>
      </c>
      <c r="D7624" s="2" t="str">
        <f t="shared" si="124"/>
        <v>Error?</v>
      </c>
      <c r="E7624" s="2" t="s">
        <v>19</v>
      </c>
    </row>
    <row r="7625" spans="1:5" x14ac:dyDescent="0.2">
      <c r="A7625">
        <f t="shared" si="123"/>
        <v>7564</v>
      </c>
      <c r="B7625" s="1832">
        <f>'Cap Outlay Deprec 26'!I17</f>
        <v>14888</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1277836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85386</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630232</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7750000</v>
      </c>
      <c r="D7817" s="2" t="str">
        <f t="shared" si="128"/>
        <v>Error?</v>
      </c>
      <c r="E7817" s="4" t="s">
        <v>1966</v>
      </c>
    </row>
    <row r="7818" spans="1:5" x14ac:dyDescent="0.2">
      <c r="A7818">
        <v>7757</v>
      </c>
      <c r="B7818" s="1832">
        <f>'PCTC-OEPP 27-28'!F172</f>
        <v>270222</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11133050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75120</v>
      </c>
      <c r="D7826" s="2" t="str">
        <f t="shared" si="129"/>
        <v>Error?</v>
      </c>
      <c r="E7826" s="4" t="s">
        <v>1998</v>
      </c>
    </row>
    <row r="7827" spans="1:5" x14ac:dyDescent="0.2">
      <c r="A7827">
        <v>7766</v>
      </c>
      <c r="B7827" s="1832">
        <f>'PCTC-OEPP 27-28'!F35</f>
        <v>96441</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1977173</v>
      </c>
      <c r="D7834" s="2" t="str">
        <f t="shared" si="129"/>
        <v>Error?</v>
      </c>
      <c r="E7834" s="4" t="s">
        <v>1998</v>
      </c>
    </row>
    <row r="7835" spans="1:5" x14ac:dyDescent="0.2">
      <c r="A7835">
        <v>7774</v>
      </c>
      <c r="B7835" s="1832">
        <f>'PCTC-OEPP 27-28'!F78</f>
        <v>9155877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9720.0273896980761</v>
      </c>
      <c r="D7837" s="2" t="str">
        <f t="shared" si="129"/>
        <v>Error?</v>
      </c>
      <c r="E7837" s="4" t="s">
        <v>1998</v>
      </c>
    </row>
    <row r="7838" spans="1:5" x14ac:dyDescent="0.2">
      <c r="A7838">
        <v>7777</v>
      </c>
      <c r="B7838" s="1832">
        <f>'PCTC-OEPP 27-28'!F96</f>
        <v>31758</v>
      </c>
      <c r="D7838" s="2" t="str">
        <f t="shared" si="129"/>
        <v>Error?</v>
      </c>
      <c r="E7838" s="4" t="s">
        <v>1998</v>
      </c>
    </row>
    <row r="7839" spans="1:5" x14ac:dyDescent="0.2">
      <c r="A7839">
        <v>7778</v>
      </c>
      <c r="B7839" s="1832">
        <f>'PCTC-OEPP 27-28'!F102</f>
        <v>33595</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137930</v>
      </c>
      <c r="D7842" s="2" t="str">
        <f t="shared" si="129"/>
        <v>Error?</v>
      </c>
      <c r="E7842" s="4" t="s">
        <v>1998</v>
      </c>
    </row>
    <row r="7843" spans="1:5" x14ac:dyDescent="0.2">
      <c r="A7843">
        <v>7782</v>
      </c>
      <c r="B7843" s="1832">
        <f>'PCTC-OEPP 27-28'!F107</f>
        <v>9396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13085</v>
      </c>
      <c r="D7846" s="2" t="str">
        <f t="shared" si="129"/>
        <v>Error?</v>
      </c>
      <c r="E7846" s="4" t="s">
        <v>1998</v>
      </c>
    </row>
    <row r="7847" spans="1:5" x14ac:dyDescent="0.2">
      <c r="A7847">
        <v>7786</v>
      </c>
      <c r="B7847" s="1832">
        <f>'PCTC-OEPP 27-28'!F112</f>
        <v>425603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249993</v>
      </c>
      <c r="D7858" s="2" t="str">
        <f t="shared" si="129"/>
        <v>Error?</v>
      </c>
      <c r="E7858" s="4" t="s">
        <v>1998</v>
      </c>
    </row>
    <row r="7859" spans="1:5" x14ac:dyDescent="0.2">
      <c r="A7859">
        <v>7798</v>
      </c>
      <c r="B7859" s="1832">
        <f>'PCTC-OEPP 27-28'!F127</f>
        <v>177543</v>
      </c>
      <c r="D7859" s="2" t="str">
        <f t="shared" si="129"/>
        <v>Error?</v>
      </c>
      <c r="E7859" s="4" t="s">
        <v>1998</v>
      </c>
    </row>
    <row r="7860" spans="1:5" x14ac:dyDescent="0.2">
      <c r="A7860">
        <v>7799</v>
      </c>
      <c r="B7860" s="1832">
        <f>'PCTC-OEPP 27-28'!F128</f>
        <v>4339</v>
      </c>
      <c r="D7860" s="2" t="str">
        <f t="shared" si="129"/>
        <v>Error?</v>
      </c>
      <c r="E7860" s="4" t="s">
        <v>1998</v>
      </c>
    </row>
    <row r="7861" spans="1:5" x14ac:dyDescent="0.2">
      <c r="A7861">
        <v>7800</v>
      </c>
      <c r="B7861" s="1832">
        <f>'PCTC-OEPP 27-28'!F129</f>
        <v>241097</v>
      </c>
      <c r="D7861" s="2" t="str">
        <f t="shared" si="129"/>
        <v>Error?</v>
      </c>
      <c r="E7861" s="4" t="s">
        <v>1998</v>
      </c>
    </row>
    <row r="7862" spans="1:5" x14ac:dyDescent="0.2">
      <c r="A7862">
        <v>7801</v>
      </c>
      <c r="B7862" s="1832">
        <f>'PCTC-OEPP 27-28'!F130</f>
        <v>8319</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51462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5558</v>
      </c>
      <c r="D7874" s="2" t="str">
        <f t="shared" si="129"/>
        <v>Error?</v>
      </c>
      <c r="E7874" s="4" t="s">
        <v>1998</v>
      </c>
    </row>
    <row r="7875" spans="1:5" x14ac:dyDescent="0.2">
      <c r="A7875">
        <v>7814</v>
      </c>
      <c r="B7875" s="1832">
        <f>'PCTC-OEPP 27-28'!F170</f>
        <v>75311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1959876</v>
      </c>
      <c r="D7877" s="2" t="str">
        <f t="shared" si="129"/>
        <v>Error?</v>
      </c>
      <c r="E7877" s="4" t="s">
        <v>1998</v>
      </c>
    </row>
    <row r="7878" spans="1:5" x14ac:dyDescent="0.2">
      <c r="A7878">
        <v>7817</v>
      </c>
      <c r="B7878" s="1832">
        <f>'PCTC-OEPP 27-28'!F176</f>
        <v>7196001</v>
      </c>
      <c r="D7878" s="2" t="str">
        <f t="shared" si="129"/>
        <v>Error?</v>
      </c>
      <c r="E7878" s="4" t="s">
        <v>1998</v>
      </c>
    </row>
    <row r="7879" spans="1:5" x14ac:dyDescent="0.2">
      <c r="A7879">
        <v>7818</v>
      </c>
      <c r="B7879" s="1832">
        <f>'PCTC-OEPP 27-28'!F178</f>
        <v>8473837</v>
      </c>
      <c r="D7879" s="2" t="str">
        <f t="shared" si="129"/>
        <v>Error?</v>
      </c>
      <c r="E7879" s="4" t="s">
        <v>1998</v>
      </c>
    </row>
    <row r="7880" spans="1:5" x14ac:dyDescent="0.2">
      <c r="A7880">
        <v>7819</v>
      </c>
      <c r="B7880" s="1832">
        <f>'PCTC-OEPP 27-28'!F180</f>
        <v>8995.9626735742495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Red Bud CUSD 132</v>
      </c>
      <c r="B7" s="2536"/>
      <c r="C7" s="2536"/>
      <c r="D7" s="2537"/>
      <c r="E7" s="2538">
        <f>COVER!A13</f>
        <v>45079132026</v>
      </c>
      <c r="F7" s="2539"/>
      <c r="G7" s="2545">
        <f>COVER!T23</f>
        <v>66.005025000000003</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FICK, EGGEMEYER &amp; WILLIAMSON, CPA'S</v>
      </c>
      <c r="H9" s="2551"/>
      <c r="I9" s="2551"/>
      <c r="J9" s="2551"/>
      <c r="K9" s="2551"/>
      <c r="L9" s="2552"/>
    </row>
    <row r="10" spans="1:29" ht="13.5" customHeight="1" x14ac:dyDescent="0.2">
      <c r="A10" s="2524">
        <f>COVER!A38</f>
        <v>0</v>
      </c>
      <c r="B10" s="2525"/>
      <c r="C10" s="2525"/>
      <c r="D10" s="2525"/>
      <c r="E10" s="2525"/>
      <c r="F10" s="2526"/>
      <c r="G10" s="2518" t="str">
        <f>COVER!T17</f>
        <v>205 S MAIN ST</v>
      </c>
      <c r="H10" s="2519"/>
      <c r="I10" s="2519"/>
      <c r="J10" s="2519"/>
      <c r="K10" s="2519"/>
      <c r="L10" s="2520"/>
    </row>
    <row r="11" spans="1:29" ht="13.5" customHeight="1" x14ac:dyDescent="0.2">
      <c r="A11" s="963" t="s">
        <v>1502</v>
      </c>
      <c r="B11" s="964"/>
      <c r="C11" s="965"/>
      <c r="D11" s="970"/>
      <c r="E11" s="965"/>
      <c r="F11" s="969"/>
      <c r="G11" s="2518" t="str">
        <f>COVER!T19</f>
        <v>COLUMBIA</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CURTIS@AFEWCPAS.COM</v>
      </c>
      <c r="J13" s="2531"/>
      <c r="K13" s="2531"/>
      <c r="L13" s="2532"/>
    </row>
    <row r="14" spans="1:29" ht="13.5" customHeight="1" x14ac:dyDescent="0.2">
      <c r="A14" s="2518" t="str">
        <f>COVER!A19</f>
        <v>815 LOCUST STREET</v>
      </c>
      <c r="B14" s="2519"/>
      <c r="C14" s="2519"/>
      <c r="D14" s="2519"/>
      <c r="E14" s="2519"/>
      <c r="F14" s="2520"/>
      <c r="G14" s="974" t="s">
        <v>1175</v>
      </c>
      <c r="H14" s="972"/>
      <c r="I14" s="972"/>
      <c r="J14" s="972"/>
      <c r="K14" s="972"/>
      <c r="L14" s="973"/>
    </row>
    <row r="15" spans="1:29" ht="13.5" customHeight="1" x14ac:dyDescent="0.2">
      <c r="A15" s="2518" t="str">
        <f>COVER!A21</f>
        <v>RED BUD</v>
      </c>
      <c r="B15" s="2519"/>
      <c r="C15" s="2519"/>
      <c r="D15" s="2519"/>
      <c r="E15" s="2519"/>
      <c r="F15" s="2520"/>
      <c r="G15" s="2515" t="str">
        <f>COVER!T15</f>
        <v>CURTIS STOLL, CPA</v>
      </c>
      <c r="H15" s="2516"/>
      <c r="I15" s="2516"/>
      <c r="J15" s="2516"/>
      <c r="K15" s="2516"/>
      <c r="L15" s="2517"/>
    </row>
    <row r="16" spans="1:29" ht="12.2" customHeight="1" x14ac:dyDescent="0.2">
      <c r="A16" s="2541">
        <f>COVER!A25</f>
        <v>62278</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618-281-4999</v>
      </c>
      <c r="H18" s="2536"/>
      <c r="I18" s="2536"/>
      <c r="J18" s="2536"/>
      <c r="K18" s="2535" t="str">
        <f>COVER!X21</f>
        <v>618-281-9533</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Red Bud CUSD 132</v>
      </c>
      <c r="B1" s="2558"/>
      <c r="C1" s="2558"/>
      <c r="D1" s="2558"/>
    </row>
    <row r="2" spans="1:11" s="991" customFormat="1" ht="12.75" x14ac:dyDescent="0.2">
      <c r="A2" s="2559">
        <f>'Single Audit Cover'!E7</f>
        <v>45079132026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Red Bud CUSD 132</v>
      </c>
      <c r="B1" s="2562"/>
      <c r="C1" s="2562"/>
      <c r="D1" s="2562"/>
      <c r="E1" s="2562"/>
    </row>
    <row r="2" spans="1:5" x14ac:dyDescent="0.2">
      <c r="A2" s="2563">
        <f>'Single Audit Cover'!E7</f>
        <v>45079132026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813622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39460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-75311</v>
      </c>
    </row>
    <row r="19" spans="1:4" ht="13.5" thickBot="1" x14ac:dyDescent="0.25">
      <c r="A19" s="1041" t="s">
        <v>1224</v>
      </c>
      <c r="D19" s="1042">
        <f>SUM(D10:D17)</f>
        <v>777771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777771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777771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Red Bud CUSD 132</v>
      </c>
      <c r="C1" s="2566"/>
      <c r="D1" s="2566"/>
      <c r="E1" s="2566"/>
      <c r="F1" s="2566"/>
      <c r="G1" s="2566"/>
      <c r="H1" s="2566"/>
      <c r="I1" s="2566"/>
      <c r="J1" s="2566"/>
      <c r="K1" s="2566"/>
      <c r="L1" s="2566"/>
      <c r="M1" s="2566"/>
    </row>
    <row r="2" spans="2:14" ht="15" x14ac:dyDescent="0.2">
      <c r="B2" s="2567">
        <f>'Single Audit Cover'!E7</f>
        <v>45079132026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Red Bud CUSD 132</v>
      </c>
      <c r="B1" s="2579"/>
      <c r="C1" s="2579"/>
      <c r="D1" s="2579"/>
      <c r="E1" s="2579"/>
      <c r="F1" s="2579"/>
    </row>
    <row r="2" spans="1:7" ht="13.5" customHeight="1" x14ac:dyDescent="0.2">
      <c r="A2" s="2567">
        <f>'Single Audit Cover'!E7</f>
        <v>45079132026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2075</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2076</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Red Bud CUSD 132</v>
      </c>
      <c r="C1" s="2594"/>
      <c r="D1" s="2594"/>
      <c r="E1" s="2594"/>
      <c r="F1" s="2594"/>
      <c r="G1" s="2594"/>
      <c r="H1" s="2594"/>
      <c r="I1" s="2594"/>
      <c r="J1" s="1178"/>
    </row>
    <row r="2" spans="2:10" s="295" customFormat="1" ht="12.75" customHeight="1" x14ac:dyDescent="0.2">
      <c r="B2" s="2595">
        <f>'Single Audit Cover'!E7</f>
        <v>45079132026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9" t="str">
        <f>"Total Federal Expenditures for 7/1/"&amp;MID('AFR20'!E2,3,2)-1&amp;"-6/30/"&amp;MID('AFR20'!E2,3,2)</f>
        <v>Total Federal Expenditures for 7/1/19-6/30/20</v>
      </c>
      <c r="C45" s="1920"/>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Red Bud CUSD 132</v>
      </c>
      <c r="C1" s="2593"/>
      <c r="D1" s="2593"/>
      <c r="E1" s="2593"/>
      <c r="F1" s="2593"/>
      <c r="G1" s="2593"/>
      <c r="H1" s="2593"/>
      <c r="I1" s="2593"/>
      <c r="J1" s="2593"/>
      <c r="K1" s="2593"/>
      <c r="L1" s="1144"/>
      <c r="M1" s="1144"/>
    </row>
    <row r="2" spans="1:13" ht="12" customHeight="1" x14ac:dyDescent="0.2">
      <c r="B2" s="2595">
        <f>'Single Audit Cover'!E7</f>
        <v>45079132026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Red Bud CUSD 132</v>
      </c>
      <c r="C1" s="2616"/>
      <c r="D1" s="2616"/>
      <c r="E1" s="2616"/>
      <c r="F1" s="2616"/>
      <c r="G1" s="2616"/>
      <c r="H1" s="2616"/>
      <c r="I1" s="2616"/>
      <c r="J1" s="2616"/>
      <c r="K1" s="2616"/>
      <c r="L1" s="1221"/>
    </row>
    <row r="2" spans="1:12" ht="12.75" customHeight="1" x14ac:dyDescent="0.2">
      <c r="B2" s="2617">
        <f>'Single Audit Cover'!E7</f>
        <v>45079132026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Red Bud CUSD 132</v>
      </c>
      <c r="C1" s="2593"/>
      <c r="D1" s="2593"/>
      <c r="E1" s="1240"/>
    </row>
    <row r="2" spans="2:5" s="1058" customFormat="1" ht="12.75" customHeight="1" x14ac:dyDescent="0.2">
      <c r="B2" s="2595">
        <f>'Single Audit Cover'!E7</f>
        <v>45079132026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225131521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1.84E-2</v>
      </c>
      <c r="E10" s="333" t="s">
        <v>998</v>
      </c>
      <c r="F10" s="332">
        <v>5.0000000000000001E-3</v>
      </c>
      <c r="G10" s="333" t="s">
        <v>998</v>
      </c>
      <c r="H10" s="332">
        <v>2E-3</v>
      </c>
      <c r="I10" s="333" t="s">
        <v>999</v>
      </c>
      <c r="J10" s="1424">
        <f>ROUND(D10+F10+H10,5)</f>
        <v>2.5399999999999999E-2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12000830</v>
      </c>
      <c r="E16" s="1547"/>
      <c r="F16" s="1546">
        <f>SUM('Acct Summary 7-8'!C17,'Acct Summary 7-8'!D17,'Acct Summary 7-8'!F17)</f>
        <v>9743214</v>
      </c>
      <c r="G16" s="1547"/>
      <c r="H16" s="1546">
        <f>SUM(D16-F16)</f>
        <v>2257616</v>
      </c>
      <c r="I16" s="1548"/>
      <c r="J16" s="1546">
        <f>SUM('Acct Summary 7-8'!C81,'Acct Summary 7-8'!D81,'Acct Summary 7-8'!F81,'Acct Summary 7-8'!I81)</f>
        <v>18321285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31068149.898000002</v>
      </c>
      <c r="I31" s="345"/>
      <c r="J31" s="217"/>
      <c r="K31" s="217"/>
      <c r="L31" s="217"/>
      <c r="M31" s="217"/>
    </row>
    <row r="32" spans="1:13" ht="13.35" customHeight="1" x14ac:dyDescent="0.2">
      <c r="B32" s="346" t="s">
        <v>2063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3690000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O35" sqref="O3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Red Bud CUSD 132</v>
      </c>
      <c r="E7" s="368"/>
      <c r="G7" s="247"/>
      <c r="H7" s="364"/>
      <c r="I7" s="364"/>
      <c r="J7" s="364"/>
      <c r="K7" s="364"/>
      <c r="L7" s="307"/>
      <c r="M7" s="307"/>
      <c r="N7" s="307"/>
      <c r="O7" s="307"/>
      <c r="P7" s="307"/>
    </row>
    <row r="8" spans="1:18" ht="12.75" x14ac:dyDescent="0.2">
      <c r="A8" s="307"/>
      <c r="B8" s="307"/>
      <c r="C8" s="366" t="s">
        <v>1115</v>
      </c>
      <c r="D8" s="369">
        <f>COVER!A13</f>
        <v>45079132026</v>
      </c>
      <c r="E8" s="370"/>
      <c r="G8" s="307"/>
      <c r="H8" s="307"/>
      <c r="I8" s="307"/>
      <c r="J8" s="307"/>
      <c r="K8" s="307"/>
      <c r="L8" s="307"/>
      <c r="M8" s="307"/>
      <c r="N8" s="307"/>
      <c r="O8" s="307"/>
      <c r="P8" s="307"/>
    </row>
    <row r="9" spans="1:18" ht="12.75" x14ac:dyDescent="0.2">
      <c r="A9" s="307"/>
      <c r="B9" s="307"/>
      <c r="C9" s="366" t="s">
        <v>708</v>
      </c>
      <c r="D9" s="371" t="str">
        <f>COVER!A15</f>
        <v>RANDOLPH</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18321285</v>
      </c>
      <c r="I12" s="380"/>
      <c r="J12" s="380"/>
      <c r="K12" s="1559">
        <f>TRUNC((H12/H13*100000),5)/100000</f>
        <v>1.5266681554000001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12000830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9743214</v>
      </c>
      <c r="I17" s="380"/>
      <c r="J17" s="389"/>
      <c r="K17" s="1559">
        <f>TRUNC((H17/H18*100000),5)/100000</f>
        <v>0.811878345</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12000830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15580183</v>
      </c>
      <c r="I24" s="394"/>
      <c r="J24" s="394"/>
      <c r="K24" s="1555">
        <f>TRUNC(((H24/H25*100000)/100000),2)</f>
        <v>575.66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27064.483329999999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4860589.5383900004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3690000</v>
      </c>
      <c r="I32" s="392"/>
      <c r="J32" s="392"/>
      <c r="K32" s="1555">
        <f>TRUNC(100-((((H32/H33*100))*100)/100),2)</f>
        <v>88.12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31068149.898000002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15" activePane="bottomLeft" state="frozen"/>
      <selection pane="bottomLeft" activeCell="K38" sqref="K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3128473</v>
      </c>
      <c r="D4" s="1573">
        <v>7498451</v>
      </c>
      <c r="E4" s="1573">
        <v>381550</v>
      </c>
      <c r="F4" s="1573">
        <v>1118036</v>
      </c>
      <c r="G4" s="1573">
        <v>163185</v>
      </c>
      <c r="H4" s="1573">
        <v>516953</v>
      </c>
      <c r="I4" s="1573">
        <v>1437292</v>
      </c>
      <c r="J4" s="1574">
        <v>115110</v>
      </c>
      <c r="K4" s="1573">
        <v>896369</v>
      </c>
      <c r="L4" s="1573">
        <v>572786</v>
      </c>
      <c r="M4" s="1575"/>
      <c r="N4" s="1576"/>
    </row>
    <row r="5" spans="1:14" x14ac:dyDescent="0.2">
      <c r="A5" s="427" t="s">
        <v>985</v>
      </c>
      <c r="B5" s="429">
        <v>120</v>
      </c>
      <c r="C5" s="1572">
        <v>2103293</v>
      </c>
      <c r="D5" s="1573">
        <v>294638</v>
      </c>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v>2398532</v>
      </c>
      <c r="E7" s="1574"/>
      <c r="F7" s="1574"/>
      <c r="G7" s="1574"/>
      <c r="H7" s="1574"/>
      <c r="I7" s="1574">
        <v>342570</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5231766</v>
      </c>
      <c r="D13" s="1587">
        <f t="shared" ref="D13:L13" si="0">SUM(D4:D12)</f>
        <v>10191621</v>
      </c>
      <c r="E13" s="1587">
        <f t="shared" si="0"/>
        <v>381550</v>
      </c>
      <c r="F13" s="1587">
        <f t="shared" si="0"/>
        <v>1118036</v>
      </c>
      <c r="G13" s="1587">
        <f t="shared" si="0"/>
        <v>163185</v>
      </c>
      <c r="H13" s="1587">
        <f t="shared" si="0"/>
        <v>516953</v>
      </c>
      <c r="I13" s="1587">
        <f t="shared" si="0"/>
        <v>1779862</v>
      </c>
      <c r="J13" s="1587">
        <f t="shared" si="0"/>
        <v>115110</v>
      </c>
      <c r="K13" s="1587">
        <f t="shared" si="0"/>
        <v>896369</v>
      </c>
      <c r="L13" s="1587">
        <f t="shared" si="0"/>
        <v>572786</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514108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26147529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1415856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2516056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38980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3651020</v>
      </c>
    </row>
    <row r="23" spans="1:14" ht="13.5" customHeight="1" thickBot="1" x14ac:dyDescent="0.25">
      <c r="A23" s="1426" t="s">
        <v>638</v>
      </c>
      <c r="B23" s="1429"/>
      <c r="C23" s="1575"/>
      <c r="D23" s="1575"/>
      <c r="E23" s="1575"/>
      <c r="F23" s="1575"/>
      <c r="G23" s="1575"/>
      <c r="H23" s="1575"/>
      <c r="I23" s="1575"/>
      <c r="J23" s="1575"/>
      <c r="K23" s="1575"/>
      <c r="L23" s="1575"/>
      <c r="M23" s="1594">
        <f>SUM(M15:M22)</f>
        <v>30593549</v>
      </c>
      <c r="N23" s="1594">
        <f>SUM(N21:N22)</f>
        <v>3690000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v>342570</v>
      </c>
      <c r="F25" s="1583"/>
      <c r="G25" s="1583"/>
      <c r="H25" s="1584">
        <v>2398532</v>
      </c>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572786</v>
      </c>
      <c r="M33" s="1575"/>
      <c r="N33" s="1576"/>
    </row>
    <row r="34" spans="1:14" ht="13.5" customHeight="1" thickBot="1" x14ac:dyDescent="0.25">
      <c r="A34" s="1427" t="s">
        <v>649</v>
      </c>
      <c r="B34" s="1428"/>
      <c r="C34" s="1600">
        <f>SUM(C25:C33)</f>
        <v>0</v>
      </c>
      <c r="D34" s="1600">
        <f t="shared" ref="D34:K34" si="1">SUM(D25:D33)</f>
        <v>0</v>
      </c>
      <c r="E34" s="1600">
        <f t="shared" si="1"/>
        <v>342570</v>
      </c>
      <c r="F34" s="1600">
        <f t="shared" si="1"/>
        <v>0</v>
      </c>
      <c r="G34" s="1600">
        <f t="shared" si="1"/>
        <v>0</v>
      </c>
      <c r="H34" s="1600">
        <f t="shared" si="1"/>
        <v>2398532</v>
      </c>
      <c r="I34" s="1600">
        <f t="shared" si="1"/>
        <v>0</v>
      </c>
      <c r="J34" s="1600">
        <f t="shared" si="1"/>
        <v>0</v>
      </c>
      <c r="K34" s="1600">
        <f t="shared" si="1"/>
        <v>0</v>
      </c>
      <c r="L34" s="1601">
        <f>SUM(L33)</f>
        <v>572786</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3690000</v>
      </c>
    </row>
    <row r="37" spans="1:14" ht="13.5" thickBot="1" x14ac:dyDescent="0.25">
      <c r="A37" s="1426" t="s">
        <v>648</v>
      </c>
      <c r="B37" s="1429"/>
      <c r="C37" s="1582"/>
      <c r="D37" s="1582"/>
      <c r="E37" s="1582"/>
      <c r="F37" s="1582"/>
      <c r="G37" s="1582"/>
      <c r="H37" s="1582"/>
      <c r="I37" s="1582"/>
      <c r="J37" s="1582"/>
      <c r="K37" s="1582"/>
      <c r="L37" s="1585"/>
      <c r="M37" s="1575"/>
      <c r="N37" s="1594">
        <f>SUM(N36:N36)</f>
        <v>3690000</v>
      </c>
    </row>
    <row r="38" spans="1:14" s="307" customFormat="1" ht="13.5" customHeight="1" thickTop="1" x14ac:dyDescent="0.2">
      <c r="A38" s="438" t="s">
        <v>417</v>
      </c>
      <c r="B38" s="432">
        <v>714</v>
      </c>
      <c r="C38" s="1573"/>
      <c r="D38" s="1573">
        <v>10191621</v>
      </c>
      <c r="E38" s="1573">
        <v>38980</v>
      </c>
      <c r="F38" s="1573">
        <v>1118036</v>
      </c>
      <c r="G38" s="1573">
        <v>163185</v>
      </c>
      <c r="H38" s="1573"/>
      <c r="I38" s="1573">
        <v>1779862</v>
      </c>
      <c r="J38" s="1574">
        <v>115110</v>
      </c>
      <c r="K38" s="1573">
        <v>896369</v>
      </c>
      <c r="L38" s="1586"/>
      <c r="M38" s="1604"/>
      <c r="N38" s="1604"/>
    </row>
    <row r="39" spans="1:14" s="307" customFormat="1" ht="13.5" customHeight="1" x14ac:dyDescent="0.2">
      <c r="A39" s="438" t="s">
        <v>339</v>
      </c>
      <c r="B39" s="432">
        <v>730</v>
      </c>
      <c r="C39" s="1573">
        <v>5231766</v>
      </c>
      <c r="D39" s="1573"/>
      <c r="E39" s="1573"/>
      <c r="F39" s="1573"/>
      <c r="G39" s="1573"/>
      <c r="H39" s="1573">
        <v>-1881579</v>
      </c>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30593549</v>
      </c>
      <c r="N40" s="1604"/>
    </row>
    <row r="41" spans="1:14" ht="13.5" customHeight="1" thickBot="1" x14ac:dyDescent="0.25">
      <c r="A41" s="1426" t="s">
        <v>650</v>
      </c>
      <c r="B41" s="1405"/>
      <c r="C41" s="1594">
        <f>(SUM(C34,C37,C38,C39))</f>
        <v>5231766</v>
      </c>
      <c r="D41" s="1594">
        <f t="shared" ref="D41:L41" si="2">SUM(D34,D37,D38:D39)</f>
        <v>10191621</v>
      </c>
      <c r="E41" s="1594">
        <f t="shared" si="2"/>
        <v>381550</v>
      </c>
      <c r="F41" s="1594">
        <f t="shared" si="2"/>
        <v>1118036</v>
      </c>
      <c r="G41" s="1594">
        <f t="shared" si="2"/>
        <v>163185</v>
      </c>
      <c r="H41" s="1594">
        <f t="shared" si="2"/>
        <v>516953</v>
      </c>
      <c r="I41" s="1594">
        <f t="shared" si="2"/>
        <v>1779862</v>
      </c>
      <c r="J41" s="1594">
        <f t="shared" si="2"/>
        <v>115110</v>
      </c>
      <c r="K41" s="1594">
        <f t="shared" si="2"/>
        <v>896369</v>
      </c>
      <c r="L41" s="1594">
        <f t="shared" si="2"/>
        <v>572786</v>
      </c>
      <c r="M41" s="1594">
        <f>SUM(M40)</f>
        <v>30593549</v>
      </c>
      <c r="N41" s="1594">
        <f>SUM(N37)</f>
        <v>3690000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C9" sqref="C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6682115</v>
      </c>
      <c r="D4" s="1606">
        <f>'Revenues 9-14'!D109</f>
        <v>2423550</v>
      </c>
      <c r="E4" s="1606">
        <f>'Revenues 9-14'!E109</f>
        <v>648554</v>
      </c>
      <c r="F4" s="1606">
        <f>'Revenues 9-14'!F109</f>
        <v>542958</v>
      </c>
      <c r="G4" s="1606">
        <f>'Revenues 9-14'!G109</f>
        <v>400080</v>
      </c>
      <c r="H4" s="1606">
        <f>'Revenues 9-14'!H109</f>
        <v>634067</v>
      </c>
      <c r="I4" s="1606">
        <f>'Revenues 9-14'!I109</f>
        <v>129272</v>
      </c>
      <c r="J4" s="1606">
        <f>'Revenues 9-14'!J109</f>
        <v>425633</v>
      </c>
      <c r="K4" s="1606">
        <f>'Revenues 9-14'!K109</f>
        <v>160956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983710</v>
      </c>
      <c r="D6" s="1607">
        <f>'Revenues 9-14'!D170</f>
        <v>0</v>
      </c>
      <c r="E6" s="1607">
        <f>'Revenues 9-14'!E170</f>
        <v>0</v>
      </c>
      <c r="F6" s="1607">
        <f>'Revenues 9-14'!F170</f>
        <v>425603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813622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8479447</v>
      </c>
      <c r="D8" s="1594">
        <f t="shared" ref="D8:K8" si="0">SUM(D4:D7)</f>
        <v>2423550</v>
      </c>
      <c r="E8" s="1594">
        <f t="shared" si="0"/>
        <v>648554</v>
      </c>
      <c r="F8" s="1594">
        <f t="shared" si="0"/>
        <v>968561</v>
      </c>
      <c r="G8" s="1594">
        <f t="shared" si="0"/>
        <v>400080</v>
      </c>
      <c r="H8" s="1594">
        <f t="shared" si="0"/>
        <v>634067</v>
      </c>
      <c r="I8" s="1594">
        <f t="shared" si="0"/>
        <v>129272</v>
      </c>
      <c r="J8" s="1594">
        <f t="shared" si="0"/>
        <v>425633</v>
      </c>
      <c r="K8" s="1594">
        <f t="shared" si="0"/>
        <v>160956</v>
      </c>
      <c r="L8" s="325"/>
    </row>
    <row r="9" spans="1:13" ht="15.75" thickTop="1" x14ac:dyDescent="0.2">
      <c r="A9" s="449" t="s">
        <v>1634</v>
      </c>
      <c r="B9" s="450">
        <v>3998</v>
      </c>
      <c r="C9" s="1586">
        <v>4136020</v>
      </c>
      <c r="D9" s="1613"/>
      <c r="E9" s="1586"/>
      <c r="F9" s="1586"/>
      <c r="G9" s="1614"/>
      <c r="H9" s="1586"/>
      <c r="I9" s="1609" t="s">
        <v>1159</v>
      </c>
      <c r="J9" s="1583"/>
      <c r="K9" s="1586"/>
      <c r="L9" s="325"/>
    </row>
    <row r="10" spans="1:13" s="452" customFormat="1" ht="13.5" thickBot="1" x14ac:dyDescent="0.25">
      <c r="A10" s="1426" t="s">
        <v>1163</v>
      </c>
      <c r="B10" s="1407"/>
      <c r="C10" s="1594">
        <f>SUM(C8:C9)</f>
        <v>12615467</v>
      </c>
      <c r="D10" s="1594">
        <f t="shared" ref="D10:K10" si="1">SUM(D8:D9)</f>
        <v>2423550</v>
      </c>
      <c r="E10" s="1594">
        <f t="shared" si="1"/>
        <v>648554</v>
      </c>
      <c r="F10" s="1594">
        <f t="shared" si="1"/>
        <v>968561</v>
      </c>
      <c r="G10" s="1594">
        <f t="shared" si="1"/>
        <v>400080</v>
      </c>
      <c r="H10" s="1594">
        <f t="shared" si="1"/>
        <v>634067</v>
      </c>
      <c r="I10" s="1594">
        <f t="shared" si="1"/>
        <v>129272</v>
      </c>
      <c r="J10" s="1594">
        <f t="shared" si="1"/>
        <v>425633</v>
      </c>
      <c r="K10" s="1594">
        <f t="shared" si="1"/>
        <v>160956</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5308138</v>
      </c>
      <c r="D12" s="1616" t="s">
        <v>1159</v>
      </c>
      <c r="E12" s="1575" t="s">
        <v>1159</v>
      </c>
      <c r="F12" s="1575" t="s">
        <v>1159</v>
      </c>
      <c r="G12" s="1606">
        <f>'Expenditures 15-22'!K229</f>
        <v>117511</v>
      </c>
      <c r="H12" s="1617"/>
      <c r="I12" s="1575" t="s">
        <v>1159</v>
      </c>
      <c r="J12" s="1575" t="s">
        <v>1159</v>
      </c>
      <c r="K12" s="1617" t="s">
        <v>1159</v>
      </c>
      <c r="L12" s="325"/>
    </row>
    <row r="13" spans="1:13" ht="15.75" customHeight="1" x14ac:dyDescent="0.2">
      <c r="A13" s="1314" t="s">
        <v>454</v>
      </c>
      <c r="B13" s="1316">
        <v>2000</v>
      </c>
      <c r="C13" s="1607">
        <f>'Expenditures 15-22'!K74</f>
        <v>2045634</v>
      </c>
      <c r="D13" s="1607">
        <f>'Expenditures 15-22'!K129</f>
        <v>1044417</v>
      </c>
      <c r="E13" s="1576" t="s">
        <v>1159</v>
      </c>
      <c r="F13" s="1607">
        <f>'Expenditures 15-22'!K184</f>
        <v>504998</v>
      </c>
      <c r="G13" s="1607">
        <f>'Expenditures 15-22'!K279</f>
        <v>260460</v>
      </c>
      <c r="H13" s="1607">
        <f>'Expenditures 15-22'!K303</f>
        <v>212439</v>
      </c>
      <c r="I13" s="1575" t="s">
        <v>1159</v>
      </c>
      <c r="J13" s="1607">
        <f>'Expenditures 15-22'!K330</f>
        <v>400000</v>
      </c>
      <c r="K13" s="1618">
        <f>'Expenditures 15-22'!K352</f>
        <v>1165186</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647737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611865</v>
      </c>
      <c r="F16" s="1607">
        <f>'Expenditures 15-22'!K208</f>
        <v>192290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8001509</v>
      </c>
      <c r="D17" s="1594">
        <f t="shared" si="2"/>
        <v>1044417</v>
      </c>
      <c r="E17" s="1594">
        <f t="shared" si="2"/>
        <v>611865</v>
      </c>
      <c r="F17" s="1594">
        <f t="shared" si="2"/>
        <v>697288</v>
      </c>
      <c r="G17" s="1594">
        <f t="shared" si="2"/>
        <v>377971</v>
      </c>
      <c r="H17" s="1594">
        <f t="shared" si="2"/>
        <v>212439</v>
      </c>
      <c r="I17" s="1575"/>
      <c r="J17" s="1594">
        <f>SUM(J12:J16)</f>
        <v>400000</v>
      </c>
      <c r="K17" s="1594">
        <f>SUM(K12:K16)</f>
        <v>1165186</v>
      </c>
      <c r="L17" s="325"/>
    </row>
    <row r="18" spans="1:12" ht="15" customHeight="1" thickTop="1" x14ac:dyDescent="0.2">
      <c r="A18" s="1430" t="s">
        <v>1635</v>
      </c>
      <c r="B18" s="1431">
        <v>4180</v>
      </c>
      <c r="C18" s="1606">
        <f t="shared" ref="C18:H18" si="3">C9</f>
        <v>4136020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12137529</v>
      </c>
      <c r="D19" s="1594">
        <f t="shared" si="4"/>
        <v>1044417</v>
      </c>
      <c r="E19" s="1594">
        <f t="shared" si="4"/>
        <v>611865</v>
      </c>
      <c r="F19" s="1594">
        <f t="shared" si="4"/>
        <v>697288</v>
      </c>
      <c r="G19" s="1594">
        <f t="shared" si="4"/>
        <v>377971</v>
      </c>
      <c r="H19" s="1594">
        <f t="shared" si="4"/>
        <v>212439</v>
      </c>
      <c r="I19" s="1575"/>
      <c r="J19" s="1594">
        <f>SUM(J17:J18)</f>
        <v>400000</v>
      </c>
      <c r="K19" s="1594">
        <f>SUM(K17:K18)</f>
        <v>1165186</v>
      </c>
      <c r="L19" s="325"/>
    </row>
    <row r="20" spans="1:12" ht="16.5" thickTop="1" thickBot="1" x14ac:dyDescent="0.25">
      <c r="A20" s="2231" t="s">
        <v>1636</v>
      </c>
      <c r="B20" s="2232"/>
      <c r="C20" s="1622">
        <f>C8-C17</f>
        <v>477938</v>
      </c>
      <c r="D20" s="1622">
        <f t="shared" ref="D20:K20" si="5">D8-D17</f>
        <v>1379133</v>
      </c>
      <c r="E20" s="1622">
        <f t="shared" si="5"/>
        <v>36689</v>
      </c>
      <c r="F20" s="1622">
        <f t="shared" si="5"/>
        <v>271273</v>
      </c>
      <c r="G20" s="1622">
        <f t="shared" si="5"/>
        <v>22109</v>
      </c>
      <c r="H20" s="1622">
        <f t="shared" si="5"/>
        <v>421628</v>
      </c>
      <c r="I20" s="1622">
        <f t="shared" si="5"/>
        <v>129272</v>
      </c>
      <c r="J20" s="1622">
        <f t="shared" si="5"/>
        <v>25633</v>
      </c>
      <c r="K20" s="1622">
        <f t="shared" si="5"/>
        <v>-1004230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v>1700000</v>
      </c>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1700000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1700000</v>
      </c>
      <c r="L77" s="325"/>
    </row>
    <row r="78" spans="1:12" ht="21.75" customHeight="1" thickTop="1" thickBot="1" x14ac:dyDescent="0.25">
      <c r="A78" s="2227" t="s">
        <v>593</v>
      </c>
      <c r="B78" s="2228"/>
      <c r="C78" s="1629">
        <f t="shared" ref="C78:K78" si="9">C20+C77</f>
        <v>477938</v>
      </c>
      <c r="D78" s="1629">
        <f t="shared" si="9"/>
        <v>1379133</v>
      </c>
      <c r="E78" s="1629">
        <f t="shared" si="9"/>
        <v>36689</v>
      </c>
      <c r="F78" s="1629">
        <f t="shared" si="9"/>
        <v>271273</v>
      </c>
      <c r="G78" s="1629">
        <f t="shared" si="9"/>
        <v>22109</v>
      </c>
      <c r="H78" s="1629">
        <f t="shared" si="9"/>
        <v>421628</v>
      </c>
      <c r="I78" s="1629">
        <f t="shared" si="9"/>
        <v>129272</v>
      </c>
      <c r="J78" s="1629">
        <f t="shared" si="9"/>
        <v>25633</v>
      </c>
      <c r="K78" s="1629">
        <f t="shared" si="9"/>
        <v>695770</v>
      </c>
      <c r="L78" s="457"/>
    </row>
    <row r="79" spans="1:12" ht="13.5" thickTop="1" x14ac:dyDescent="0.2">
      <c r="A79" s="1844" t="str">
        <f>"Fund Balances - July 1, "&amp;'AFR20'!E2-1</f>
        <v>Fund Balances - July 1, 2019</v>
      </c>
      <c r="B79" s="458"/>
      <c r="C79" s="1583">
        <v>4753828</v>
      </c>
      <c r="D79" s="1630">
        <v>8812488</v>
      </c>
      <c r="E79" s="1630">
        <v>2291</v>
      </c>
      <c r="F79" s="1630">
        <v>846763</v>
      </c>
      <c r="G79" s="1630">
        <v>141076</v>
      </c>
      <c r="H79" s="1630">
        <v>-2303207</v>
      </c>
      <c r="I79" s="1630">
        <v>1650590</v>
      </c>
      <c r="J79" s="1630">
        <v>89477</v>
      </c>
      <c r="K79" s="1630">
        <v>200599</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5231766</v>
      </c>
      <c r="D81" s="1594">
        <f>SUM(D78:D80)</f>
        <v>10191621</v>
      </c>
      <c r="E81" s="1594">
        <f t="shared" ref="E81:K81" si="10">SUM(E78:E80)</f>
        <v>38980</v>
      </c>
      <c r="F81" s="1594">
        <f t="shared" si="10"/>
        <v>1118036</v>
      </c>
      <c r="G81" s="1594">
        <f t="shared" si="10"/>
        <v>163185</v>
      </c>
      <c r="H81" s="1594">
        <f t="shared" si="10"/>
        <v>-1881579</v>
      </c>
      <c r="I81" s="1594">
        <f t="shared" si="10"/>
        <v>1779862</v>
      </c>
      <c r="J81" s="1594">
        <f t="shared" si="10"/>
        <v>115110</v>
      </c>
      <c r="K81" s="1594">
        <f t="shared" si="10"/>
        <v>896369</v>
      </c>
      <c r="L81" s="325"/>
    </row>
    <row r="82" spans="1:12" ht="0.75" customHeight="1" thickTop="1" thickBot="1" x14ac:dyDescent="0.25">
      <c r="A82" s="459" t="s">
        <v>340</v>
      </c>
      <c r="B82" s="460"/>
      <c r="C82" s="461">
        <f>(C81-C79)</f>
        <v>477938</v>
      </c>
      <c r="D82" s="461">
        <f t="shared" ref="D82:K82" si="11">(D81-D79)</f>
        <v>1379133</v>
      </c>
      <c r="E82" s="461">
        <f t="shared" si="11"/>
        <v>36689</v>
      </c>
      <c r="F82" s="461">
        <f t="shared" si="11"/>
        <v>271273</v>
      </c>
      <c r="G82" s="461">
        <f t="shared" si="11"/>
        <v>22109</v>
      </c>
      <c r="H82" s="461">
        <f t="shared" si="11"/>
        <v>421628</v>
      </c>
      <c r="I82" s="461">
        <f t="shared" si="11"/>
        <v>129272</v>
      </c>
      <c r="J82" s="461">
        <f t="shared" si="11"/>
        <v>25633</v>
      </c>
      <c r="K82" s="461">
        <f t="shared" si="11"/>
        <v>695770</v>
      </c>
    </row>
    <row r="83" spans="1:12" ht="14.25" hidden="1" thickTop="1" thickBot="1" x14ac:dyDescent="0.25">
      <c r="A83" s="462" t="s">
        <v>341</v>
      </c>
      <c r="B83" s="428"/>
      <c r="C83" s="463">
        <f>C82/C81</f>
        <v>9.1353091862288946E-2</v>
      </c>
      <c r="D83" s="463">
        <f t="shared" ref="D83:K83" si="12">D82/D81</f>
        <v>0.13532027927647625</v>
      </c>
      <c r="E83" s="463">
        <f t="shared" si="12"/>
        <v>0.94122626988199076</v>
      </c>
      <c r="F83" s="463">
        <f t="shared" si="12"/>
        <v>0.24263351090662555</v>
      </c>
      <c r="G83" s="463">
        <f t="shared" si="12"/>
        <v>0.13548426632349786</v>
      </c>
      <c r="H83" s="463">
        <f t="shared" si="12"/>
        <v>-0.22408200771798581</v>
      </c>
      <c r="I83" s="463">
        <f t="shared" si="12"/>
        <v>7.2630349993426463E-2</v>
      </c>
      <c r="J83" s="463">
        <f t="shared" si="12"/>
        <v>0.22268265137694379</v>
      </c>
      <c r="K83" s="463">
        <f t="shared" si="12"/>
        <v>0.77620935128278645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1" activePane="bottomLeft" state="frozen"/>
      <selection pane="bottomLeft" activeCell="C191" sqref="C19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3927258</v>
      </c>
      <c r="D5" s="1586">
        <v>1067204</v>
      </c>
      <c r="E5" s="1573">
        <v>641150</v>
      </c>
      <c r="F5" s="1631">
        <v>426873</v>
      </c>
      <c r="G5" s="1573">
        <v>341283</v>
      </c>
      <c r="H5" s="1573"/>
      <c r="I5" s="1573">
        <v>106717</v>
      </c>
      <c r="J5" s="1574">
        <v>421564</v>
      </c>
      <c r="K5" s="1573">
        <v>106717</v>
      </c>
    </row>
    <row r="6" spans="1:12" ht="15" x14ac:dyDescent="0.2">
      <c r="A6" s="427" t="s">
        <v>1643</v>
      </c>
      <c r="B6" s="429">
        <v>1130</v>
      </c>
      <c r="C6" s="1573"/>
      <c r="D6" s="1573">
        <v>106717</v>
      </c>
      <c r="E6" s="1580"/>
      <c r="F6" s="1580"/>
      <c r="G6" s="1575"/>
      <c r="H6" s="1575"/>
      <c r="I6" s="1575"/>
      <c r="J6" s="1575"/>
      <c r="K6" s="1575"/>
    </row>
    <row r="7" spans="1:12" x14ac:dyDescent="0.2">
      <c r="A7" s="427" t="s">
        <v>110</v>
      </c>
      <c r="B7" s="471">
        <v>1140</v>
      </c>
      <c r="C7" s="1573">
        <v>85386</v>
      </c>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4012644</v>
      </c>
      <c r="D12" s="1633">
        <f t="shared" si="0"/>
        <v>1173921</v>
      </c>
      <c r="E12" s="1633">
        <f t="shared" si="0"/>
        <v>641150</v>
      </c>
      <c r="F12" s="1633">
        <f t="shared" si="0"/>
        <v>426873</v>
      </c>
      <c r="G12" s="1633">
        <f t="shared" si="0"/>
        <v>341283</v>
      </c>
      <c r="H12" s="1633">
        <f t="shared" si="0"/>
        <v>0</v>
      </c>
      <c r="I12" s="1633">
        <f t="shared" si="0"/>
        <v>106717</v>
      </c>
      <c r="J12" s="1633">
        <f t="shared" si="0"/>
        <v>421564</v>
      </c>
      <c r="K12" s="1594">
        <f t="shared" si="0"/>
        <v>106717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16153</v>
      </c>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1200000</v>
      </c>
      <c r="D16" s="1573">
        <v>1137206</v>
      </c>
      <c r="E16" s="1573"/>
      <c r="F16" s="1573"/>
      <c r="G16" s="1573">
        <v>55000</v>
      </c>
      <c r="H16" s="1573"/>
      <c r="I16" s="1573"/>
      <c r="J16" s="1574"/>
      <c r="K16" s="1573"/>
    </row>
    <row r="17" spans="1:11" ht="12.75" customHeight="1" x14ac:dyDescent="0.2">
      <c r="A17" s="427" t="s">
        <v>802</v>
      </c>
      <c r="B17" s="429">
        <v>1290</v>
      </c>
      <c r="C17" s="1632">
        <v>701391</v>
      </c>
      <c r="D17" s="1573"/>
      <c r="E17" s="1573"/>
      <c r="F17" s="1573"/>
      <c r="G17" s="1573"/>
      <c r="H17" s="1573"/>
      <c r="I17" s="1573"/>
      <c r="J17" s="1574"/>
      <c r="K17" s="1573"/>
    </row>
    <row r="18" spans="1:11" ht="12.75" customHeight="1" thickBot="1" x14ac:dyDescent="0.25">
      <c r="A18" s="1406" t="s">
        <v>534</v>
      </c>
      <c r="B18" s="1407"/>
      <c r="C18" s="1635">
        <f>SUM(C14:C17)</f>
        <v>1917544</v>
      </c>
      <c r="D18" s="1635">
        <f t="shared" ref="D18:K18" si="1">SUM(D14:D17)</f>
        <v>1137206</v>
      </c>
      <c r="E18" s="1635">
        <f t="shared" si="1"/>
        <v>0</v>
      </c>
      <c r="F18" s="1635">
        <f t="shared" si="1"/>
        <v>0</v>
      </c>
      <c r="G18" s="1635">
        <f t="shared" si="1"/>
        <v>55000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326650</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9245</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335895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v>95641</v>
      </c>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95641</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122536</v>
      </c>
      <c r="D65" s="1573">
        <v>103732</v>
      </c>
      <c r="E65" s="1573">
        <v>7404</v>
      </c>
      <c r="F65" s="1574">
        <v>18201</v>
      </c>
      <c r="G65" s="1573">
        <v>3797</v>
      </c>
      <c r="H65" s="1573">
        <v>3835</v>
      </c>
      <c r="I65" s="1573">
        <v>22555</v>
      </c>
      <c r="J65" s="1574">
        <v>4069</v>
      </c>
      <c r="K65" s="1573">
        <v>4239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122536</v>
      </c>
      <c r="D67" s="1594">
        <f t="shared" ref="D67:K67" si="2">SUM(D65:D66)</f>
        <v>103732</v>
      </c>
      <c r="E67" s="1594">
        <f t="shared" si="2"/>
        <v>7404</v>
      </c>
      <c r="F67" s="1594">
        <f t="shared" si="2"/>
        <v>18201</v>
      </c>
      <c r="G67" s="1594">
        <f t="shared" si="2"/>
        <v>3797</v>
      </c>
      <c r="H67" s="1594">
        <f t="shared" si="2"/>
        <v>3835</v>
      </c>
      <c r="I67" s="1594">
        <f t="shared" si="2"/>
        <v>22555</v>
      </c>
      <c r="J67" s="1594">
        <f t="shared" si="2"/>
        <v>4069</v>
      </c>
      <c r="K67" s="1594">
        <f t="shared" si="2"/>
        <v>4239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f>72570+107065</f>
        <v>179635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17675</v>
      </c>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197310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f>16649+4194</f>
        <v>20843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f>4915+6000</f>
        <v>10915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31758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f>10480+14795</f>
        <v>25275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25275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f>15720+17875</f>
        <v>33595</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256</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4250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630232</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1052</v>
      </c>
      <c r="D107" s="1573">
        <v>8691</v>
      </c>
      <c r="E107" s="1573"/>
      <c r="F107" s="1573">
        <v>2243</v>
      </c>
      <c r="G107" s="1573"/>
      <c r="H107" s="1573"/>
      <c r="I107" s="1573"/>
      <c r="J107" s="1574"/>
      <c r="K107" s="1573">
        <v>50000</v>
      </c>
    </row>
    <row r="108" spans="1:12" ht="12.75" customHeight="1" thickBot="1" x14ac:dyDescent="0.25">
      <c r="A108" s="1406" t="s">
        <v>484</v>
      </c>
      <c r="B108" s="1408"/>
      <c r="C108" s="1633">
        <f>SUM(C95:C107)</f>
        <v>39153</v>
      </c>
      <c r="D108" s="1633">
        <f t="shared" ref="D108:K108" si="3">SUM(D95:D107)</f>
        <v>8691</v>
      </c>
      <c r="E108" s="1633">
        <f t="shared" si="3"/>
        <v>0</v>
      </c>
      <c r="F108" s="1633">
        <f t="shared" si="3"/>
        <v>2243</v>
      </c>
      <c r="G108" s="1633">
        <f t="shared" si="3"/>
        <v>0</v>
      </c>
      <c r="H108" s="1633">
        <f t="shared" si="3"/>
        <v>630232</v>
      </c>
      <c r="I108" s="1633">
        <f t="shared" si="3"/>
        <v>0</v>
      </c>
      <c r="J108" s="1633">
        <f t="shared" si="3"/>
        <v>0</v>
      </c>
      <c r="K108" s="1594">
        <f t="shared" si="3"/>
        <v>50000</v>
      </c>
    </row>
    <row r="109" spans="1:12" ht="14.25" thickTop="1" thickBot="1" x14ac:dyDescent="0.25">
      <c r="A109" s="1409" t="s">
        <v>246</v>
      </c>
      <c r="B109" s="1410" t="s">
        <v>566</v>
      </c>
      <c r="C109" s="1641">
        <f t="shared" ref="C109:K109" si="4">SUM(C12,C18,C40,C63,C67,C75,C82,C93,C108,)</f>
        <v>6682115</v>
      </c>
      <c r="D109" s="1641">
        <f t="shared" si="4"/>
        <v>2423550</v>
      </c>
      <c r="E109" s="1641">
        <f t="shared" si="4"/>
        <v>648554</v>
      </c>
      <c r="F109" s="1641">
        <f t="shared" si="4"/>
        <v>542958</v>
      </c>
      <c r="G109" s="1641">
        <f t="shared" si="4"/>
        <v>400080</v>
      </c>
      <c r="H109" s="1641">
        <f t="shared" si="4"/>
        <v>634067</v>
      </c>
      <c r="I109" s="1641">
        <f t="shared" si="4"/>
        <v>129272</v>
      </c>
      <c r="J109" s="1641">
        <f t="shared" si="4"/>
        <v>425633</v>
      </c>
      <c r="K109" s="1629">
        <f t="shared" si="4"/>
        <v>160956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821219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821219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71209</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66721</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137930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9396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9396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2080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13085</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270931</v>
      </c>
      <c r="G152" s="1574"/>
      <c r="H152" s="1575"/>
      <c r="I152" s="1575"/>
      <c r="J152" s="1575"/>
      <c r="K152" s="1575"/>
    </row>
    <row r="153" spans="1:11" ht="12.75" customHeight="1" x14ac:dyDescent="0.2">
      <c r="A153" s="427" t="s">
        <v>1048</v>
      </c>
      <c r="B153" s="478">
        <v>3510</v>
      </c>
      <c r="C153" s="1632"/>
      <c r="D153" s="1573"/>
      <c r="E153" s="1640"/>
      <c r="F153" s="1573">
        <v>154672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425603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162491</v>
      </c>
      <c r="D169" s="1658">
        <f t="shared" si="6"/>
        <v>0</v>
      </c>
      <c r="E169" s="1658">
        <f t="shared" si="6"/>
        <v>0</v>
      </c>
      <c r="F169" s="1658">
        <f t="shared" si="6"/>
        <v>425603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983710</v>
      </c>
      <c r="D170" s="1641">
        <f t="shared" si="7"/>
        <v>0</v>
      </c>
      <c r="E170" s="1641">
        <f t="shared" si="7"/>
        <v>0</v>
      </c>
      <c r="F170" s="1641">
        <f t="shared" si="7"/>
        <v>425603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120098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22557</v>
      </c>
      <c r="D193" s="1575"/>
      <c r="E193" s="1640"/>
      <c r="F193" s="1575"/>
      <c r="G193" s="1664"/>
      <c r="H193" s="1575"/>
      <c r="I193" s="1575"/>
      <c r="J193" s="1575"/>
      <c r="K193" s="1575"/>
    </row>
    <row r="194" spans="1:11" ht="12.75" customHeight="1" x14ac:dyDescent="0.2">
      <c r="A194" s="427" t="s">
        <v>1434</v>
      </c>
      <c r="B194" s="429">
        <v>4225</v>
      </c>
      <c r="C194" s="1632">
        <v>107338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249993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177543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177543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4339</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4339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241097</v>
      </c>
      <c r="D213" s="1573"/>
      <c r="E213" s="1575"/>
      <c r="F213" s="1573"/>
      <c r="G213" s="1573"/>
      <c r="H213" s="1575"/>
      <c r="I213" s="1575"/>
      <c r="J213" s="1575"/>
      <c r="K213" s="1575"/>
    </row>
    <row r="214" spans="1:11" ht="12.75" customHeight="1" x14ac:dyDescent="0.2">
      <c r="A214" s="427" t="s">
        <v>1045</v>
      </c>
      <c r="B214" s="429">
        <v>4625</v>
      </c>
      <c r="C214" s="1632">
        <v>8319</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249416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51462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5558</v>
      </c>
      <c r="D263" s="1651"/>
      <c r="E263" s="1575"/>
      <c r="F263" s="1651"/>
      <c r="G263" s="1651"/>
      <c r="H263" s="1575"/>
      <c r="I263" s="1575"/>
      <c r="J263" s="1575"/>
      <c r="K263" s="1575"/>
    </row>
    <row r="264" spans="1:11" ht="12.75" customHeight="1" thickTop="1" thickBot="1" x14ac:dyDescent="0.25">
      <c r="A264" s="427" t="s">
        <v>374</v>
      </c>
      <c r="B264" s="429">
        <v>4992</v>
      </c>
      <c r="C264" s="1650">
        <v>75311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813622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813622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8479447</v>
      </c>
      <c r="D268" s="1641">
        <f t="shared" si="12"/>
        <v>2423550</v>
      </c>
      <c r="E268" s="1641">
        <f t="shared" si="12"/>
        <v>648554</v>
      </c>
      <c r="F268" s="1641">
        <f t="shared" si="12"/>
        <v>968561</v>
      </c>
      <c r="G268" s="1641">
        <f t="shared" si="12"/>
        <v>400080</v>
      </c>
      <c r="H268" s="1641">
        <f t="shared" si="12"/>
        <v>634067</v>
      </c>
      <c r="I268" s="1641">
        <f t="shared" si="12"/>
        <v>129272</v>
      </c>
      <c r="J268" s="1641">
        <f t="shared" si="12"/>
        <v>425633</v>
      </c>
      <c r="K268" s="1629">
        <f t="shared" si="12"/>
        <v>160956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4" activePane="bottomLeft" state="frozen"/>
      <selection pane="bottomLeft" activeCell="B50" sqref="B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2911321</v>
      </c>
      <c r="D5" s="1573">
        <v>615231</v>
      </c>
      <c r="E5" s="1573">
        <v>7664</v>
      </c>
      <c r="F5" s="1573">
        <v>121173</v>
      </c>
      <c r="G5" s="1573">
        <v>6950</v>
      </c>
      <c r="H5" s="1573">
        <v>155</v>
      </c>
      <c r="I5" s="1574"/>
      <c r="J5" s="1574"/>
      <c r="K5" s="1672">
        <f>SUM(C5:J5)</f>
        <v>3662494</v>
      </c>
      <c r="L5" s="1573">
        <f>2932451+617414+6361+121308+8500+200</f>
        <v>3686234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63530</v>
      </c>
      <c r="D7" s="1574">
        <v>11341</v>
      </c>
      <c r="E7" s="1574"/>
      <c r="F7" s="1574">
        <v>249</v>
      </c>
      <c r="G7" s="1574"/>
      <c r="H7" s="1574"/>
      <c r="I7" s="1574"/>
      <c r="J7" s="1574"/>
      <c r="K7" s="1672">
        <f t="shared" ref="K7:K32" si="0">SUM(C7:J7)</f>
        <v>75120</v>
      </c>
      <c r="L7" s="1573">
        <f>64416+10365+300</f>
        <v>75081</v>
      </c>
    </row>
    <row r="8" spans="1:14" x14ac:dyDescent="0.2">
      <c r="A8" s="1274" t="s">
        <v>163</v>
      </c>
      <c r="B8" s="503">
        <v>1200</v>
      </c>
      <c r="C8" s="1573">
        <v>418672</v>
      </c>
      <c r="D8" s="1573">
        <v>125157</v>
      </c>
      <c r="E8" s="1573"/>
      <c r="F8" s="1573">
        <v>4090</v>
      </c>
      <c r="G8" s="1573"/>
      <c r="H8" s="1573"/>
      <c r="I8" s="1574"/>
      <c r="J8" s="1574"/>
      <c r="K8" s="1672">
        <f t="shared" si="0"/>
        <v>547919</v>
      </c>
      <c r="L8" s="1573">
        <f>410440+124496+542+3962+1000</f>
        <v>540440</v>
      </c>
    </row>
    <row r="9" spans="1:14" x14ac:dyDescent="0.2">
      <c r="A9" s="1274" t="s">
        <v>716</v>
      </c>
      <c r="B9" s="503" t="s">
        <v>962</v>
      </c>
      <c r="C9" s="1574">
        <v>82421</v>
      </c>
      <c r="D9" s="1574">
        <v>13776</v>
      </c>
      <c r="E9" s="1574"/>
      <c r="F9" s="1574">
        <v>244</v>
      </c>
      <c r="G9" s="1574"/>
      <c r="H9" s="1574"/>
      <c r="I9" s="1574"/>
      <c r="J9" s="1574"/>
      <c r="K9" s="1672">
        <f t="shared" si="0"/>
        <v>96441</v>
      </c>
      <c r="L9" s="1573">
        <f>85282+13772+500+250</f>
        <v>99804</v>
      </c>
    </row>
    <row r="10" spans="1:14" x14ac:dyDescent="0.2">
      <c r="A10" s="1274" t="s">
        <v>717</v>
      </c>
      <c r="B10" s="503">
        <v>1250</v>
      </c>
      <c r="C10" s="1573">
        <v>69275</v>
      </c>
      <c r="D10" s="1573">
        <v>23121</v>
      </c>
      <c r="E10" s="1573">
        <v>31853</v>
      </c>
      <c r="F10" s="1573">
        <v>19686</v>
      </c>
      <c r="G10" s="1573"/>
      <c r="H10" s="1573"/>
      <c r="I10" s="1574"/>
      <c r="J10" s="1574"/>
      <c r="K10" s="1672">
        <f t="shared" si="0"/>
        <v>143935</v>
      </c>
      <c r="L10" s="1573">
        <f>69800+23088+33000+19600</f>
        <v>145488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191973</v>
      </c>
      <c r="D13" s="1573">
        <v>45738</v>
      </c>
      <c r="E13" s="1573"/>
      <c r="F13" s="1573">
        <v>28557</v>
      </c>
      <c r="G13" s="1573">
        <v>4617</v>
      </c>
      <c r="H13" s="1573">
        <v>3215</v>
      </c>
      <c r="I13" s="1574"/>
      <c r="J13" s="1574"/>
      <c r="K13" s="1672">
        <f t="shared" si="0"/>
        <v>274100</v>
      </c>
      <c r="L13" s="1573">
        <f>192768+45652+31146+4000+350</f>
        <v>273916</v>
      </c>
    </row>
    <row r="14" spans="1:14" x14ac:dyDescent="0.2">
      <c r="A14" s="1274" t="s">
        <v>957</v>
      </c>
      <c r="B14" s="503">
        <v>1500</v>
      </c>
      <c r="C14" s="1573">
        <v>170527</v>
      </c>
      <c r="D14" s="1573">
        <v>12892</v>
      </c>
      <c r="E14" s="1573">
        <v>28082</v>
      </c>
      <c r="F14" s="1573">
        <v>41890</v>
      </c>
      <c r="G14" s="1573">
        <v>1512</v>
      </c>
      <c r="H14" s="1573">
        <v>7520</v>
      </c>
      <c r="I14" s="1574"/>
      <c r="J14" s="1574"/>
      <c r="K14" s="1672">
        <f t="shared" si="0"/>
        <v>262423</v>
      </c>
      <c r="L14" s="1573">
        <f>169446+14019+28081+40559+1511+7766</f>
        <v>261382</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61322</v>
      </c>
      <c r="D17" s="1574">
        <v>13060</v>
      </c>
      <c r="E17" s="1574">
        <v>88</v>
      </c>
      <c r="F17" s="1574">
        <v>941</v>
      </c>
      <c r="G17" s="1574">
        <v>15433</v>
      </c>
      <c r="H17" s="1574"/>
      <c r="I17" s="1574"/>
      <c r="J17" s="1574"/>
      <c r="K17" s="1672">
        <f t="shared" si="0"/>
        <v>90844</v>
      </c>
      <c r="L17" s="1573">
        <f>57899+12642+88+940</f>
        <v>71569</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154862</v>
      </c>
      <c r="I22" s="1673"/>
      <c r="J22" s="1582"/>
      <c r="K22" s="1672">
        <f t="shared" si="0"/>
        <v>154862</v>
      </c>
      <c r="L22" s="1577">
        <v>155000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3969041</v>
      </c>
      <c r="D33" s="1674">
        <f t="shared" ref="D33:L33" si="1">SUM(D5:D32)</f>
        <v>860316</v>
      </c>
      <c r="E33" s="1674">
        <f t="shared" si="1"/>
        <v>67687</v>
      </c>
      <c r="F33" s="1674">
        <f t="shared" si="1"/>
        <v>216830</v>
      </c>
      <c r="G33" s="1674">
        <f t="shared" si="1"/>
        <v>28512</v>
      </c>
      <c r="H33" s="1674">
        <f t="shared" si="1"/>
        <v>165752</v>
      </c>
      <c r="I33" s="1674">
        <f t="shared" si="1"/>
        <v>0</v>
      </c>
      <c r="J33" s="1674">
        <f t="shared" si="1"/>
        <v>0</v>
      </c>
      <c r="K33" s="1674">
        <f t="shared" si="1"/>
        <v>5308138</v>
      </c>
      <c r="L33" s="1674">
        <f t="shared" si="1"/>
        <v>5308914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50102</v>
      </c>
      <c r="D36" s="1586">
        <v>11250</v>
      </c>
      <c r="E36" s="1586"/>
      <c r="F36" s="1586">
        <v>52</v>
      </c>
      <c r="G36" s="1586"/>
      <c r="H36" s="1586"/>
      <c r="I36" s="1574"/>
      <c r="J36" s="1574"/>
      <c r="K36" s="1672">
        <f t="shared" ref="K36:K41" si="2">SUM(C36:J36)</f>
        <v>61404</v>
      </c>
      <c r="L36" s="1573">
        <f>50311+11746+100</f>
        <v>62157</v>
      </c>
    </row>
    <row r="37" spans="1:14" x14ac:dyDescent="0.2">
      <c r="A37" s="1274" t="s">
        <v>1081</v>
      </c>
      <c r="B37" s="503">
        <v>2120</v>
      </c>
      <c r="C37" s="1573">
        <v>90762</v>
      </c>
      <c r="D37" s="1573">
        <v>10544</v>
      </c>
      <c r="E37" s="1573"/>
      <c r="F37" s="1573"/>
      <c r="G37" s="1573"/>
      <c r="H37" s="1573"/>
      <c r="I37" s="1574"/>
      <c r="J37" s="1574"/>
      <c r="K37" s="1672">
        <f t="shared" si="2"/>
        <v>101306</v>
      </c>
      <c r="L37" s="1573">
        <f>90845+11041+900</f>
        <v>102786</v>
      </c>
    </row>
    <row r="38" spans="1:14" x14ac:dyDescent="0.2">
      <c r="A38" s="1274" t="s">
        <v>196</v>
      </c>
      <c r="B38" s="503">
        <v>2130</v>
      </c>
      <c r="C38" s="1573">
        <v>31595</v>
      </c>
      <c r="D38" s="1573">
        <v>12610</v>
      </c>
      <c r="E38" s="1573">
        <v>105</v>
      </c>
      <c r="F38" s="1573">
        <v>1384</v>
      </c>
      <c r="G38" s="1573"/>
      <c r="H38" s="1573"/>
      <c r="I38" s="1574"/>
      <c r="J38" s="1574"/>
      <c r="K38" s="1672">
        <f t="shared" si="2"/>
        <v>45694</v>
      </c>
      <c r="L38" s="1573">
        <f>29796+13031+205+883+500+500</f>
        <v>44915</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72486</v>
      </c>
      <c r="D40" s="1573">
        <v>13879</v>
      </c>
      <c r="E40" s="1573">
        <v>25044</v>
      </c>
      <c r="F40" s="1573">
        <v>818</v>
      </c>
      <c r="G40" s="1573"/>
      <c r="H40" s="1573"/>
      <c r="I40" s="1574"/>
      <c r="J40" s="1574"/>
      <c r="K40" s="1672">
        <f t="shared" si="2"/>
        <v>112227</v>
      </c>
      <c r="L40" s="1573">
        <f>73738+13896+28000+819</f>
        <v>116453</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244945</v>
      </c>
      <c r="D42" s="1674">
        <f t="shared" ref="D42:L42" si="3">SUM(D36:D41)</f>
        <v>48283</v>
      </c>
      <c r="E42" s="1674">
        <f t="shared" si="3"/>
        <v>25149</v>
      </c>
      <c r="F42" s="1674">
        <f t="shared" si="3"/>
        <v>2254</v>
      </c>
      <c r="G42" s="1674">
        <f t="shared" si="3"/>
        <v>0</v>
      </c>
      <c r="H42" s="1674">
        <f t="shared" si="3"/>
        <v>0</v>
      </c>
      <c r="I42" s="1674">
        <f t="shared" si="3"/>
        <v>0</v>
      </c>
      <c r="J42" s="1674">
        <f t="shared" si="3"/>
        <v>0</v>
      </c>
      <c r="K42" s="1674">
        <f t="shared" si="3"/>
        <v>320631</v>
      </c>
      <c r="L42" s="1674">
        <f t="shared" si="3"/>
        <v>326311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7033</v>
      </c>
      <c r="D44" s="1586">
        <v>2485</v>
      </c>
      <c r="E44" s="1586">
        <v>29799</v>
      </c>
      <c r="F44" s="1586">
        <v>3787</v>
      </c>
      <c r="G44" s="1586"/>
      <c r="H44" s="1586"/>
      <c r="I44" s="1574"/>
      <c r="J44" s="1574"/>
      <c r="K44" s="1678">
        <f>SUM(C44:J44)</f>
        <v>43104</v>
      </c>
      <c r="L44" s="1586">
        <f>6000+2473+28000+4394</f>
        <v>40867</v>
      </c>
    </row>
    <row r="45" spans="1:14" x14ac:dyDescent="0.2">
      <c r="A45" s="1274" t="s">
        <v>810</v>
      </c>
      <c r="B45" s="503">
        <v>2220</v>
      </c>
      <c r="C45" s="1573">
        <v>163202</v>
      </c>
      <c r="D45" s="1573">
        <v>23457</v>
      </c>
      <c r="E45" s="1573">
        <v>2263</v>
      </c>
      <c r="F45" s="1573">
        <v>17416</v>
      </c>
      <c r="G45" s="1573">
        <v>644</v>
      </c>
      <c r="H45" s="1573">
        <v>70</v>
      </c>
      <c r="I45" s="1574"/>
      <c r="J45" s="1574"/>
      <c r="K45" s="1678">
        <f>SUM(C45:J45)</f>
        <v>207052</v>
      </c>
      <c r="L45" s="1573">
        <f>163715+23585+4260+18591+750+120</f>
        <v>211021</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170235</v>
      </c>
      <c r="D47" s="1674">
        <f t="shared" ref="D47:K47" si="4">SUM(D44:D46)</f>
        <v>25942</v>
      </c>
      <c r="E47" s="1674">
        <f t="shared" si="4"/>
        <v>32062</v>
      </c>
      <c r="F47" s="1674">
        <f t="shared" si="4"/>
        <v>21203</v>
      </c>
      <c r="G47" s="1674">
        <f t="shared" si="4"/>
        <v>644</v>
      </c>
      <c r="H47" s="1674">
        <f t="shared" si="4"/>
        <v>70</v>
      </c>
      <c r="I47" s="1674">
        <f t="shared" si="4"/>
        <v>0</v>
      </c>
      <c r="J47" s="1674">
        <f t="shared" si="4"/>
        <v>0</v>
      </c>
      <c r="K47" s="1674">
        <f t="shared" si="4"/>
        <v>250156</v>
      </c>
      <c r="L47" s="1674">
        <f>SUM(L44:L46)</f>
        <v>251888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33909</v>
      </c>
      <c r="F49" s="1586">
        <v>2690</v>
      </c>
      <c r="G49" s="1586"/>
      <c r="H49" s="1586">
        <v>5164</v>
      </c>
      <c r="I49" s="1574"/>
      <c r="J49" s="1574"/>
      <c r="K49" s="1678">
        <f>SUM(C49:J49)</f>
        <v>41763</v>
      </c>
      <c r="L49" s="1586">
        <f>44100+400+5500</f>
        <v>50000</v>
      </c>
    </row>
    <row r="50" spans="1:14" x14ac:dyDescent="0.2">
      <c r="A50" s="1274" t="s">
        <v>813</v>
      </c>
      <c r="B50" s="503">
        <v>2320</v>
      </c>
      <c r="C50" s="1573">
        <v>194242</v>
      </c>
      <c r="D50" s="1573">
        <v>29138</v>
      </c>
      <c r="E50" s="1573">
        <v>4239</v>
      </c>
      <c r="F50" s="1573">
        <v>8686</v>
      </c>
      <c r="G50" s="1573">
        <v>7137</v>
      </c>
      <c r="H50" s="1573">
        <v>2258</v>
      </c>
      <c r="I50" s="1574"/>
      <c r="J50" s="1574"/>
      <c r="K50" s="1678">
        <f>SUM(C50:J50)</f>
        <v>245700</v>
      </c>
      <c r="L50" s="1573">
        <f>187260+28371+7500+10000+10000+3000</f>
        <v>246131</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194242</v>
      </c>
      <c r="D53" s="1674">
        <f t="shared" ref="D53:L53" si="5">SUM(D49:D52)</f>
        <v>29138</v>
      </c>
      <c r="E53" s="1674">
        <f t="shared" si="5"/>
        <v>38148</v>
      </c>
      <c r="F53" s="1674">
        <f t="shared" si="5"/>
        <v>11376</v>
      </c>
      <c r="G53" s="1674">
        <f t="shared" si="5"/>
        <v>7137</v>
      </c>
      <c r="H53" s="1674">
        <f t="shared" si="5"/>
        <v>7422</v>
      </c>
      <c r="I53" s="1674">
        <f t="shared" si="5"/>
        <v>0</v>
      </c>
      <c r="J53" s="1674">
        <f t="shared" si="5"/>
        <v>0</v>
      </c>
      <c r="K53" s="1674">
        <f t="shared" si="5"/>
        <v>287463</v>
      </c>
      <c r="L53" s="1674">
        <f t="shared" si="5"/>
        <v>296131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453703</v>
      </c>
      <c r="D55" s="1586">
        <v>79359</v>
      </c>
      <c r="E55" s="1586">
        <v>858</v>
      </c>
      <c r="F55" s="1586">
        <v>2883</v>
      </c>
      <c r="G55" s="1586"/>
      <c r="H55" s="1586">
        <v>1662</v>
      </c>
      <c r="I55" s="1574"/>
      <c r="J55" s="1574"/>
      <c r="K55" s="1678">
        <f>SUM(C55:J55)</f>
        <v>538465</v>
      </c>
      <c r="L55" s="1586">
        <f>411819+79205+1024+2527+1661</f>
        <v>496236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453703</v>
      </c>
      <c r="D57" s="1679">
        <f t="shared" ref="D57:K57" si="6">SUM(D55:D56)</f>
        <v>79359</v>
      </c>
      <c r="E57" s="1679">
        <f t="shared" si="6"/>
        <v>858</v>
      </c>
      <c r="F57" s="1679">
        <f t="shared" si="6"/>
        <v>2883</v>
      </c>
      <c r="G57" s="1679">
        <f t="shared" si="6"/>
        <v>0</v>
      </c>
      <c r="H57" s="1679">
        <f t="shared" si="6"/>
        <v>1662</v>
      </c>
      <c r="I57" s="1679">
        <f t="shared" si="6"/>
        <v>0</v>
      </c>
      <c r="J57" s="1679">
        <f t="shared" si="6"/>
        <v>0</v>
      </c>
      <c r="K57" s="1679">
        <f t="shared" si="6"/>
        <v>538465</v>
      </c>
      <c r="L57" s="1674">
        <f>SUM(L55:L56)</f>
        <v>496236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44434</v>
      </c>
      <c r="D60" s="1573"/>
      <c r="E60" s="1573">
        <v>24822</v>
      </c>
      <c r="F60" s="1573">
        <v>1127</v>
      </c>
      <c r="G60" s="1573"/>
      <c r="H60" s="1573"/>
      <c r="I60" s="1574"/>
      <c r="J60" s="1574"/>
      <c r="K60" s="1678">
        <f t="shared" si="7"/>
        <v>70383</v>
      </c>
      <c r="L60" s="1573">
        <f>50680+24411+1200</f>
        <v>76291</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177398</v>
      </c>
      <c r="D63" s="1573">
        <v>11930</v>
      </c>
      <c r="E63" s="1573">
        <v>1013</v>
      </c>
      <c r="F63" s="1573">
        <v>167305</v>
      </c>
      <c r="G63" s="1573">
        <v>559</v>
      </c>
      <c r="H63" s="1573"/>
      <c r="I63" s="1574"/>
      <c r="J63" s="1574"/>
      <c r="K63" s="1678">
        <f t="shared" si="7"/>
        <v>358205</v>
      </c>
      <c r="L63" s="1573">
        <f>183488+12049+1121+181500+100</f>
        <v>378258</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221832</v>
      </c>
      <c r="D65" s="1674">
        <f t="shared" ref="D65:L65" si="8">SUM(D59:D64)</f>
        <v>11930</v>
      </c>
      <c r="E65" s="1674">
        <f t="shared" si="8"/>
        <v>25835</v>
      </c>
      <c r="F65" s="1674">
        <f t="shared" si="8"/>
        <v>168432</v>
      </c>
      <c r="G65" s="1674">
        <f t="shared" si="8"/>
        <v>559</v>
      </c>
      <c r="H65" s="1674">
        <f t="shared" si="8"/>
        <v>0</v>
      </c>
      <c r="I65" s="1674">
        <f t="shared" si="8"/>
        <v>0</v>
      </c>
      <c r="J65" s="1674">
        <f t="shared" si="8"/>
        <v>0</v>
      </c>
      <c r="K65" s="1674">
        <f t="shared" si="8"/>
        <v>428588</v>
      </c>
      <c r="L65" s="1674">
        <f t="shared" si="8"/>
        <v>454549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v>64900</v>
      </c>
      <c r="D69" s="1573"/>
      <c r="E69" s="1573">
        <v>6551</v>
      </c>
      <c r="F69" s="1573"/>
      <c r="G69" s="1573"/>
      <c r="H69" s="1573"/>
      <c r="I69" s="1574">
        <v>148880</v>
      </c>
      <c r="J69" s="1574"/>
      <c r="K69" s="1678">
        <f>SUM(C69:J69)</f>
        <v>220331</v>
      </c>
      <c r="L69" s="1573">
        <f>64900+11000+1500+141000</f>
        <v>218400</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64900</v>
      </c>
      <c r="D72" s="1674">
        <f t="shared" ref="D72:K72" si="9">SUM(D67:D71)</f>
        <v>0</v>
      </c>
      <c r="E72" s="1674">
        <f t="shared" si="9"/>
        <v>6551</v>
      </c>
      <c r="F72" s="1674">
        <f t="shared" si="9"/>
        <v>0</v>
      </c>
      <c r="G72" s="1674">
        <f t="shared" si="9"/>
        <v>0</v>
      </c>
      <c r="H72" s="1674">
        <f t="shared" si="9"/>
        <v>0</v>
      </c>
      <c r="I72" s="1674">
        <f t="shared" si="9"/>
        <v>148880</v>
      </c>
      <c r="J72" s="1674">
        <f t="shared" si="9"/>
        <v>0</v>
      </c>
      <c r="K72" s="1674">
        <f t="shared" si="9"/>
        <v>220331</v>
      </c>
      <c r="L72" s="1674">
        <f>SUM(L67:L71)</f>
        <v>218400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1349857</v>
      </c>
      <c r="D74" s="1681">
        <f t="shared" ref="D74:K74" si="10">SUM(D42,D47,D53,D57,D65,D72,D73)</f>
        <v>194652</v>
      </c>
      <c r="E74" s="1681">
        <f t="shared" si="10"/>
        <v>128603</v>
      </c>
      <c r="F74" s="1681">
        <f t="shared" si="10"/>
        <v>206148</v>
      </c>
      <c r="G74" s="1681">
        <f t="shared" si="10"/>
        <v>8340</v>
      </c>
      <c r="H74" s="1681">
        <f t="shared" si="10"/>
        <v>9154</v>
      </c>
      <c r="I74" s="1681">
        <f t="shared" si="10"/>
        <v>148880</v>
      </c>
      <c r="J74" s="1681">
        <f t="shared" si="10"/>
        <v>0</v>
      </c>
      <c r="K74" s="1681">
        <f t="shared" si="10"/>
        <v>2045634</v>
      </c>
      <c r="L74" s="1681">
        <f>SUM(L42,L47,L53,L57,L65,L72,L73)</f>
        <v>2043515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9812</v>
      </c>
      <c r="I78" s="1582"/>
      <c r="J78" s="1582"/>
      <c r="K78" s="1672">
        <f t="shared" ref="K78:K83" si="11">SUM(C78:J78)</f>
        <v>9812</v>
      </c>
      <c r="L78" s="1586">
        <v>1600</v>
      </c>
    </row>
    <row r="79" spans="1:14" x14ac:dyDescent="0.2">
      <c r="A79" s="1274" t="s">
        <v>301</v>
      </c>
      <c r="B79" s="503">
        <v>4120</v>
      </c>
      <c r="C79" s="1673"/>
      <c r="D79" s="1673"/>
      <c r="E79" s="1573"/>
      <c r="F79" s="1673"/>
      <c r="G79" s="1673"/>
      <c r="H79" s="1573">
        <v>600110</v>
      </c>
      <c r="I79" s="1582"/>
      <c r="J79" s="1582"/>
      <c r="K79" s="1672">
        <f t="shared" si="11"/>
        <v>600110</v>
      </c>
      <c r="L79" s="1573">
        <v>605419</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37029</v>
      </c>
      <c r="I81" s="1582"/>
      <c r="J81" s="1582"/>
      <c r="K81" s="1672">
        <f t="shared" si="11"/>
        <v>37029</v>
      </c>
      <c r="L81" s="1573">
        <v>37700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646951</v>
      </c>
      <c r="I84" s="1582"/>
      <c r="J84" s="1582"/>
      <c r="K84" s="1674">
        <f>SUM(K78:K83)</f>
        <v>646951</v>
      </c>
      <c r="L84" s="1674">
        <f>SUM(L78:L83)</f>
        <v>644719</v>
      </c>
    </row>
    <row r="85" spans="1:12" ht="12.75" customHeight="1" thickTop="1" thickBot="1" x14ac:dyDescent="0.25">
      <c r="A85" s="1281" t="s">
        <v>253</v>
      </c>
      <c r="B85" s="517">
        <v>4210</v>
      </c>
      <c r="C85" s="1673"/>
      <c r="D85" s="1673"/>
      <c r="E85" s="1683"/>
      <c r="F85" s="1673"/>
      <c r="G85" s="1673"/>
      <c r="H85" s="1630">
        <v>786</v>
      </c>
      <c r="I85" s="1582"/>
      <c r="J85" s="1582"/>
      <c r="K85" s="1681">
        <f>H85</f>
        <v>786</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786</v>
      </c>
      <c r="I92" s="1582"/>
      <c r="J92" s="1582"/>
      <c r="K92" s="1681">
        <f t="shared" si="12"/>
        <v>786</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647737</v>
      </c>
      <c r="I102" s="1582"/>
      <c r="J102" s="1582"/>
      <c r="K102" s="1681">
        <f>SUM(K84,K92,K100,K101)</f>
        <v>647737</v>
      </c>
      <c r="L102" s="1681">
        <f>SUM(L84,L92,L100,L101)</f>
        <v>644719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5318898</v>
      </c>
      <c r="D114" s="1674">
        <f t="shared" ref="D114:K114" si="13">SUM(D33,D74,D75,D102,D112,D113)</f>
        <v>1054968</v>
      </c>
      <c r="E114" s="1674">
        <f t="shared" si="13"/>
        <v>196290</v>
      </c>
      <c r="F114" s="1674">
        <f t="shared" si="13"/>
        <v>422978</v>
      </c>
      <c r="G114" s="1674">
        <f t="shared" si="13"/>
        <v>36852</v>
      </c>
      <c r="H114" s="1674">
        <f>SUM(H33,H74,H75,H102,H112,H113)</f>
        <v>822643</v>
      </c>
      <c r="I114" s="1674">
        <f t="shared" si="13"/>
        <v>148880</v>
      </c>
      <c r="J114" s="1674">
        <f t="shared" si="13"/>
        <v>0</v>
      </c>
      <c r="K114" s="1674">
        <f t="shared" si="13"/>
        <v>8001509</v>
      </c>
      <c r="L114" s="1674">
        <f>SUM(L33,L74,L75,L102,L112,L113)</f>
        <v>7997148</v>
      </c>
    </row>
    <row r="115" spans="1:14" ht="13.5" thickTop="1" x14ac:dyDescent="0.2">
      <c r="A115" s="2286" t="s">
        <v>989</v>
      </c>
      <c r="B115" s="2287"/>
      <c r="C115" s="1675"/>
      <c r="D115" s="1675"/>
      <c r="E115" s="1675"/>
      <c r="F115" s="1675"/>
      <c r="G115" s="1675"/>
      <c r="H115" s="1675"/>
      <c r="I115" s="1675"/>
      <c r="J115" s="1675"/>
      <c r="K115" s="1689">
        <f>'Revenues 9-14'!C268-'Expenditures 15-22'!K114</f>
        <v>477938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487384</v>
      </c>
      <c r="D124" s="1573">
        <v>55193</v>
      </c>
      <c r="E124" s="1573">
        <v>389112</v>
      </c>
      <c r="F124" s="1573">
        <v>108998</v>
      </c>
      <c r="G124" s="1573">
        <v>3630</v>
      </c>
      <c r="H124" s="1573">
        <v>100</v>
      </c>
      <c r="I124" s="1574"/>
      <c r="J124" s="1574"/>
      <c r="K124" s="1674">
        <f>SUM(C124:J124)</f>
        <v>1044417</v>
      </c>
      <c r="L124" s="1573">
        <f>495647+54946+400100+109200+4500+100</f>
        <v>1064493</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487384</v>
      </c>
      <c r="D127" s="1674">
        <f t="shared" ref="D127:L127" si="14">SUM(D122:D126)</f>
        <v>55193</v>
      </c>
      <c r="E127" s="1674">
        <f t="shared" si="14"/>
        <v>389112</v>
      </c>
      <c r="F127" s="1674">
        <f t="shared" si="14"/>
        <v>108998</v>
      </c>
      <c r="G127" s="1674">
        <f t="shared" si="14"/>
        <v>3630</v>
      </c>
      <c r="H127" s="1674">
        <f t="shared" si="14"/>
        <v>100</v>
      </c>
      <c r="I127" s="1674">
        <f t="shared" si="14"/>
        <v>0</v>
      </c>
      <c r="J127" s="1674">
        <f t="shared" si="14"/>
        <v>0</v>
      </c>
      <c r="K127" s="1674">
        <f t="shared" si="14"/>
        <v>1044417</v>
      </c>
      <c r="L127" s="1674">
        <f t="shared" si="14"/>
        <v>1064493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487384</v>
      </c>
      <c r="D129" s="1681">
        <f t="shared" ref="D129:L129" si="15">SUM(D120,D127,D128)</f>
        <v>55193</v>
      </c>
      <c r="E129" s="1681">
        <f t="shared" si="15"/>
        <v>389112</v>
      </c>
      <c r="F129" s="1681">
        <f t="shared" si="15"/>
        <v>108998</v>
      </c>
      <c r="G129" s="1681">
        <f t="shared" si="15"/>
        <v>3630</v>
      </c>
      <c r="H129" s="1681">
        <f t="shared" si="15"/>
        <v>100</v>
      </c>
      <c r="I129" s="1681">
        <f t="shared" si="15"/>
        <v>0</v>
      </c>
      <c r="J129" s="1681">
        <f t="shared" si="15"/>
        <v>0</v>
      </c>
      <c r="K129" s="1681">
        <f t="shared" si="15"/>
        <v>1044417</v>
      </c>
      <c r="L129" s="1681">
        <f t="shared" si="15"/>
        <v>1064493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487384</v>
      </c>
      <c r="D151" s="1674">
        <f t="shared" ref="D151:K151" si="16">SUM(D129,D130,D139,D149,D150)</f>
        <v>55193</v>
      </c>
      <c r="E151" s="1674">
        <f t="shared" si="16"/>
        <v>389112</v>
      </c>
      <c r="F151" s="1674">
        <f t="shared" si="16"/>
        <v>108998</v>
      </c>
      <c r="G151" s="1674">
        <f t="shared" si="16"/>
        <v>3630</v>
      </c>
      <c r="H151" s="1674">
        <f t="shared" si="16"/>
        <v>100</v>
      </c>
      <c r="I151" s="1674">
        <f t="shared" si="16"/>
        <v>0</v>
      </c>
      <c r="J151" s="1674">
        <f t="shared" si="16"/>
        <v>0</v>
      </c>
      <c r="K151" s="1674">
        <f t="shared" si="16"/>
        <v>1044417</v>
      </c>
      <c r="L151" s="1674">
        <f>SUM(L129,L130,L139,L149,L150)</f>
        <v>1064493</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1379133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62865</v>
      </c>
      <c r="I169" s="1673"/>
      <c r="J169" s="1673"/>
      <c r="K169" s="1672">
        <f>SUM(C169:H169)</f>
        <v>62865</v>
      </c>
      <c r="L169" s="1695">
        <v>62865</v>
      </c>
    </row>
    <row r="170" spans="1:14" ht="33.75" customHeight="1" x14ac:dyDescent="0.2">
      <c r="A170" s="543" t="s">
        <v>1651</v>
      </c>
      <c r="B170" s="545" t="s">
        <v>31</v>
      </c>
      <c r="C170" s="1673"/>
      <c r="D170" s="1673"/>
      <c r="E170" s="1673"/>
      <c r="F170" s="1673"/>
      <c r="G170" s="1673"/>
      <c r="H170" s="1646">
        <v>549000</v>
      </c>
      <c r="I170" s="1673"/>
      <c r="J170" s="1673"/>
      <c r="K170" s="1672">
        <f>SUM(C170:J170)</f>
        <v>549000</v>
      </c>
      <c r="L170" s="1646">
        <v>549000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611865</v>
      </c>
      <c r="I172" s="1684"/>
      <c r="J172" s="1673"/>
      <c r="K172" s="1681">
        <f>SUM(K168,K169,K170,K171)</f>
        <v>611865</v>
      </c>
      <c r="L172" s="1681">
        <f>SUM(L168,L169,L170,L171)</f>
        <v>611865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611865</v>
      </c>
      <c r="I174" s="1684"/>
      <c r="J174" s="1673"/>
      <c r="K174" s="1681">
        <f>SUM(K160,K172,K173)</f>
        <v>611865</v>
      </c>
      <c r="L174" s="1681">
        <f>SUM(L160,L172,L173)</f>
        <v>611865</v>
      </c>
    </row>
    <row r="175" spans="1:14" ht="13.5" thickTop="1" x14ac:dyDescent="0.2">
      <c r="A175" s="2286" t="s">
        <v>989</v>
      </c>
      <c r="B175" s="2287"/>
      <c r="C175" s="1673"/>
      <c r="D175" s="1673"/>
      <c r="E175" s="1673"/>
      <c r="F175" s="1673"/>
      <c r="G175" s="1673"/>
      <c r="H175" s="1675"/>
      <c r="I175" s="1673"/>
      <c r="J175" s="1673"/>
      <c r="K175" s="1689">
        <f>'Revenues 9-14'!E268-'Expenditures 15-22'!K174</f>
        <v>36689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345824</v>
      </c>
      <c r="D182" s="1573">
        <v>9575</v>
      </c>
      <c r="E182" s="1573">
        <v>44829</v>
      </c>
      <c r="F182" s="1573">
        <v>91661</v>
      </c>
      <c r="G182" s="1573"/>
      <c r="H182" s="1573">
        <v>13109</v>
      </c>
      <c r="I182" s="1574"/>
      <c r="J182" s="1574"/>
      <c r="K182" s="1672">
        <f>SUM(C182:J182)</f>
        <v>504998</v>
      </c>
      <c r="L182" s="1573">
        <f>350004+10148+15525+99000+1000+12000</f>
        <v>487677</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345824</v>
      </c>
      <c r="D184" s="1681">
        <f t="shared" ref="D184:J184" si="17">SUM(D180,D182,D183)</f>
        <v>9575</v>
      </c>
      <c r="E184" s="1681">
        <f t="shared" si="17"/>
        <v>44829</v>
      </c>
      <c r="F184" s="1681">
        <f t="shared" si="17"/>
        <v>91661</v>
      </c>
      <c r="G184" s="1681">
        <f t="shared" si="17"/>
        <v>0</v>
      </c>
      <c r="H184" s="1681">
        <f t="shared" si="17"/>
        <v>13109</v>
      </c>
      <c r="I184" s="1681">
        <f t="shared" si="17"/>
        <v>0</v>
      </c>
      <c r="J184" s="1681">
        <f t="shared" si="17"/>
        <v>0</v>
      </c>
      <c r="K184" s="1681">
        <f>SUM(K180,K182,K183)</f>
        <v>504998</v>
      </c>
      <c r="L184" s="1681">
        <f>SUM(L180, L182:L183)</f>
        <v>487677</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33008</v>
      </c>
      <c r="I205" s="1673"/>
      <c r="J205" s="1673"/>
      <c r="K205" s="1696">
        <f>SUM(H205)</f>
        <v>33008</v>
      </c>
      <c r="L205" s="1630">
        <v>33009</v>
      </c>
    </row>
    <row r="206" spans="1:14" ht="30" customHeight="1" x14ac:dyDescent="0.2">
      <c r="A206" s="555" t="s">
        <v>1652</v>
      </c>
      <c r="B206" s="546" t="s">
        <v>31</v>
      </c>
      <c r="C206" s="1673"/>
      <c r="D206" s="1673"/>
      <c r="E206" s="1673"/>
      <c r="F206" s="1673"/>
      <c r="G206" s="1673"/>
      <c r="H206" s="1573">
        <v>159282</v>
      </c>
      <c r="I206" s="1673"/>
      <c r="J206" s="1673"/>
      <c r="K206" s="1672">
        <f>SUM(H206)</f>
        <v>159282</v>
      </c>
      <c r="L206" s="1573">
        <v>159282</v>
      </c>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192290</v>
      </c>
      <c r="I208" s="1673"/>
      <c r="J208" s="1673"/>
      <c r="K208" s="1681">
        <f>SUM(K204,K205,K206,K207)</f>
        <v>192290</v>
      </c>
      <c r="L208" s="1681">
        <f>SUM(L204,L205,L206,L207)</f>
        <v>192291</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345824</v>
      </c>
      <c r="D210" s="1674">
        <f>SUM(D184,D185)</f>
        <v>9575</v>
      </c>
      <c r="E210" s="1674">
        <f>SUM(E184,E185,E196)</f>
        <v>44829</v>
      </c>
      <c r="F210" s="1674">
        <f>SUM(F184,F185)</f>
        <v>91661</v>
      </c>
      <c r="G210" s="1674">
        <f>SUM(G184,G185)</f>
        <v>0</v>
      </c>
      <c r="H210" s="1674">
        <f>SUM(H184,H185,H196,H208,H209)</f>
        <v>205399</v>
      </c>
      <c r="I210" s="1674">
        <f>SUM(I184,I185)</f>
        <v>0</v>
      </c>
      <c r="J210" s="1674">
        <f>SUM(J184,J185)</f>
        <v>0</v>
      </c>
      <c r="K210" s="1672">
        <f>SUM(K184,K185,K196,K208,K209)</f>
        <v>697288</v>
      </c>
      <c r="L210" s="1674">
        <f>SUM(L184,L185,L196,L208,L209)</f>
        <v>679968</v>
      </c>
    </row>
    <row r="211" spans="1:14" ht="13.5" thickTop="1" x14ac:dyDescent="0.2">
      <c r="A211" s="2286" t="s">
        <v>989</v>
      </c>
      <c r="B211" s="2287"/>
      <c r="C211" s="1675"/>
      <c r="D211" s="1675"/>
      <c r="E211" s="1675"/>
      <c r="F211" s="1675"/>
      <c r="G211" s="1675"/>
      <c r="H211" s="1675"/>
      <c r="I211" s="1673"/>
      <c r="J211" s="1673"/>
      <c r="K211" s="1689">
        <f>'Revenues 9-14'!F268-'Expenditures 15-22'!K210</f>
        <v>271273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61707</v>
      </c>
      <c r="E215" s="1673"/>
      <c r="F215" s="1673"/>
      <c r="G215" s="1673"/>
      <c r="H215" s="1673"/>
      <c r="I215" s="1673"/>
      <c r="J215" s="1673"/>
      <c r="K215" s="1672">
        <f>D215</f>
        <v>61707</v>
      </c>
      <c r="L215" s="1573">
        <v>62779</v>
      </c>
    </row>
    <row r="216" spans="1:14" x14ac:dyDescent="0.2">
      <c r="A216" s="1274" t="s">
        <v>162</v>
      </c>
      <c r="B216" s="503" t="s">
        <v>961</v>
      </c>
      <c r="C216" s="1673"/>
      <c r="D216" s="1574">
        <v>4510</v>
      </c>
      <c r="E216" s="1673"/>
      <c r="F216" s="1673"/>
      <c r="G216" s="1673"/>
      <c r="H216" s="1673"/>
      <c r="I216" s="1673"/>
      <c r="J216" s="1673"/>
      <c r="K216" s="1672">
        <f t="shared" ref="K216:K228" si="19">D216</f>
        <v>4510</v>
      </c>
      <c r="L216" s="1573">
        <v>4540</v>
      </c>
    </row>
    <row r="217" spans="1:14" x14ac:dyDescent="0.2">
      <c r="A217" s="1274" t="s">
        <v>163</v>
      </c>
      <c r="B217" s="503">
        <v>1200</v>
      </c>
      <c r="C217" s="1673"/>
      <c r="D217" s="1573">
        <v>35031</v>
      </c>
      <c r="E217" s="1673"/>
      <c r="F217" s="1673"/>
      <c r="G217" s="1673"/>
      <c r="H217" s="1673"/>
      <c r="I217" s="1673"/>
      <c r="J217" s="1673"/>
      <c r="K217" s="1672">
        <f t="shared" si="19"/>
        <v>35031</v>
      </c>
      <c r="L217" s="1573">
        <v>34848</v>
      </c>
    </row>
    <row r="218" spans="1:14" x14ac:dyDescent="0.2">
      <c r="A218" s="1274" t="s">
        <v>276</v>
      </c>
      <c r="B218" s="503" t="s">
        <v>962</v>
      </c>
      <c r="C218" s="1673"/>
      <c r="D218" s="1574">
        <v>5218</v>
      </c>
      <c r="E218" s="1673"/>
      <c r="F218" s="1673"/>
      <c r="G218" s="1673"/>
      <c r="H218" s="1673"/>
      <c r="I218" s="1673"/>
      <c r="J218" s="1673"/>
      <c r="K218" s="1672">
        <f t="shared" si="19"/>
        <v>5218</v>
      </c>
      <c r="L218" s="1573">
        <v>5235</v>
      </c>
    </row>
    <row r="219" spans="1:14" x14ac:dyDescent="0.2">
      <c r="A219" s="1274" t="s">
        <v>277</v>
      </c>
      <c r="B219" s="503">
        <v>1250</v>
      </c>
      <c r="C219" s="1673"/>
      <c r="D219" s="1573">
        <v>978</v>
      </c>
      <c r="E219" s="1673"/>
      <c r="F219" s="1673"/>
      <c r="G219" s="1673"/>
      <c r="H219" s="1673"/>
      <c r="I219" s="1673"/>
      <c r="J219" s="1673"/>
      <c r="K219" s="1672">
        <f t="shared" si="19"/>
        <v>978</v>
      </c>
      <c r="L219" s="1573">
        <v>981</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2670</v>
      </c>
      <c r="E222" s="1673"/>
      <c r="F222" s="1673"/>
      <c r="G222" s="1673"/>
      <c r="H222" s="1673"/>
      <c r="I222" s="1673"/>
      <c r="J222" s="1673"/>
      <c r="K222" s="1672">
        <f t="shared" si="19"/>
        <v>2670</v>
      </c>
      <c r="L222" s="1573">
        <v>2680</v>
      </c>
    </row>
    <row r="223" spans="1:14" x14ac:dyDescent="0.2">
      <c r="A223" s="1274" t="s">
        <v>957</v>
      </c>
      <c r="B223" s="503">
        <v>1500</v>
      </c>
      <c r="C223" s="1673"/>
      <c r="D223" s="1573">
        <v>6561</v>
      </c>
      <c r="E223" s="1673"/>
      <c r="F223" s="1673"/>
      <c r="G223" s="1673"/>
      <c r="H223" s="1673"/>
      <c r="I223" s="1673"/>
      <c r="J223" s="1673"/>
      <c r="K223" s="1672">
        <f t="shared" si="19"/>
        <v>6561</v>
      </c>
      <c r="L223" s="1573">
        <v>6523</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836</v>
      </c>
      <c r="E226" s="1673"/>
      <c r="F226" s="1673"/>
      <c r="G226" s="1673"/>
      <c r="H226" s="1673"/>
      <c r="I226" s="1673"/>
      <c r="J226" s="1673"/>
      <c r="K226" s="1672">
        <f t="shared" si="19"/>
        <v>836</v>
      </c>
      <c r="L226" s="1573">
        <v>788</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117511</v>
      </c>
      <c r="E229" s="1673"/>
      <c r="F229" s="1673"/>
      <c r="G229" s="1673"/>
      <c r="H229" s="1673"/>
      <c r="I229" s="1673"/>
      <c r="J229" s="1673"/>
      <c r="K229" s="1674">
        <f>SUM(K215:K228)</f>
        <v>117511</v>
      </c>
      <c r="L229" s="1674">
        <f>SUM(L215:L228)</f>
        <v>118374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726</v>
      </c>
      <c r="E232" s="1673"/>
      <c r="F232" s="1673"/>
      <c r="G232" s="1673"/>
      <c r="H232" s="1673"/>
      <c r="I232" s="1673"/>
      <c r="J232" s="1673"/>
      <c r="K232" s="1672">
        <f t="shared" ref="K232:K237" si="20">D232</f>
        <v>726</v>
      </c>
      <c r="L232" s="1573">
        <v>730</v>
      </c>
    </row>
    <row r="233" spans="1:12" x14ac:dyDescent="0.2">
      <c r="A233" s="1274" t="s">
        <v>1081</v>
      </c>
      <c r="B233" s="503">
        <v>2120</v>
      </c>
      <c r="C233" s="1673"/>
      <c r="D233" s="1573">
        <v>8432</v>
      </c>
      <c r="E233" s="1673"/>
      <c r="F233" s="1673"/>
      <c r="G233" s="1673"/>
      <c r="H233" s="1673"/>
      <c r="I233" s="1673"/>
      <c r="J233" s="1673"/>
      <c r="K233" s="1672">
        <f t="shared" si="20"/>
        <v>8432</v>
      </c>
      <c r="L233" s="1573">
        <v>8390</v>
      </c>
    </row>
    <row r="234" spans="1:12" x14ac:dyDescent="0.2">
      <c r="A234" s="1274" t="s">
        <v>196</v>
      </c>
      <c r="B234" s="503">
        <v>2130</v>
      </c>
      <c r="C234" s="1673"/>
      <c r="D234" s="1573">
        <v>902</v>
      </c>
      <c r="E234" s="1673"/>
      <c r="F234" s="1673"/>
      <c r="G234" s="1673"/>
      <c r="H234" s="1673"/>
      <c r="I234" s="1673"/>
      <c r="J234" s="1673"/>
      <c r="K234" s="1672">
        <f t="shared" si="20"/>
        <v>902</v>
      </c>
      <c r="L234" s="1573">
        <v>912</v>
      </c>
    </row>
    <row r="235" spans="1:12" x14ac:dyDescent="0.2">
      <c r="A235" s="1274" t="s">
        <v>197</v>
      </c>
      <c r="B235" s="503">
        <v>2140</v>
      </c>
      <c r="C235" s="1673"/>
      <c r="D235" s="1573">
        <v>1243</v>
      </c>
      <c r="E235" s="1673"/>
      <c r="F235" s="1673"/>
      <c r="G235" s="1673"/>
      <c r="H235" s="1673"/>
      <c r="I235" s="1673"/>
      <c r="J235" s="1673"/>
      <c r="K235" s="1672">
        <f t="shared" si="20"/>
        <v>1243</v>
      </c>
      <c r="L235" s="1573">
        <v>900</v>
      </c>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11303</v>
      </c>
      <c r="E238" s="1673"/>
      <c r="F238" s="1673"/>
      <c r="G238" s="1673"/>
      <c r="H238" s="1673"/>
      <c r="I238" s="1673"/>
      <c r="J238" s="1673"/>
      <c r="K238" s="1674">
        <f>SUM(K232:K237)</f>
        <v>11303</v>
      </c>
      <c r="L238" s="1674">
        <f>SUM(L232:L237)</f>
        <v>10932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102</v>
      </c>
      <c r="E240" s="1673"/>
      <c r="F240" s="1673"/>
      <c r="G240" s="1673"/>
      <c r="H240" s="1673"/>
      <c r="I240" s="1673"/>
      <c r="J240" s="1673"/>
      <c r="K240" s="1678">
        <f>D240</f>
        <v>102</v>
      </c>
      <c r="L240" s="1586">
        <v>104</v>
      </c>
    </row>
    <row r="241" spans="1:12" x14ac:dyDescent="0.2">
      <c r="A241" s="1274" t="s">
        <v>810</v>
      </c>
      <c r="B241" s="503">
        <v>2220</v>
      </c>
      <c r="C241" s="1673"/>
      <c r="D241" s="1573">
        <v>8023</v>
      </c>
      <c r="E241" s="1673"/>
      <c r="F241" s="1673"/>
      <c r="G241" s="1673"/>
      <c r="H241" s="1673"/>
      <c r="I241" s="1673"/>
      <c r="J241" s="1673"/>
      <c r="K241" s="1678">
        <f>D241</f>
        <v>8023</v>
      </c>
      <c r="L241" s="1573">
        <v>8310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8125</v>
      </c>
      <c r="E243" s="1673"/>
      <c r="F243" s="1673"/>
      <c r="G243" s="1673"/>
      <c r="H243" s="1673"/>
      <c r="I243" s="1673"/>
      <c r="J243" s="1673"/>
      <c r="K243" s="1674">
        <f>SUM(K240:K242)</f>
        <v>8125</v>
      </c>
      <c r="L243" s="1674">
        <f>SUM(L240:L242)</f>
        <v>8414</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11280</v>
      </c>
      <c r="E246" s="1673"/>
      <c r="F246" s="1673"/>
      <c r="G246" s="1673"/>
      <c r="H246" s="1673"/>
      <c r="I246" s="1673"/>
      <c r="J246" s="1673"/>
      <c r="K246" s="1678">
        <f t="shared" ref="K246:K256" si="21">D246</f>
        <v>11280</v>
      </c>
      <c r="L246" s="1573">
        <v>11370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11280</v>
      </c>
      <c r="E257" s="1673"/>
      <c r="F257" s="1673"/>
      <c r="G257" s="1673"/>
      <c r="H257" s="1673"/>
      <c r="I257" s="1673"/>
      <c r="J257" s="1673"/>
      <c r="K257" s="1674">
        <f>SUM(K245:K256)</f>
        <v>11280</v>
      </c>
      <c r="L257" s="1674">
        <f>SUM(L245:L256)</f>
        <v>11370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27424</v>
      </c>
      <c r="E259" s="1673"/>
      <c r="F259" s="1673"/>
      <c r="G259" s="1673"/>
      <c r="H259" s="1673"/>
      <c r="I259" s="1673"/>
      <c r="J259" s="1673"/>
      <c r="K259" s="1678">
        <f>D259</f>
        <v>27424</v>
      </c>
      <c r="L259" s="1586">
        <v>27932</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27424</v>
      </c>
      <c r="E261" s="1673"/>
      <c r="F261" s="1673"/>
      <c r="G261" s="1673"/>
      <c r="H261" s="1673"/>
      <c r="I261" s="1673"/>
      <c r="J261" s="1673"/>
      <c r="K261" s="1674">
        <f>SUM(K259:K260)</f>
        <v>27424</v>
      </c>
      <c r="L261" s="1674">
        <f>SUM(L259:L260)</f>
        <v>27932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9432</v>
      </c>
      <c r="E264" s="1673"/>
      <c r="F264" s="1673"/>
      <c r="G264" s="1673"/>
      <c r="H264" s="1673"/>
      <c r="I264" s="1673"/>
      <c r="J264" s="1673"/>
      <c r="K264" s="1678">
        <f t="shared" ref="K264:K269" si="22">D264</f>
        <v>9432</v>
      </c>
      <c r="L264" s="1573">
        <v>9446</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85381</v>
      </c>
      <c r="E266" s="1673"/>
      <c r="F266" s="1673"/>
      <c r="G266" s="1673"/>
      <c r="H266" s="1673"/>
      <c r="I266" s="1673"/>
      <c r="J266" s="1673"/>
      <c r="K266" s="1678">
        <f t="shared" si="22"/>
        <v>85381</v>
      </c>
      <c r="L266" s="1573">
        <v>86075</v>
      </c>
    </row>
    <row r="267" spans="1:14" x14ac:dyDescent="0.2">
      <c r="A267" s="1274" t="s">
        <v>947</v>
      </c>
      <c r="B267" s="503">
        <v>2550</v>
      </c>
      <c r="C267" s="1673"/>
      <c r="D267" s="1573">
        <v>63138</v>
      </c>
      <c r="E267" s="1673"/>
      <c r="F267" s="1673"/>
      <c r="G267" s="1673"/>
      <c r="H267" s="1673"/>
      <c r="I267" s="1673"/>
      <c r="J267" s="1673"/>
      <c r="K267" s="1678">
        <f t="shared" si="22"/>
        <v>63138</v>
      </c>
      <c r="L267" s="1573">
        <v>64020</v>
      </c>
    </row>
    <row r="268" spans="1:14" x14ac:dyDescent="0.2">
      <c r="A268" s="1274" t="s">
        <v>100</v>
      </c>
      <c r="B268" s="503">
        <v>2560</v>
      </c>
      <c r="C268" s="1673"/>
      <c r="D268" s="1573">
        <v>31819</v>
      </c>
      <c r="E268" s="1673"/>
      <c r="F268" s="1673"/>
      <c r="G268" s="1673"/>
      <c r="H268" s="1673"/>
      <c r="I268" s="1673"/>
      <c r="J268" s="1673"/>
      <c r="K268" s="1678">
        <f t="shared" si="22"/>
        <v>31819</v>
      </c>
      <c r="L268" s="1573">
        <v>31625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189770</v>
      </c>
      <c r="E270" s="1673"/>
      <c r="F270" s="1673"/>
      <c r="G270" s="1673"/>
      <c r="H270" s="1673"/>
      <c r="I270" s="1673"/>
      <c r="J270" s="1673"/>
      <c r="K270" s="1674">
        <f>SUM(K263:K269)</f>
        <v>189770</v>
      </c>
      <c r="L270" s="1674">
        <f>SUM(L263:L269)</f>
        <v>191166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12558</v>
      </c>
      <c r="E274" s="1673"/>
      <c r="F274" s="1673"/>
      <c r="G274" s="1673"/>
      <c r="H274" s="1673"/>
      <c r="I274" s="1673"/>
      <c r="J274" s="1673"/>
      <c r="K274" s="1678">
        <f>D274</f>
        <v>12558</v>
      </c>
      <c r="L274" s="1573">
        <v>4966</v>
      </c>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12558</v>
      </c>
      <c r="E277" s="1673"/>
      <c r="F277" s="1673"/>
      <c r="G277" s="1673"/>
      <c r="H277" s="1673"/>
      <c r="I277" s="1673"/>
      <c r="J277" s="1673"/>
      <c r="K277" s="1674">
        <f>SUM(K272:K276)</f>
        <v>12558</v>
      </c>
      <c r="L277" s="1674">
        <f>SUM(L272:L276)</f>
        <v>4966</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260460</v>
      </c>
      <c r="E279" s="1673"/>
      <c r="F279" s="1673"/>
      <c r="G279" s="1673"/>
      <c r="H279" s="1673"/>
      <c r="I279" s="1673"/>
      <c r="J279" s="1673"/>
      <c r="K279" s="1681">
        <f>SUM(K238,K243,K257,K261,K270,K277,K278)</f>
        <v>260460</v>
      </c>
      <c r="L279" s="1681">
        <f>SUM(L238,L243,L257,L261,L270,L277,L278)</f>
        <v>254780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377971</v>
      </c>
      <c r="E295" s="1673"/>
      <c r="F295" s="1673"/>
      <c r="G295" s="1673"/>
      <c r="H295" s="1674">
        <f>H293</f>
        <v>0</v>
      </c>
      <c r="I295" s="1673"/>
      <c r="J295" s="1673"/>
      <c r="K295" s="1674">
        <f>SUM(K229,K279,K280,K285,K293,K294)</f>
        <v>377971</v>
      </c>
      <c r="L295" s="1674">
        <f>SUM(L229,L279,L280,L285,L293,L294)</f>
        <v>373154</v>
      </c>
    </row>
    <row r="296" spans="1:14" ht="13.5" thickTop="1" x14ac:dyDescent="0.2">
      <c r="A296" s="2286" t="s">
        <v>989</v>
      </c>
      <c r="B296" s="2287"/>
      <c r="C296" s="1673"/>
      <c r="D296" s="1675"/>
      <c r="E296" s="1673"/>
      <c r="F296" s="1673"/>
      <c r="G296" s="1673"/>
      <c r="H296" s="1707"/>
      <c r="I296" s="1673"/>
      <c r="J296" s="1673"/>
      <c r="K296" s="1689">
        <f>'Revenues 9-14'!G268-'Expenditures 15-22'!K295</f>
        <v>22109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71915</v>
      </c>
      <c r="F301" s="1573"/>
      <c r="G301" s="1573">
        <v>140524</v>
      </c>
      <c r="H301" s="1573"/>
      <c r="I301" s="1574"/>
      <c r="J301" s="1574"/>
      <c r="K301" s="1672">
        <f>SUM(C301:J301)</f>
        <v>212439</v>
      </c>
      <c r="L301" s="1574">
        <f>72000+68000</f>
        <v>140000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71915</v>
      </c>
      <c r="F303" s="1681">
        <f t="shared" si="23"/>
        <v>0</v>
      </c>
      <c r="G303" s="1681">
        <f t="shared" si="23"/>
        <v>140524</v>
      </c>
      <c r="H303" s="1681">
        <f t="shared" si="23"/>
        <v>0</v>
      </c>
      <c r="I303" s="1681">
        <f t="shared" si="23"/>
        <v>0</v>
      </c>
      <c r="J303" s="1681">
        <f t="shared" si="23"/>
        <v>0</v>
      </c>
      <c r="K303" s="1681">
        <f t="shared" si="23"/>
        <v>212439</v>
      </c>
      <c r="L303" s="1681">
        <f t="shared" si="23"/>
        <v>140000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71915</v>
      </c>
      <c r="F312" s="1674">
        <f>SUM(F303)</f>
        <v>0</v>
      </c>
      <c r="G312" s="1674">
        <f>SUM(G303)</f>
        <v>140524</v>
      </c>
      <c r="H312" s="1674">
        <f>SUM(H303,H310)</f>
        <v>0</v>
      </c>
      <c r="I312" s="1674">
        <f>SUM(I303)</f>
        <v>0</v>
      </c>
      <c r="J312" s="1674">
        <f>SUM(J303)</f>
        <v>0</v>
      </c>
      <c r="K312" s="1674">
        <f>SUM(K303,K310,K311)</f>
        <v>212439</v>
      </c>
      <c r="L312" s="1674">
        <f>SUM(L303,L310,L311)</f>
        <v>140000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421628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68874</v>
      </c>
      <c r="F322" s="1574"/>
      <c r="G322" s="1574"/>
      <c r="H322" s="1574"/>
      <c r="I322" s="1574"/>
      <c r="J322" s="1574"/>
      <c r="K322" s="1672">
        <f t="shared" si="24"/>
        <v>68874</v>
      </c>
      <c r="L322" s="1574">
        <v>92700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331126</v>
      </c>
      <c r="D325" s="1574"/>
      <c r="E325" s="1574"/>
      <c r="F325" s="1574"/>
      <c r="G325" s="1574"/>
      <c r="H325" s="1574"/>
      <c r="I325" s="1574"/>
      <c r="J325" s="1574"/>
      <c r="K325" s="1672">
        <f t="shared" si="24"/>
        <v>331126</v>
      </c>
      <c r="L325" s="1574">
        <v>317300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331126</v>
      </c>
      <c r="D330" s="1674">
        <f t="shared" ref="D330:J330" si="25">SUM(D319:D329)</f>
        <v>0</v>
      </c>
      <c r="E330" s="1674">
        <f t="shared" si="25"/>
        <v>68874</v>
      </c>
      <c r="F330" s="1674">
        <f t="shared" si="25"/>
        <v>0</v>
      </c>
      <c r="G330" s="1674">
        <f t="shared" si="25"/>
        <v>0</v>
      </c>
      <c r="H330" s="1674">
        <f t="shared" si="25"/>
        <v>0</v>
      </c>
      <c r="I330" s="1674">
        <f t="shared" si="25"/>
        <v>0</v>
      </c>
      <c r="J330" s="1674">
        <f t="shared" si="25"/>
        <v>0</v>
      </c>
      <c r="K330" s="1674">
        <f>SUM(K319:K329)</f>
        <v>400000</v>
      </c>
      <c r="L330" s="1674">
        <f>SUM(L319:L329)</f>
        <v>410000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331126</v>
      </c>
      <c r="D342" s="1674">
        <f>SUM(D330)</f>
        <v>0</v>
      </c>
      <c r="E342" s="1674">
        <f>SUM(E330)</f>
        <v>68874</v>
      </c>
      <c r="F342" s="1674">
        <f>SUM(F330)</f>
        <v>0</v>
      </c>
      <c r="G342" s="1674">
        <f>SUM(G330)</f>
        <v>0</v>
      </c>
      <c r="H342" s="1674">
        <f>SUM(H330,H334,H340)</f>
        <v>0</v>
      </c>
      <c r="I342" s="1674">
        <f>SUM(I330)</f>
        <v>0</v>
      </c>
      <c r="J342" s="1674">
        <f>SUM(J330)</f>
        <v>0</v>
      </c>
      <c r="K342" s="1674">
        <f>SUM(K330,K334,K340)</f>
        <v>400000</v>
      </c>
      <c r="L342" s="1681">
        <f>SUM(L330,L334,L340,L341)</f>
        <v>410000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25633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3704</v>
      </c>
      <c r="F348" s="1573"/>
      <c r="G348" s="1573">
        <v>1161482</v>
      </c>
      <c r="H348" s="1573"/>
      <c r="I348" s="1574"/>
      <c r="J348" s="1574"/>
      <c r="K348" s="1672">
        <f>SUM(C348:J348)</f>
        <v>1165186</v>
      </c>
      <c r="L348" s="1573">
        <f>500+1161482</f>
        <v>1161982</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3704</v>
      </c>
      <c r="F350" s="1674">
        <f t="shared" si="26"/>
        <v>0</v>
      </c>
      <c r="G350" s="1674">
        <f t="shared" si="26"/>
        <v>1161482</v>
      </c>
      <c r="H350" s="1674">
        <f t="shared" si="26"/>
        <v>0</v>
      </c>
      <c r="I350" s="1674">
        <f t="shared" si="26"/>
        <v>0</v>
      </c>
      <c r="J350" s="1674">
        <f t="shared" si="26"/>
        <v>0</v>
      </c>
      <c r="K350" s="1674">
        <f t="shared" si="26"/>
        <v>1165186</v>
      </c>
      <c r="L350" s="1674">
        <f t="shared" si="26"/>
        <v>1161982</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3704</v>
      </c>
      <c r="F352" s="1674">
        <f t="shared" si="27"/>
        <v>0</v>
      </c>
      <c r="G352" s="1674">
        <f t="shared" si="27"/>
        <v>1161482</v>
      </c>
      <c r="H352" s="1674">
        <f t="shared" si="27"/>
        <v>0</v>
      </c>
      <c r="I352" s="1674">
        <f t="shared" si="27"/>
        <v>0</v>
      </c>
      <c r="J352" s="1674">
        <f t="shared" si="27"/>
        <v>0</v>
      </c>
      <c r="K352" s="1674">
        <f t="shared" si="27"/>
        <v>1165186</v>
      </c>
      <c r="L352" s="1674">
        <f t="shared" si="27"/>
        <v>1161982</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3704</v>
      </c>
      <c r="F367" s="1674">
        <f t="shared" si="28"/>
        <v>0</v>
      </c>
      <c r="G367" s="1674">
        <f t="shared" si="28"/>
        <v>1161482</v>
      </c>
      <c r="H367" s="1674">
        <f t="shared" si="28"/>
        <v>0</v>
      </c>
      <c r="I367" s="1674">
        <f t="shared" si="28"/>
        <v>0</v>
      </c>
      <c r="J367" s="1674">
        <f t="shared" si="28"/>
        <v>0</v>
      </c>
      <c r="K367" s="1674">
        <f t="shared" si="28"/>
        <v>1165186</v>
      </c>
      <c r="L367" s="1674">
        <f t="shared" si="28"/>
        <v>1161982</v>
      </c>
    </row>
    <row r="368" spans="1:14" ht="13.5" thickTop="1" x14ac:dyDescent="0.2">
      <c r="A368" s="2286" t="s">
        <v>989</v>
      </c>
      <c r="B368" s="2287"/>
      <c r="C368" s="1694"/>
      <c r="D368" s="1694"/>
      <c r="E368" s="1677"/>
      <c r="F368" s="1677"/>
      <c r="G368" s="1677"/>
      <c r="H368" s="1677"/>
      <c r="I368" s="1677"/>
      <c r="J368" s="1676"/>
      <c r="K368" s="1672">
        <f>'Revenues 9-14'!K268-'Expenditures 15-22'!K367</f>
        <v>-1004230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schemas.openxmlformats.org/package/2006/metadata/core-properties"/>
    <ds:schemaRef ds:uri="http://schemas.microsoft.com/sharepoint/v3"/>
    <ds:schemaRef ds:uri="http://purl.org/dc/terms/"/>
    <ds:schemaRef ds:uri="http://schemas.microsoft.com/office/infopath/2007/PartnerControls"/>
    <ds:schemaRef ds:uri="http://purl.org/dc/dcmitype/"/>
    <ds:schemaRef ds:uri="http://purl.org/dc/elements/1.1/"/>
    <ds:schemaRef ds:uri="http://schemas.microsoft.com/office/2006/documentManagement/types"/>
    <ds:schemaRef ds:uri="4d435f69-8686-490b-bd6d-b153bf22ab50"/>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2020-11-13T21:36:36Z</cp:lastPrinted>
  <dcterms:created xsi:type="dcterms:W3CDTF">2003-10-29T19:06:34Z</dcterms:created>
  <dcterms:modified xsi:type="dcterms:W3CDTF">2020-12-03T22:31:41Z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