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951481D-CA48-452B-956C-75F87F63FA8E}" xr6:coauthVersionLast="36" xr6:coauthVersionMax="36" xr10:uidLastSave="{00000000-0000-0000-0000-000000000000}"/>
  <bookViews>
    <workbookView xWindow="-120" yWindow="-120" windowWidth="29040" windowHeight="15840" tabRatio="100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160" i="29" l="1"/>
  <c r="H357" i="29"/>
  <c r="B7237" i="106" s="1"/>
  <c r="B7791" i="106"/>
  <c r="K354" i="29"/>
  <c r="L137" i="29"/>
  <c r="B7816" i="106"/>
  <c r="D7816" i="106" s="1"/>
  <c r="B7882" i="106"/>
  <c r="D7882" i="106" s="1"/>
  <c r="K158" i="29"/>
  <c r="B7780" i="106" s="1"/>
  <c r="B7779" i="106"/>
  <c r="F168" i="34"/>
  <c r="B7813" i="106"/>
  <c r="D7813" i="106" s="1"/>
  <c r="K133" i="29"/>
  <c r="B7776" i="106" s="1"/>
  <c r="B7774" i="106"/>
  <c r="E137" i="29"/>
  <c r="E139" i="29" s="1"/>
  <c r="B7805" i="106"/>
  <c r="D7805" i="106" s="1"/>
  <c r="B7804" i="106"/>
  <c r="D7804" i="106" s="1"/>
  <c r="B7811" i="106"/>
  <c r="D7811" i="106" s="1"/>
  <c r="B7775" i="106"/>
  <c r="H137" i="29"/>
  <c r="F29" i="34"/>
  <c r="B7881" i="106" s="1"/>
  <c r="D7881" i="106" s="1"/>
  <c r="B7781" i="106"/>
  <c r="K159" i="29"/>
  <c r="B7782" i="106" s="1"/>
  <c r="B11" i="7"/>
  <c r="B7812" i="106"/>
  <c r="D7812" i="106" s="1"/>
  <c r="B7807" i="106"/>
  <c r="D7807" i="106" s="1"/>
  <c r="L357" i="29"/>
  <c r="B7801" i="106"/>
  <c r="D7801" i="106" s="1"/>
  <c r="B7814" i="106"/>
  <c r="D7814" i="106" s="1"/>
  <c r="B7806" i="106"/>
  <c r="D7806" i="106" s="1"/>
  <c r="B15" i="7"/>
  <c r="B7803" i="106"/>
  <c r="D7803" i="106" s="1"/>
  <c r="B7810" i="106"/>
  <c r="D7810" i="106" s="1"/>
  <c r="L334" i="29"/>
  <c r="H5" i="12"/>
  <c r="F167" i="34"/>
  <c r="B7809" i="106"/>
  <c r="D7809" i="106" s="1"/>
  <c r="B7802" i="106"/>
  <c r="D7802" i="106" s="1"/>
  <c r="B7808" i="106"/>
  <c r="D7808" i="106" s="1"/>
  <c r="K9" i="12"/>
  <c r="B7793" i="106"/>
  <c r="K355" i="29"/>
  <c r="B7794" i="106" s="1"/>
  <c r="B7783" i="106"/>
  <c r="K282" i="29"/>
  <c r="B7784" i="106" s="1"/>
  <c r="D285" i="29"/>
  <c r="B7883" i="106"/>
  <c r="D7883" i="106" s="1"/>
  <c r="K7" i="12"/>
  <c r="B7884" i="106"/>
  <c r="D7884" i="106" s="1"/>
  <c r="B7885" i="106"/>
  <c r="D7885" i="106" s="1"/>
  <c r="K157" i="29"/>
  <c r="H160" i="29"/>
  <c r="B7053" i="106" s="1"/>
  <c r="B7777" i="106"/>
  <c r="B7815" i="106"/>
  <c r="D7815" i="106" s="1"/>
  <c r="L285" i="29"/>
  <c r="B5196" i="106"/>
  <c r="H334" i="29"/>
  <c r="B7789" i="106" s="1"/>
  <c r="K332" i="29"/>
  <c r="B7785" i="106"/>
  <c r="B7236" i="106"/>
  <c r="K356" i="29"/>
  <c r="B3673" i="106" s="1"/>
  <c r="K333" i="29"/>
  <c r="B7788" i="106" s="1"/>
  <c r="B7787" i="106"/>
  <c r="D17" i="171"/>
  <c r="B7792" i="106" l="1"/>
  <c r="K357" i="29"/>
  <c r="B7786" i="106"/>
  <c r="K334" i="29"/>
  <c r="B7778" i="106"/>
  <c r="K160" i="29"/>
  <c r="L27" i="179"/>
  <c r="L26" i="179"/>
  <c r="L25" i="179"/>
  <c r="L24" i="179"/>
  <c r="L23" i="179"/>
  <c r="L22" i="179"/>
  <c r="L21" i="179"/>
  <c r="L20" i="179"/>
  <c r="L19" i="179"/>
  <c r="L18" i="179"/>
  <c r="L17" i="179"/>
  <c r="L16" i="179"/>
  <c r="L15" i="179"/>
  <c r="L14" i="179"/>
  <c r="L13" i="179"/>
  <c r="L12" i="179"/>
  <c r="L11" i="179"/>
  <c r="B3674" i="106" l="1"/>
  <c r="K15" i="4"/>
  <c r="F74" i="34"/>
  <c r="J15" i="4"/>
  <c r="B7796" i="106" s="1"/>
  <c r="B7790" i="106"/>
  <c r="E15" i="4"/>
  <c r="B1323" i="106"/>
  <c r="F60" i="34"/>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14" i="12" s="1"/>
  <c r="K23" i="12" s="1"/>
  <c r="B7800" i="106" s="1"/>
  <c r="D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36" i="108" l="1"/>
  <c r="B7078" i="106"/>
  <c r="D7078" i="106" s="1"/>
  <c r="D36" i="108"/>
  <c r="B6289" i="106"/>
  <c r="D6289" i="106" s="1"/>
  <c r="G30" i="108"/>
  <c r="I129" i="29"/>
  <c r="B7037" i="106" s="1"/>
  <c r="D7037" i="106" s="1"/>
  <c r="B2724" i="106"/>
  <c r="D2724" i="106" s="1"/>
  <c r="F52" i="34"/>
  <c r="B7831" i="106" s="1"/>
  <c r="D7831" i="106" s="1"/>
  <c r="F67" i="34"/>
  <c r="D69" i="36"/>
  <c r="F50" i="34"/>
  <c r="F42" i="34"/>
  <c r="G26" i="108"/>
  <c r="F71" i="34"/>
  <c r="B1274" i="106"/>
  <c r="D1274" i="106" s="1"/>
  <c r="G14" i="4"/>
  <c r="B2609" i="106" s="1"/>
  <c r="D2609" i="106" s="1"/>
  <c r="F72" i="34"/>
  <c r="B7720" i="106"/>
  <c r="D7720" i="106" s="1"/>
  <c r="F34" i="34"/>
  <c r="B7826" i="106" s="1"/>
  <c r="D7826" i="106" s="1"/>
  <c r="H15" i="184"/>
  <c r="H12" i="184"/>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D31" i="108"/>
  <c r="E16" i="184"/>
  <c r="H16" i="184" s="1"/>
  <c r="B7696" i="106"/>
  <c r="D7696" i="106" s="1"/>
  <c r="E66" i="184"/>
  <c r="N66" i="184" s="1"/>
  <c r="B7171" i="106"/>
  <c r="D7171" i="106" s="1"/>
  <c r="E62" i="184"/>
  <c r="N62" i="184" s="1"/>
  <c r="B7135" i="106"/>
  <c r="D7135" i="106" s="1"/>
  <c r="E58" i="184"/>
  <c r="N58" i="184" s="1"/>
  <c r="G33" i="108"/>
  <c r="E17" i="184"/>
  <c r="H17" i="184" s="1"/>
  <c r="F31" i="108"/>
  <c r="B6995" i="106"/>
  <c r="D6995" i="106" s="1"/>
  <c r="F37" i="34"/>
  <c r="B7829" i="106" s="1"/>
  <c r="D7829" i="106" s="1"/>
  <c r="F36" i="34"/>
  <c r="B7828" i="106" s="1"/>
  <c r="D7828" i="106" s="1"/>
  <c r="J129" i="29"/>
  <c r="B7038" i="106" s="1"/>
  <c r="D7038" i="106" s="1"/>
  <c r="H76" i="4"/>
  <c r="B3298" i="106" s="1"/>
  <c r="D3298" i="106" s="1"/>
  <c r="C342" i="29"/>
  <c r="B7216" i="106" s="1"/>
  <c r="D7216" i="106" s="1"/>
  <c r="H342" i="29"/>
  <c r="B7221" i="106" s="1"/>
  <c r="D7221" i="106" s="1"/>
  <c r="C129" i="29"/>
  <c r="B1225" i="106" s="1"/>
  <c r="D1225"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F70" i="34"/>
  <c r="J210" i="29"/>
  <c r="B7072" i="106" s="1"/>
  <c r="D7072" i="106" s="1"/>
  <c r="B7047" i="106"/>
  <c r="D7047" i="106" s="1"/>
  <c r="G39" i="108"/>
  <c r="G35" i="108"/>
  <c r="C352" i="29"/>
  <c r="B3621" i="106" s="1"/>
  <c r="D3621" i="106" s="1"/>
  <c r="F77" i="4"/>
  <c r="B3255" i="106" s="1"/>
  <c r="D3255" i="106" s="1"/>
  <c r="I210" i="29"/>
  <c r="B7071" i="106" s="1"/>
  <c r="D707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7215" i="106" l="1"/>
  <c r="D7215" i="106" s="1"/>
  <c r="B1266" i="106"/>
  <c r="D1266" i="106" s="1"/>
  <c r="H77" i="4"/>
  <c r="B3299" i="106" s="1"/>
  <c r="D3299" i="106" s="1"/>
  <c r="C151" i="29"/>
  <c r="B1226" i="106" s="1"/>
  <c r="D1226" i="106" s="1"/>
  <c r="B1381" i="106"/>
  <c r="D1381" i="106" s="1"/>
  <c r="B1328" i="106"/>
  <c r="D1328" i="106" s="1"/>
  <c r="N57" i="184"/>
  <c r="N68" i="184" s="1"/>
  <c r="E68" i="184"/>
  <c r="H19" i="184"/>
  <c r="L20" i="184" s="1"/>
  <c r="E19" i="184"/>
  <c r="C367" i="29"/>
  <c r="B3622" i="106" s="1"/>
  <c r="D3622" i="106" s="1"/>
  <c r="F41" i="108"/>
  <c r="G43" i="108" s="1"/>
  <c r="L114" i="29"/>
  <c r="I7" i="4"/>
  <c r="B4444" i="106" s="1"/>
  <c r="D4444" i="106" s="1"/>
  <c r="G170" i="5"/>
  <c r="B5778" i="106" s="1"/>
  <c r="D5778" i="106" s="1"/>
  <c r="B273" i="106"/>
  <c r="D273" i="106" s="1"/>
  <c r="M23" i="3"/>
  <c r="B2914" i="106"/>
  <c r="D2914" i="106" s="1"/>
  <c r="L34" i="3"/>
  <c r="B7235" i="106"/>
  <c r="D7235" i="106" s="1"/>
  <c r="B5527" i="106"/>
  <c r="D5527"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6" i="4" l="1"/>
  <c r="B2604" i="106" s="1"/>
  <c r="D2604" i="106" s="1"/>
  <c r="B279" i="106"/>
  <c r="D279" i="106" s="1"/>
  <c r="B2916" i="106"/>
  <c r="D2916" i="106" s="1"/>
  <c r="L41"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17" i="4"/>
  <c r="B3575" i="106" s="1"/>
  <c r="D3575" i="106" s="1"/>
  <c r="F8" i="4"/>
  <c r="F10" i="4" s="1"/>
  <c r="B4125" i="106" s="1"/>
  <c r="D4125" i="106" s="1"/>
  <c r="J20" i="4"/>
  <c r="J78" i="4" s="1"/>
  <c r="B280" i="106"/>
  <c r="D280" i="106" s="1"/>
  <c r="M41" i="3"/>
  <c r="F77" i="34"/>
  <c r="B7834" i="106" s="1"/>
  <c r="D7834" i="106" s="1"/>
  <c r="B2917" i="106"/>
  <c r="D2917" i="106" s="1"/>
  <c r="D53" i="36"/>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19" i="4"/>
  <c r="B4144" i="106" s="1"/>
  <c r="D4144" i="106" s="1"/>
  <c r="B2595" i="106"/>
  <c r="D2595" i="106"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B6215" i="106"/>
  <c r="D6215" i="106" s="1"/>
  <c r="J41" i="3"/>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C11" i="146" s="1"/>
  <c r="F10" i="146"/>
  <c r="B123" i="106"/>
  <c r="D123" i="106" s="1"/>
  <c r="D41" i="3"/>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B3233" i="106"/>
  <c r="D3233" i="106" s="1"/>
  <c r="C81" i="4"/>
  <c r="C41"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B1644" i="106"/>
  <c r="D1644" i="106" s="1"/>
  <c r="D58" i="36"/>
  <c r="D82" i="4" l="1"/>
  <c r="B93" i="106"/>
  <c r="D93" i="106" s="1"/>
  <c r="D44" i="36"/>
  <c r="D49" i="36"/>
  <c r="B213" i="106"/>
  <c r="D213" i="106" s="1"/>
  <c r="B2913" i="106"/>
  <c r="D2913" i="106" s="1"/>
  <c r="D50" i="36"/>
  <c r="B189" i="106"/>
  <c r="D189" i="106" s="1"/>
  <c r="G41" i="3"/>
  <c r="D46" i="36"/>
  <c r="B141" i="106"/>
  <c r="D141" i="106" s="1"/>
  <c r="B3568" i="106"/>
  <c r="D3568" i="106" s="1"/>
  <c r="D52" i="36"/>
  <c r="B124" i="106"/>
  <c r="D124" i="106" s="1"/>
  <c r="D45" i="36"/>
  <c r="B170" i="106"/>
  <c r="D170" i="106" s="1"/>
  <c r="F41" i="3"/>
  <c r="B140" i="106"/>
  <c r="D140" i="106" s="1"/>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B282" i="106"/>
  <c r="D282" i="106" s="1"/>
  <c r="N23" i="3"/>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<sst xmlns="http://schemas.openxmlformats.org/spreadsheetml/2006/main" count="5182" uniqueCount="2100">
  <si>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</si>
  <si>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</si>
  <si>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</si>
  <si>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</si>
  <si>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</si>
  <si>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</si>
  <si>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</si>
  <si>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</si>
  <si>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</si>
  <si>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</si>
  <si>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</si>
  <si>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</si>
  <si>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</si>
  <si>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</si>
  <si>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</si>
  <si>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</si>
  <si>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</si>
  <si>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</si>
  <si>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</si>
  <si>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</si>
  <si>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</si>
  <si>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</si>
  <si>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</si>
  <si>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</si>
  <si>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</si>
  <si>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</si>
  <si>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</si>
  <si>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</si>
  <si>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</si>
  <si>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</si>
  <si>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</si>
  <si>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</si>
  <si>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</si>
  <si>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</si>
  <si>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</si>
  <si>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</si>
  <si>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</si>
  <si>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</si>
  <si>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</si>
  <si>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</si>
  <si>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</si>
  <si>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</si>
  <si>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</si>
  <si>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</si>
  <si>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</si>
  <si>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</si>
  <si>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</si>
  <si>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</si>
  <si>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</si>
  <si>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</si>
  <si>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</si>
  <si>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</si>
  <si>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</si>
  <si>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</si>
  <si>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</si>
  <si>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</si>
  <si>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</si>
  <si>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</si>
  <si>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</si>
  <si>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</si>
  <si>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</si>
  <si>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</si>
  <si>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</si>
  <si>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</si>
  <si>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</si>
  <si>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</si>
  <si>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</si>
  <si>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</si>
  <si>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</si>
  <si>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</si>
  <si>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</si>
  <si>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</si>
  <si>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</si>
  <si>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</si>
  <si>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</si>
  <si>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</si>
  <si>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</si>
  <si>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</si>
  <si>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</si>
  <si>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</si>
  <si>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</si>
  <si>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</si>
  <si>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</si>
  <si>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</si>
  <si>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</si>
  <si>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</si>
  <si>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</si>
  <si>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</si>
  <si>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</si>
  <si>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</si>
  <si>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</si>
  <si>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</si>
  <si>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</si>
  <si>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</si>
  <si>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</si>
  <si>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</si>
  <si>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</si>
  <si>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</si>
  <si>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</si>
  <si>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</si>
  <si>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</si>
  <si>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</si>
  <si>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</si>
  <si>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</si>
  <si>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</si>
  <si>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</si>
  <si>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</si>
  <si>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</si>
  <si>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</si>
  <si>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</si>
  <si>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</si>
  <si>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</si>
  <si>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</si>
  <si>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</si>
  <si>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</si>
  <si>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</si>
  <si>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</si>
  <si>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</si>
  <si>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</si>
  <si>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</si>
  <si>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</si>
  <si>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</si>
  <si>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</si>
  <si>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</si>
  <si>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</si>
  <si>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</si>
  <si>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</si>
  <si>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</si>
  <si>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</si>
  <si>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</si>
  <si>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</si>
  <si>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</si>
  <si>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</si>
  <si>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</si>
  <si>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</si>
  <si>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</si>
  <si>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</si>
  <si>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</si>
  <si>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</si>
  <si>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</si>
  <si>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</si>
  <si>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</si>
  <si>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</si>
  <si>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</si>
  <si>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</si>
  <si>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</si>
  <si>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</si>
  <si>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</si>
  <si>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</si>
  <si>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</si>
  <si>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</si>
  <si>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</si>
  <si>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</si>
  <si>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</si>
  <si>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</si>
  <si>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</si>
  <si>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</si>
  <si>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</si>
  <si>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</si>
  <si>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</si>
  <si>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</si>
  <si>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</si>
  <si>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</si>
  <si>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</si>
  <si>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</si>
  <si>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</si>
  <si>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</si>
  <si>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</si>
  <si>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</si>
  <si>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</si>
  <si>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</si>
  <si>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</si>
  <si>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</si>
  <si>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</si>
  <si>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</si>
  <si>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</si>
  <si>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</si>
  <si>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</si>
  <si>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</si>
  <si>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</si>
  <si>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</si>
  <si>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</si>
  <si>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</si>
  <si>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</si>
  <si>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</si>
  <si>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</si>
  <si>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</si>
  <si>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</si>
  <si>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</si>
  <si>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</si>
  <si>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</si>
  <si>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</si>
  <si>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</si>
  <si>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</si>
  <si>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</si>
  <si>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</si>
  <si>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</si>
  <si>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</si>
  <si>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</si>
  <si>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</si>
  <si>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</si>
  <si>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</si>
  <si>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</si>
  <si>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</si>
  <si>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</si>
  <si>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</si>
  <si>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</si>
  <si>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</si>
  <si>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</si>
  <si>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</si>
  <si>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</si>
  <si>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</si>
  <si>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</si>
  <si>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</si>
  <si>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</si>
  <si>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</si>
  <si>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</si>
  <si>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</si>
  <si>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</si>
  <si>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</si>
  <si>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</si>
  <si>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</si>
  <si>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</si>
  <si>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</si>
  <si>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</si>
  <si>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</si>
  <si>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</si>
  <si>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</si>
  <si>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</si>
  <si>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</si>
  <si>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</si>
  <si>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</si>
  <si>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</si>
  <si>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</si>
  <si>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</si>
  <si>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</si>
  <si>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</si>
  <si>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</si>
  <si>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</si>
  <si>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</si>
  <si>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</si>
  <si>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</si>
  <si>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</si>
  <si>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</si>
  <si>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</si>
  <si>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</si>
  <si>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</si>
  <si>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</si>
  <si>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</si>
  <si>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</si>
  <si>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</si>
  <si>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</si>
  <si>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</si>
  <si>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</si>
  <si>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</si>
  <si>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</si>
  <si>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</si>
  <si>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</si>
  <si>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</si>
  <si>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</si>
  <si>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</si>
  <si>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</si>
  <si>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</si>
  <si>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</si>
  <si>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</si>
  <si>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</si>
  <si>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</si>
  <si>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</si>
  <si>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</si>
  <si>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</si>
  <si>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</si>
  <si>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</si>
  <si>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</si>
  <si>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</si>
  <si>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</si>
  <si>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</si>
  <si>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</si>
  <si>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</si>
  <si>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</si>
  <si>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</si>
  <si>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</si>
  <si>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</si>
  <si>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</si>
  <si>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</si>
  <si>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</si>
  <si>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</si>
  <si>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</si>
  <si>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</si>
  <si>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</si>
  <si>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</si>
  <si>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</si>
  <si>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</si>
  <si>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</si>
  <si>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</si>
  <si>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</si>
  <si>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</si>
  <si>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</si>
  <si>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</si>
  <si>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</si>
  <si>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</si>
  <si>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</si>
  <si>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</si>
  <si>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</si>
  <si>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</si>
  <si>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</si>
  <si>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</si>
  <si>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</si>
  <si>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</si>
  <si>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</si>
  <si>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</si>
  <si>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</si>
  <si>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</si>
  <si>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</si>
  <si>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</si>
  <si>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</si>
  <si>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</si>
  <si>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</si>
  <si>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</si>
  <si>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</si>
  <si>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</si>
  <si>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</si>
  <si>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</si>
  <si>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</si>
  <si>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</si>
  <si>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</si>
  <si>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</si>
  <si>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</si>
  <si>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</si>
  <si>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</si>
  <si>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</si>
  <si>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</si>
  <si>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</si>
  <si>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</si>
  <si>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</si>
  <si>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</si>
  <si>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</si>
  <si>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</si>
  <si>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</si>
  <si>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</si>
  <si>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</si>
  <si>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</si>
  <si>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</si>
  <si>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</si>
  <si>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</si>
  <si>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</si>
  <si>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</si>
  <si>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</si>
  <si>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</si>
  <si>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</si>
  <si>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</si>
  <si>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</si>
  <si>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</si>
  <si>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</si>
  <si>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</si>
  <si>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</si>
  <si>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</si>
  <si>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</si>
  <si>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</si>
  <si>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</si>
  <si>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</si>
  <si>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</si>
  <si>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</si>
  <si>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</si>
  <si>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</si>
  <si>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</si>
  <si>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</si>
  <si>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</si>
  <si>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</si>
  <si>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</si>
  <si>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</si>
  <si>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</si>
  <si>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</si>
  <si>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</si>
  <si>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</si>
  <si>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</si>
  <si>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</si>
  <si>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</si>
  <si>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</si>
  <si>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</si>
  <si>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</si>
  <si>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</si>
  <si>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</si>
  <si>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</si>
  <si>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</si>
  <si>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</si>
  <si>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</si>
  <si>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</si>
  <si>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</si>
  <si>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</si>
  <si>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</si>
  <si>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</si>
  <si>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</si>
  <si>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</si>
  <si>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</si>
  <si>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</si>
  <si>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</si>
  <si>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</si>
  <si>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</si>
  <si>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</si>
  <si>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</si>
  <si>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</si>
  <si>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</si>
  <si>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</si>
  <si>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</si>
  <si>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</si>
  <si>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</si>
  <si>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</si>
  <si>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</si>
  <si>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</si>
  <si>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</si>
  <si>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</si>
  <si>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</si>
  <si>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</si>
  <si>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</si>
  <si>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</si>
  <si>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</si>
  <si>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</si>
  <si>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</si>
  <si>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</si>
  <si>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</si>
  <si>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</si>
  <si>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</si>
  <si>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</si>
  <si>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</si>
  <si>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</si>
  <si>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</si>
  <si>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</si>
  <si>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</si>
  <si>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</si>
  <si>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</si>
  <si>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</si>
  <si>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</si>
  <si>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</si>
  <si>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</si>
  <si>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</si>
  <si>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</si>
  <si>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</si>
  <si>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</si>
  <si>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</si>
  <si>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</si>
  <si>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</si>
  <si>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</si>
  <si>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</si>
  <si>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</si>
  <si>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</si>
  <si>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</si>
  <si>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</si>
  <si>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</si>
  <si>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</si>
  <si>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</si>
  <si>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</si>
  <si>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</si>
  <si>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</si>
  <si>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</si>
  <si>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</si>
  <si>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</si>
  <si>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</si>
  <si>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</si>
  <si>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</si>
  <si>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</si>
  <si>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</si>
  <si>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</si>
  <si>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</si>
  <si>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</si>
  <si>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</si>
  <si>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</si>
  <si>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</si>
  <si>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</si>
  <si>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</si>
  <si>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</si>
  <si>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</si>
  <si>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</si>
  <si>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</si>
  <si>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</si>
  <si>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</si>
  <si>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</si>
  <si>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</si>
  <si>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</si>
  <si>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</si>
  <si>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</si>
  <si>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</si>
  <si>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</si>
  <si>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</si>
  <si>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</si>
  <si>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</si>
  <si>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</si>
  <si>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</si>
  <si>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</si>
  <si>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</si>
  <si>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</si>
  <si>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</si>
  <si>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</si>
  <si>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</si>
  <si>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</si>
  <si>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</si>
  <si>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</si>
  <si>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</si>
  <si>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</si>
  <si>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</si>
  <si>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</si>
  <si>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</si>
  <si>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</si>
  <si>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</si>
  <si>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</si>
  <si>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</si>
  <si>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</si>
  <si>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</si>
  <si>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</si>
  <si>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</si>
  <si>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</si>
  <si>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</si>
  <si>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</si>
  <si>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</si>
  <si>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</si>
  <si>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</si>
  <si>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</si>
  <si>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</si>
  <si>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</si>
  <si>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</si>
  <si>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</si>
  <si>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</si>
  <si>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</si>
  <si>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</si>
  <si>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</si>
  <si>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</si>
  <si>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</si>
  <si>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</si>
  <si>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</si>
  <si>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</si>
  <si>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</si>
  <si>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</si>
  <si>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</si>
  <si>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</si>
  <si>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</si>
  <si>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</si>
  <si>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</si>
  <si>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</si>
  <si>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</si>
  <si>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</si>
  <si>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</si>
  <si>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</si>
  <si>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</si>
  <si>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</si>
  <si>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</si>
  <si>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</si>
  <si>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</si>
  <si>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</si>
  <si>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</si>
  <si>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</si>
  <si>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</si>
  <si>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</si>
  <si>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</si>
  <si>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</si>
  <si>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</si>
  <si>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</si>
  <si>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</si>
  <si>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</si>
  <si>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</si>
  <si>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</si>
  <si>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</si>
  <si>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</si>
  <si>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</si>
  <si>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</si>
  <si>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</si>
  <si>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</si>
  <si>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</si>
  <si>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</si>
  <si>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</si>
  <si>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</si>
  <si>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</si>
  <si>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</si>
  <si>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</si>
  <si>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</si>
  <si>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</si>
  <si>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</si>
  <si>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</si>
  <si>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</si>
  <si>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</si>
  <si>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</si>
  <si>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</si>
  <si>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</si>
  <si>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</si>
  <si>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</si>
  <si>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</si>
  <si>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</si>
  <si>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</si>
  <si>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</si>
  <si>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</si>
  <si>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</si>
  <si>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</si>
  <si>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</si>
  <si>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</si>
  <si>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</si>
  <si>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</si>
  <si>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</si>
  <si>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</si>
  <si>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</si>
  <si>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</si>
  <si>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</si>
  <si>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</si>
  <si>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</si>
  <si>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</si>
  <si>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</si>
  <si>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</si>
  <si>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</si>
  <si>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</si>
  <si>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</si>
  <si>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</si>
  <si>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</si>
  <si>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</si>
  <si>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</si>
  <si>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</si>
  <si>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</si>
  <si>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</si>
  <si>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</si>
  <si>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</si>
  <si>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</si>
  <si>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</si>
  <si>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</si>
  <si>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</si>
  <si>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</si>
  <si>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</si>
  <si>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</si>
  <si>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</si>
  <si>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</si>
  <si>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</si>
  <si>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</si>
  <si>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</si>
  <si>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</si>
  <si>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</si>
  <si>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</si>
  <si>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</si>
  <si>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</si>
  <si>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</si>
  <si>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</si>
  <si>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</si>
  <si>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</si>
  <si>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</si>
  <si>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</si>
  <si>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</si>
  <si>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</si>
  <si>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</si>
  <si>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</si>
  <si>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</si>
  <si>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</si>
  <si>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</si>
  <si>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</si>
  <si>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</si>
  <si>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</si>
  <si>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</si>
  <si>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</si>
  <si>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</si>
  <si>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</si>
  <si>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</si>
  <si>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</si>
  <si>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</si>
  <si>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</si>
  <si>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</si>
  <si>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</si>
  <si>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</si>
  <si>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</si>
  <si>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</si>
  <si>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</si>
  <si>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</si>
  <si>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</si>
  <si>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</si>
  <si>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</si>
  <si>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</si>
  <si>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</si>
  <si>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</si>
  <si>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</si>
  <si>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</si>
  <si>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</si>
  <si>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</si>
  <si>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</si>
  <si>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</si>
  <si>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</si>
  <si>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</si>
  <si>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</si>
  <si>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</si>
  <si>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</si>
  <si>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</si>
  <si>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</si>
  <si>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</si>
  <si>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</si>
  <si>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</si>
  <si>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</si>
  <si>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</si>
  <si>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</si>
  <si>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</si>
  <si>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</si>
  <si>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</si>
  <si>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</si>
  <si>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</si>
  <si>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</si>
  <si>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</si>
  <si>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</si>
  <si>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</si>
  <si>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</si>
  <si>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</si>
  <si>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</si>
  <si>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</si>
  <si>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</si>
  <si>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</si>
  <si>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</si>
  <si>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</si>
  <si>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</si>
  <si>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</si>
  <si>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</si>
  <si>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</si>
  <si>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</si>
  <si>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</si>
  <si>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</si>
  <si>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</si>
  <si>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</si>
  <si>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</si>
  <si>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</si>
  <si>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</si>
  <si>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</si>
  <si>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</si>
  <si>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</si>
  <si>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</si>
  <si>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</si>
  <si>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</si>
  <si>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</si>
  <si>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</si>
  <si>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</si>
  <si>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</si>
  <si>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</si>
  <si>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</si>
  <si>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</si>
  <si>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</si>
  <si>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</si>
  <si>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</si>
  <si>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</si>
  <si>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</si>
  <si>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</si>
  <si>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</si>
  <si>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</si>
  <si>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</si>
  <si>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</si>
  <si>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</si>
  <si>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</si>
  <si>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</si>
  <si>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</si>
  <si>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</si>
  <si>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</si>
  <si>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</si>
  <si>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</si>
  <si>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</si>
  <si>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</si>
  <si>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</si>
  <si>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</si>
  <si>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</si>
  <si>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</si>
  <si>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</si>
  <si>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</si>
  <si>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</si>
  <si>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</si>
  <si>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</si>
  <si>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</si>
  <si>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</si>
  <si>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</si>
  <si>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</si>
  <si>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</si>
  <si>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</si>
  <si>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</si>
  <si>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</si>
  <si>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</si>
  <si>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</si>
  <si>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</si>
  <si>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</si>
  <si>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</si>
  <si>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</si>
  <si>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</si>
  <si>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</si>
  <si>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</si>
  <si>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</si>
  <si>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</si>
  <si>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</si>
  <si>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</si>
  <si>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</si>
  <si>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</si>
  <si>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</si>
  <si>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</si>
  <si>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</si>
  <si>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</si>
  <si>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</si>
  <si>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</si>
  <si>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</si>
  <si>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</si>
  <si>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</si>
  <si>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</si>
  <si>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</si>
  <si>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</si>
  <si>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</si>
  <si>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</si>
  <si>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</si>
  <si>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</si>
  <si>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</si>
  <si>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</si>
  <si>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</si>
  <si>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</si>
  <si>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</si>
  <si>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</si>
  <si>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</si>
  <si>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</si>
  <si>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</si>
  <si>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</si>
  <si>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</si>
  <si>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</si>
  <si>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</si>
  <si>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</si>
  <si>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</si>
  <si>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</si>
  <si>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</si>
  <si>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</si>
  <si>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</si>
  <si>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</si>
  <si>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</si>
  <si>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</si>
  <si>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</si>
  <si>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</si>
  <si>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</si>
  <si>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</si>
  <si>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</si>
  <si>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</si>
  <si>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</si>
  <si>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</si>
  <si>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</si>
  <si>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</si>
  <si>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</si>
  <si>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</si>
  <si>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</si>
  <si>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</si>
  <si>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</si>
  <si>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</si>
  <si>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</si>
  <si>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</si>
  <si>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</si>
  <si>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</si>
  <si>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</si>
  <si>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</si>
  <si>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</si>
  <si>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</si>
  <si>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</si>
  <si>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</si>
  <si>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</si>
  <si>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</si>
  <si>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</si>
  <si>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</si>
  <si>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</si>
  <si>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</si>
  <si>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</si>
  <si>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</si>
  <si>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</si>
  <si>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</si>
  <si>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</si>
  <si>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</si>
  <si>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</si>
  <si>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</si>
  <si>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</si>
  <si>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</si>
  <si>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</si>
  <si>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</si>
  <si>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</si>
  <si>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</si>
  <si>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</si>
  <si>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</si>
  <si>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</si>
  <si>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</si>
  <si>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</si>
  <si>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</si>
  <si>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</si>
  <si>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</si>
  <si>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</si>
  <si>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</si>
  <si>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</si>
  <si>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</si>
  <si>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</si>
  <si>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</si>
  <si>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</si>
  <si>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</si>
  <si>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</si>
  <si>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</si>
  <si>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</si>
  <si>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</si>
  <si>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</si>
  <si>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</si>
  <si>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</si>
  <si>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</si>
  <si>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</si>
  <si>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</si>
  <si>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</si>
  <si>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</si>
  <si>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</si>
  <si>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</si>
  <si>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</si>
  <si>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</si>
  <si>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</si>
  <si>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</si>
  <si>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</si>
  <si>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</si>
  <si>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</si>
  <si>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</si>
  <si>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</si>
  <si>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</si>
  <si>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</si>
  <si>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</si>
  <si>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</si>
  <si>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</si>
  <si>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</si>
  <si>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</si>
  <si>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</si>
  <si>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</si>
  <si>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</si>
  <si>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</si>
  <si>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</si>
  <si>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</si>
  <si>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</si>
  <si>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</si>
  <si>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</si>
  <si>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</si>
  <si>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</si>
  <si>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</si>
  <si>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</si>
  <si>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</si>
  <si>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</si>
  <si>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</si>
  <si>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</si>
  <si>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</si>
  <si>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</si>
  <si>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</si>
  <si>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</si>
  <si>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</si>
  <si>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</si>
  <si>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</si>
  <si>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</si>
  <si>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</si>
  <si>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</si>
  <si>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</si>
  <si>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</si>
  <si>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</si>
  <si>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</si>
  <si>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</si>
  <si>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</si>
  <si>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</si>
  <si>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</si>
  <si>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</si>
  <si>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</si>
  <si>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</si>
  <si>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</si>
  <si>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</si>
  <si>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</si>
  <si>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</si>
  <si>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</si>
  <si>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</si>
  <si>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</si>
  <si>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</si>
  <si>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</si>
  <si>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</si>
  <si>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</si>
  <si>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</si>
  <si>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</si>
  <si>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</si>
  <si>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</si>
  <si>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</si>
  <si>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</si>
  <si>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</si>
  <si>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</si>
  <si>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</si>
  <si>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</si>
  <si>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</si>
  <si>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</si>
  <si>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</si>
  <si>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</si>
  <si>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</si>
  <si>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</si>
  <si>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</si>
  <si>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</si>
  <si>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</si>
  <si>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</si>
  <si>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</si>
  <si>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</si>
  <si>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</si>
  <si>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</si>
  <si>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</si>
  <si>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</si>
  <si>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</si>
  <si>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</si>
  <si>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</si>
  <si>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</si>
  <si>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</si>
  <si>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</si>
  <si>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</si>
  <si>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</si>
  <si>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</si>
  <si>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</si>
  <si>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</si>
  <si>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</si>
  <si>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</si>
  <si>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</si>
  <si>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</si>
  <si>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</si>
  <si>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</si>
  <si>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</si>
  <si>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</si>
  <si>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</si>
  <si>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</si>
  <si>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</si>
  <si>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</si>
  <si>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</si>
  <si>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</si>
  <si>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</si>
  <si>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</si>
  <si>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</si>
  <si>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</si>
  <si>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</si>
  <si>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</si>
  <si>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</si>
  <si>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</si>
  <si>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</si>
  <si>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</si>
  <si>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</si>
  <si>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</si>
  <si>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</si>
  <si>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</si>
  <si>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</si>
  <si>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</si>
  <si>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</si>
  <si>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</si>
  <si>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</si>
  <si>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</si>
  <si>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</si>
  <si>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</si>
  <si>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</si>
  <si>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</si>
  <si>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</si>
  <si>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</si>
  <si>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</si>
  <si>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</si>
  <si>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</si>
  <si>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</si>
  <si>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</si>
  <si>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</si>
  <si>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</si>
  <si>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</si>
  <si>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</si>
  <si>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</si>
  <si>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</si>
  <si>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</si>
  <si>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</si>
  <si>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</si>
  <si>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</si>
  <si>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</si>
  <si>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</si>
  <si>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</si>
  <si>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</si>
  <si>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</si>
  <si>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</si>
  <si>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</si>
  <si>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</si>
  <si>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</si>
  <si>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</si>
  <si>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</si>
  <si>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</si>
  <si>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</si>
  <si>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</si>
  <si>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</si>
  <si>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</si>
  <si>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</si>
  <si>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</si>
  <si>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</si>
  <si>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</si>
  <si>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</si>
  <si>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</si>
  <si>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</si>
  <si>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</si>
  <si>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</si>
  <si>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</si>
  <si>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</si>
  <si>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</si>
  <si>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</si>
  <si>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</si>
  <si>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</si>
  <si>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</si>
  <si>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</si>
  <si>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</si>
  <si>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</si>
  <si>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</si>
  <si>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</si>
  <si>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</si>
  <si>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</si>
  <si>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</si>
  <si>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</si>
  <si>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</si>
  <si>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</si>
  <si>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</si>
  <si>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</si>
  <si>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</si>
  <si>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</si>
  <si>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</si>
  <si>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</si>
  <si>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</si>
  <si>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</si>
  <si>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</si>
  <si>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</si>
  <si>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</si>
  <si>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</si>
  <si>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</si>
  <si>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</si>
  <si>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</si>
  <si>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</si>
  <si>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</si>
  <si>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</si>
  <si>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</si>
  <si>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</si>
  <si>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</si>
  <si>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</si>
  <si>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</si>
  <si>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</si>
  <si>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</si>
  <si>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</si>
  <si>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</si>
  <si>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</si>
  <si>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</si>
  <si>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</si>
  <si>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</si>
  <si>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</si>
  <si>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</si>
  <si>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</si>
  <si>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</si>
  <si>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</si>
  <si>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</si>
  <si>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</si>
  <si>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</si>
  <si>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</si>
  <si>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</si>
  <si>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</si>
  <si>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</si>
  <si>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</si>
  <si>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</si>
  <si>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</si>
  <si>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</si>
  <si>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</si>
  <si>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</si>
  <si>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</si>
  <si>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</si>
  <si>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</si>
  <si>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</si>
  <si>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</si>
  <si>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</si>
  <si>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</si>
  <si>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</si>
  <si>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</si>
  <si>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</si>
  <si>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</si>
  <si>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</si>
  <si>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</si>
  <si>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</si>
  <si>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</si>
  <si>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</si>
  <si>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</si>
  <si>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</si>
  <si>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</si>
  <si>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</si>
  <si>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</si>
  <si>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</si>
  <si>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</si>
  <si>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</si>
  <si>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</si>
  <si>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</si>
  <si>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</si>
  <si>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</si>
  <si>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</si>
  <si>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</si>
  <si>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</si>
  <si>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</si>
  <si>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</si>
  <si>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</si>
  <si>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</si>
  <si>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</si>
  <si>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</si>
  <si>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</si>
  <si>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</si>
  <si>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</si>
  <si>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</si>
  <si>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</si>
  <si>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</si>
  <si>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</si>
  <si>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</si>
  <si>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</si>
  <si>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</si>
  <si>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</si>
  <si>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</si>
  <si>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</si>
  <si>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</si>
  <si>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</si>
  <si>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</si>
  <si>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</si>
  <si>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</si>
  <si>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</si>
  <si>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</si>
  <si>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</si>
  <si>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</si>
  <si>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</si>
  <si>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</si>
  <si>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</si>
  <si>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</si>
  <si>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</si>
  <si>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</si>
  <si>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</si>
  <si>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</si>
  <si>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</si>
  <si>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</si>
  <si>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</si>
  <si>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</si>
  <si>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</si>
  <si>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</si>
  <si>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</si>
  <si>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</si>
  <si>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</si>
  <si>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</si>
  <si>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</si>
  <si>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</si>
  <si>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</si>
  <si>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</si>
  <si>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</si>
  <si>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</si>
  <si>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</si>
  <si>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</si>
  <si>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</si>
  <si>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</si>
  <si>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</si>
  <si>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</si>
  <si>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</si>
  <si>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</si>
  <si>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</si>
  <si>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</si>
  <si>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</si>
  <si>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</si>
  <si>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</si>
  <si>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</si>
  <si>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</si>
  <si>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</si>
  <si>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</si>
  <si>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</si>
  <si>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</si>
  <si>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</si>
  <si>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</si>
  <si>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</si>
  <si>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</si>
  <si>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</si>
  <si>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</si>
  <si>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</si>
  <si>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</si>
  <si>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</si>
  <si>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</si>
  <si>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</si>
  <si>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</si>
  <si>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</si>
  <si>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</si>
  <si>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</si>
  <si>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</si>
  <si>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</si>
  <si>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</si>
  <si>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</si>
  <si>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</si>
  <si>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</si>
  <si>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</si>
  <si>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</si>
  <si>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</si>
  <si>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</si>
  <si>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</si>
  <si>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</si>
  <si>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</si>
  <si>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</si>
  <si>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</si>
  <si>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</si>
  <si>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</si>
  <si>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</si>
  <si>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</si>
  <si>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</si>
  <si>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</si>
  <si>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</si>
  <si>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</si>
  <si>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</si>
  <si>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</si>
  <si>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</si>
  <si>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</si>
  <si>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</si>
  <si>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</si>
  <si>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</si>
  <si>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</si>
  <si>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</si>
  <si>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</si>
  <si>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</si>
  <si>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</si>
  <si>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</si>
  <si>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</si>
  <si>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</si>
  <si>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</si>
  <si>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</si>
  <si>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</si>
  <si>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</si>
  <si>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</si>
  <si>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</si>
  <si>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</si>
  <si>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</si>
  <si>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</si>
  <si>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</si>
  <si>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</si>
  <si>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</si>
  <si>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</si>
  <si>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</si>
  <si>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</si>
  <si>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</si>
  <si>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</si>
  <si>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</si>
  <si>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</si>
  <si>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</si>
  <si>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</si>
  <si>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</si>
  <si>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</si>
  <si>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</si>
  <si>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</si>
  <si>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</si>
  <si>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</si>
  <si>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</si>
  <si>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</si>
  <si>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</si>
  <si>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</si>
  <si>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</si>
  <si>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</si>
  <si>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</si>
  <si>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</si>
  <si>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</si>
  <si>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</si>
  <si>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</si>
  <si>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</si>
  <si>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</si>
  <si>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</si>
  <si>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</si>
  <si>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</si>
  <si>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</si>
  <si>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</si>
  <si>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</si>
  <si>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</si>
  <si>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</si>
  <si>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</si>
  <si>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</si>
  <si>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</si>
  <si>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</si>
  <si>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</si>
  <si>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</si>
  <si>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</si>
  <si>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</si>
  <si>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</si>
  <si>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</si>
  <si>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</si>
  <si>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</si>
  <si>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</si>
  <si>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</si>
  <si>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</si>
  <si>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</si>
  <si>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</si>
  <si>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</si>
  <si>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</si>
  <si>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</si>
  <si>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</si>
  <si>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</si>
  <si>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</si>
  <si>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</si>
  <si>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</si>
  <si>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</si>
  <si>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</si>
  <si>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</si>
  <si>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</si>
  <si>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</si>
  <si>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</si>
  <si>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</si>
  <si>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</si>
  <si>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</si>
  <si>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</si>
  <si>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</si>
  <si>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</si>
  <si>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</si>
  <si>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</si>
  <si>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</si>
  <si>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</si>
  <si>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</si>
  <si>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</si>
  <si>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</si>
  <si>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</si>
  <si>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</si>
  <si>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</si>
  <si>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</si>
  <si>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</si>
  <si>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</si>
  <si>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</si>
  <si>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</si>
  <si>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</si>
  <si>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</si>
  <si>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</si>
  <si>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</si>
  <si>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</si>
  <si>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</si>
  <si>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</si>
  <si>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</si>
  <si>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</si>
  <si>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</si>
  <si>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</si>
  <si>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</si>
  <si>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</si>
  <si>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</si>
  <si>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</si>
  <si>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</si>
  <si>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</si>
  <si>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</si>
  <si>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</si>
  <si>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</si>
  <si>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</si>
  <si>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</si>
  <si>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</si>
  <si>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</si>
  <si>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</si>
  <si>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</si>
  <si>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</si>
  <si>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</si>
  <si>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</si>
  <si>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</si>
  <si>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</si>
  <si>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</si>
  <si>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</si>
  <si>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</si>
  <si>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</si>
  <si>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</si>
  <si>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</si>
  <si>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</si>
  <si>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</si>
  <si>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</si>
  <si>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</si>
  <si>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</si>
  <si>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</si>
  <si>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</si>
  <si>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</si>
  <si>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</si>
  <si>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</si>
  <si>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</si>
  <si>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</si>
  <si>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</si>
  <si>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</si>
  <si>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</si>
  <si>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</si>
  <si>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</si>
  <si>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</si>
  <si>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</si>
  <si>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</si>
  <si>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</si>
  <si>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</si>
  <si>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</si>
  <si>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</si>
  <si>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</si>
  <si>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</si>
  <si>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</si>
  <si>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</si>
  <si>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</si>
  <si>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</si>
  <si>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</si>
  <si>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</si>
  <si>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</si>
  <si>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</si>
  <si>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</si>
  <si>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</si>
  <si>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</si>
  <si>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</si>
  <si>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</si>
  <si>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</si>
  <si>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</si>
  <si>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</si>
  <si>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</si>
  <si>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</si>
  <si>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</si>
  <si>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</si>
  <si>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</si>
  <si>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</si>
  <si>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</si>
  <si>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</si>
  <si>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</si>
  <si>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</si>
  <si>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</si>
  <si>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</si>
  <si>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</si>
  <si>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</si>
  <si>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</si>
  <si>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</si>
  <si>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</si>
  <si>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</si>
  <si>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</si>
  <si>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</si>
  <si>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</si>
  <si>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</si>
  <si>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</si>
  <si>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</si>
  <si>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</si>
  <si>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</si>
  <si>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</si>
  <si>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</si>
  <si>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</si>
  <si>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</si>
  <si>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</si>
  <si>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</si>
  <si>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</si>
  <si>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</si>
  <si>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</si>
  <si>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</si>
  <si>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</si>
  <si>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</si>
  <si>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</si>
  <si>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</si>
  <si>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</si>
  <si>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</si>
  <si>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</si>
  <si>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</si>
  <si>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</si>
  <si>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</si>
  <si>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</si>
  <si>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</si>
  <si>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</si>
  <si>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</si>
  <si>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</si>
  <si>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</si>
  <si>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</si>
  <si>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</si>
  <si>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</si>
  <si>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</si>
  <si>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</si>
  <si>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</si>
  <si>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</si>
  <si>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</si>
  <si>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</si>
  <si>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</si>
  <si>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</si>
  <si>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</si>
  <si>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</si>
  <si>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</si>
  <si>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</si>
  <si>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</si>
  <si>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</si>
  <si>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</si>
  <si>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</si>
  <si>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</si>
  <si>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</si>
  <si>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</si>
  <si>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</si>
  <si>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</si>
  <si>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</si>
  <si>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</si>
  <si>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</si>
  <si>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</si>
  <si>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</si>
  <si>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</si>
  <si>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</si>
  <si>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</si>
  <si>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</si>
  <si>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</si>
  <si>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</si>
  <si>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</si>
  <si>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</si>
  <si>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</si>
  <si>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</si>
  <si>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</si>
  <si>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</si>
  <si>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</si>
  <si>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</si>
  <si>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</si>
  <si>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</si>
  <si>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</si>
  <si>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</si>
  <si>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</si>
  <si>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</si>
  <si>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</si>
  <si>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</si>
  <si>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</si>
  <si>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</si>
  <si>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</si>
  <si>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</si>
  <si>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</si>
  <si>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</si>
  <si>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</si>
  <si>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</si>
  <si>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</si>
  <si>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</si>
  <si>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</si>
  <si>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</si>
  <si>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</si>
  <si>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</si>
  <si>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</si>
  <si>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</si>
  <si>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</si>
  <si>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</si>
  <si>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</si>
  <si>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</si>
  <si>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</si>
  <si>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</si>
  <si>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</si>
  <si>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</si>
  <si>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</si>
  <si>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</si>
  <si>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</si>
  <si>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</si>
  <si>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</si>
  <si>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</si>
  <si>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</si>
  <si>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</si>
  <si>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</si>
  <si>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</si>
  <si>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</si>
  <si>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</si>
  <si>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</si>
  <si>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</si>
  <si>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</si>
  <si>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</si>
  <si>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</si>
  <si>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</si>
  <si>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</si>
  <si>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</si>
  <si>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</si>
  <si>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</si>
  <si>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</si>
  <si>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</si>
  <si>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</si>
  <si>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</si>
  <si>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</si>
  <si>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</si>
  <si>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</si>
  <si>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</si>
  <si>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</si>
  <si>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</si>
  <si>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</si>
  <si>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</si>
  <si>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</si>
  <si>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</si>
  <si>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</si>
  <si>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</si>
  <si>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</si>
  <si>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</si>
  <si>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</si>
  <si>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</si>
  <si>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</si>
  <si>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</si>
  <si>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</si>
  <si>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</si>
  <si>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</si>
  <si>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</si>
  <si>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</si>
  <si>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</si>
  <si>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</si>
  <si>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</si>
  <si>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</si>
  <si>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</si>
  <si>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</si>
  <si>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</si>
  <si>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</si>
  <si>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</si>
  <si>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</si>
  <si>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</si>
  <si>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</si>
  <si>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</si>
  <si>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</si>
  <si>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</si>
  <si>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</si>
  <si>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</si>
  <si>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</si>
  <si>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</si>
  <si>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</si>
  <si>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</si>
  <si>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</si>
  <si>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</si>
  <si>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</si>
  <si>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</si>
  <si>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</si>
  <si>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</si>
  <si>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</si>
  <si>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</si>
  <si>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</si>
  <si>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</si>
  <si>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</si>
  <si>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</si>
  <si>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</si>
  <si>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</si>
  <si>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</si>
  <si>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</si>
  <si>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</si>
  <si>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</si>
  <si>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</si>
  <si>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</si>
  <si>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</si>
  <si>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</si>
  <si>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</si>
  <si>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</si>
  <si>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</si>
  <si>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</si>
  <si>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</si>
  <si>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</si>
  <si>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</si>
  <si>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</si>
  <si>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</si>
  <si>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</si>
  <si>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</si>
  <si>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</si>
  <si>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</si>
  <si>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</si>
  <si>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</si>
  <si>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</si>
  <si>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</si>
  <si>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</si>
  <si>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</si>
  <si>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</si>
  <si>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</si>
  <si>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</si>
  <si>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</si>
  <si>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</si>
  <si>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</si>
  <si>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</si>
  <si>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</si>
  <si>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</si>
  <si>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</si>
  <si>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</si>
  <si>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</si>
  <si>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</si>
  <si>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</si>
  <si>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</si>
  <si>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</si>
  <si>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</si>
  <si>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</si>
  <si>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</si>
  <si>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</si>
  <si>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</si>
  <si>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</si>
  <si>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</si>
  <si>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</si>
  <si>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</si>
  <si>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</si>
  <si>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</si>
  <si>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</si>
  <si>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</si>
  <si>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</si>
  <si>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</si>
  <si>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</si>
  <si>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</si>
  <si>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</si>
  <si>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</si>
  <si>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</si>
  <si>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</si>
  <si>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</si>
  <si>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</si>
  <si>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</si>
  <si>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</si>
  <si>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</si>
  <si>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</si>
  <si>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</si>
  <si>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</si>
  <si>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</si>
  <si>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</si>
  <si>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</si>
  <si>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</si>
  <si>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</si>
  <si>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</si>
  <si>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</si>
  <si>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</si>
  <si>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</si>
  <si>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</si>
  <si>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</si>
  <si>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</si>
  <si>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</si>
  <si>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</si>
  <si>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</si>
  <si>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</si>
  <si>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</si>
  <si>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</si>
  <si>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</si>
  <si>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</si>
  <si>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</si>
  <si>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</si>
  <si>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</si>
  <si>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</si>
  <si>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</si>
  <si>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</si>
  <si>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</si>
  <si>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</si>
  <si>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</si>
  <si>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</si>
  <si>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</si>
  <si>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</si>
  <si>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</si>
  <si>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</si>
  <si>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</si>
  <si>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</si>
  <si>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</si>
  <si>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</si>
  <si>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</si>
  <si>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</si>
  <si>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</si>
  <si>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</si>
  <si>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</si>
  <si>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</si>
  <si>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</si>
  <si>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</si>
  <si>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</si>
  <si>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</si>
  <si>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</si>
  <si>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</si>
  <si>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</si>
  <si>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</si>
  <si>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</si>
  <si>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</si>
  <si>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</si>
  <si>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</si>
  <si>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</si>
  <si>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</si>
  <si>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</si>
  <si>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</si>
  <si>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</si>
  <si>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</si>
  <si>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</si>
  <si>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</si>
  <si>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</si>
  <si>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</si>
  <si>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</si>
  <si>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</si>
  <si>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</si>
  <si>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</si>
  <si>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</si>
  <si>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</si>
  <si>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</si>
  <si>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</si>
  <si>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</si>
  <si>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</si>
  <si>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</si>
  <si>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</si>
  <si>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</si>
  <si>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</si>
  <si>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</si>
  <si>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</si>
  <si>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</si>
  <si>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</si>
  <si>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</si>
  <si>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</si>
  <si>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</si>
  <si>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</si>
  <si>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</si>
  <si>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</si>
  <si>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</si>
  <si>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</si>
  <si>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</si>
  <si>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</si>
  <si>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</si>
  <si>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</si>
  <si>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</si>
  <si>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</si>
  <si>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</si>
  <si>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</si>
  <si>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</si>
  <si>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</si>
  <si>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</si>
  <si>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</si>
  <si>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</si>
  <si>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</si>
  <si>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</si>
  <si>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</si>
  <si>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</si>
  <si>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</si>
  <si>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</si>
  <si>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</si>
  <si>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</si>
  <si>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</si>
  <si>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</si>
  <si>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</si>
  <si>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</si>
  <si>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</si>
  <si>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</si>
  <si>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</si>
  <si>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</si>
  <si>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</si>
  <si>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</si>
  <si>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</si>
  <si>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</si>
  <si>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</si>
  <si>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</si>
  <si>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</si>
  <si>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</si>
  <si>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</si>
  <si>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</si>
  <si>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</si>
  <si>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</si>
  <si>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</si>
  <si>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</si>
  <si>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</si>
  <si>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</si>
  <si>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</si>
  <si>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</si>
  <si>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</si>
  <si>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</si>
  <si>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</si>
  <si>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</si>
  <si>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</si>
  <si>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</si>
  <si>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</si>
  <si>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</si>
  <si>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</si>
  <si>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</si>
  <si>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</si>
  <si>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</si>
  <si>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</si>
  <si>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</si>
  <si>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</si>
  <si>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</si>
  <si>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</si>
  <si>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</si>
  <si>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</si>
  <si>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</si>
  <si>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</si>
  <si>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</si>
  <si>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</si>
  <si>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</si>
  <si>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</si>
  <si>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</si>
  <si>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</si>
  <si>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</si>
  <si>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</si>
  <si>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</si>
  <si>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</si>
  <si>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</si>
  <si>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</si>
  <si>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</si>
  <si>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</si>
  <si>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</si>
  <si>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</si>
  <si>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</si>
  <si>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</si>
  <si>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</si>
  <si>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</si>
  <si>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</si>
  <si>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</si>
  <si>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</si>
  <si>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</si>
  <si>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</si>
  <si>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</si>
  <si>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</si>
  <si>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</si>
  <si>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</si>
  <si>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</si>
  <si>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</si>
  <si>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</si>
  <si>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</si>
  <si>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</si>
  <si>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</si>
  <si>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</si>
  <si>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</si>
  <si>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</si>
  <si>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</si>
  <si>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</si>
  <si>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</si>
  <si>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</si>
  <si>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</si>
  <si>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</si>
  <si>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</si>
  <si>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</si>
  <si>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</si>
  <si>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</si>
  <si>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</si>
  <si>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</si>
  <si>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</si>
  <si>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</si>
  <si>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</si>
  <si>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</si>
  <si>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</si>
  <si>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</si>
  <si>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</si>
  <si>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</si>
  <si>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</si>
  <si>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</si>
  <si>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</si>
  <si>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</si>
  <si>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</si>
  <si>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</si>
  <si>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</si>
  <si>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</si>
  <si>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</si>
  <si>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</si>
  <si>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</si>
  <si>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</si>
  <si>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</si>
  <si>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</si>
  <si>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</si>
  <si>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</si>
  <si>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</si>
  <si>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</si>
  <si>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</si>
  <si>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</si>
  <si>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</si>
  <si>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</si>
  <si>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</si>
  <si>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</si>
  <si>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</si>
  <si>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</si>
  <si>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</si>
  <si>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</si>
  <si>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</si>
  <si>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</si>
  <si>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</si>
  <si>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</si>
  <si>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</si>
  <si>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</si>
  <si>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</si>
  <si>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</si>
  <si>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</si>
  <si>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</si>
  <si>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</si>
  <si>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</si>
  <si>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</si>
  <si>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</si>
  <si>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</si>
  <si>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</si>
  <si>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</si>
  <si>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</si>
  <si>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</si>
  <si>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</si>
  <si>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</si>
  <si>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</si>
  <si>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</si>
  <si>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</si>
  <si>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</si>
  <si>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</si>
  <si>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</si>
  <si>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</si>
  <si>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</si>
  <si>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</si>
  <si>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</si>
  <si>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</si>
  <si>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</si>
  <si>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</si>
  <si>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</si>
  <si>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</si>
  <si>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</si>
  <si>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</si>
  <si>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</si>
  <si>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</si>
  <si>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</si>
  <si>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</si>
  <si>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</si>
  <si>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</si>
  <si>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</si>
  <si>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</si>
  <si>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</si>
  <si>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</si>
  <si>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</si>
  <si>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</si>
  <si>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</si>
  <si>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</si>
  <si>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</si>
  <si>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</si>
  <si>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4213 ROUTE 12</t>
  </si>
  <si>
    <t>RICHMOND</t>
  </si>
  <si>
    <t>DLEVENDOSKI@RBCHS.COM</t>
  </si>
  <si>
    <t>X</t>
  </si>
  <si>
    <t>KEVIN SMITH</t>
  </si>
  <si>
    <t>20. Material Journal Entries made during the audit</t>
  </si>
  <si>
    <t>Nippersink School District #2</t>
  </si>
  <si>
    <t>NIHIP</t>
  </si>
  <si>
    <t>CLIC, SELF</t>
  </si>
  <si>
    <t>ISDLAF</t>
  </si>
  <si>
    <t>Special Education District of McHenry County</t>
  </si>
  <si>
    <t>Fields</t>
  </si>
  <si>
    <t>*See Below</t>
  </si>
  <si>
    <t>McHenry County Cooperative for Employment Education, Lake County Area Vocational System</t>
  </si>
  <si>
    <t>Ed-Special Ed- Private Tuition</t>
  </si>
  <si>
    <t>Ed-Food Service - Purchase Services</t>
  </si>
  <si>
    <t>O&amp;M Care and Upkeep of Building Sanitation Service</t>
  </si>
  <si>
    <t>O&amp;M Care and Upkeep of Building Monitoring</t>
  </si>
  <si>
    <t>Transp-Pupil Services - Purhcase Services</t>
  </si>
  <si>
    <t>Lake County HS Technology Campus</t>
  </si>
  <si>
    <t>Connections Day School</t>
  </si>
  <si>
    <t>Arbor Management</t>
  </si>
  <si>
    <t>Advanced Disposal</t>
  </si>
  <si>
    <t>Martin Peterson</t>
  </si>
  <si>
    <t>Santander</t>
  </si>
  <si>
    <t>2012A G.O. Refunding School Bonds</t>
  </si>
  <si>
    <t>2012B G.O. Refunding School Bonds</t>
  </si>
  <si>
    <t>Page 10, Line 81 - Other District/School Activity Revenue</t>
  </si>
  <si>
    <t>Page 11, Line 107 - Other Local Revenues</t>
  </si>
  <si>
    <t>Page 11, Line 121 - Other Unrestricted Grants-In-Aid from State Sources</t>
  </si>
  <si>
    <t>Page 18, Line 171 - Debt Services - Other</t>
  </si>
  <si>
    <t>Student clubs and sports fees</t>
  </si>
  <si>
    <t>Chromebooks, TRS overpayments, Booster Club-Revtrak</t>
  </si>
  <si>
    <t>Student Assessment Funding</t>
  </si>
  <si>
    <t>Dissemination Fees</t>
  </si>
  <si>
    <t>PDF in Opinion Page with signature</t>
  </si>
  <si>
    <t>Richmond-Burton CHSD 157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</si>
</sst>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90" xfId="3741" applyFont="1" applyBorder="1"/>
    <xf numFmtId="0" fontId="58" fillId="0" borderId="188" xfId="3741" applyFont="1" applyBorder="1"/>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5</xdr:row>
          <xdr:rowOff>0</xdr:rowOff>
        </xdr:from>
        <xdr:to>
          <xdr:col>1</xdr:col>
          <xdr:colOff>1952625</xdr:colOff>
          <xdr:row>9</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402</v>
      </c>
      <c r="J1" s="2122"/>
      <c r="K1" s="2122"/>
      <c r="L1" s="2122"/>
      <c r="M1" s="2122"/>
      <c r="N1" s="2122"/>
      <c r="O1" s="2122"/>
      <c r="P1" s="2122"/>
      <c r="Q1" s="2122"/>
      <c r="R1" s="2122"/>
      <c r="S1" s="2122"/>
    </row>
    <row r="2" spans="1:32" ht="12" customHeight="1" x14ac:dyDescent="0.2">
      <c r="A2" s="1820" t="str">
        <f>"Due to ISBE on "</f>
        <v xml:space="preserve">Due to ISBE on </v>
      </c>
      <c r="B2" s="2044">
        <f>+'AFR20'!F4</f>
        <v>44151</v>
      </c>
      <c r="C2" s="2044"/>
      <c r="D2" s="2045"/>
      <c r="I2" s="2123" t="s">
        <v>2000</v>
      </c>
      <c r="J2" s="2122"/>
      <c r="K2" s="2122"/>
      <c r="L2" s="2122"/>
      <c r="M2" s="2122"/>
      <c r="N2" s="2122"/>
      <c r="O2" s="2122"/>
      <c r="P2" s="2122"/>
      <c r="Q2" s="2122"/>
      <c r="R2" s="2122"/>
      <c r="S2" s="2122"/>
    </row>
    <row r="3" spans="1:32" ht="12" customHeight="1" x14ac:dyDescent="0.2">
      <c r="A3" s="1823" t="str">
        <f>"SD/JA"&amp;MID('AFR20'!E2,3,2)</f>
        <v>SD/JA20</v>
      </c>
      <c r="B3" s="151"/>
      <c r="C3" s="151"/>
      <c r="D3" s="152"/>
      <c r="I3" s="2123" t="s">
        <v>52</v>
      </c>
      <c r="J3" s="2122"/>
      <c r="K3" s="2122"/>
      <c r="L3" s="2122"/>
      <c r="M3" s="2122"/>
      <c r="N3" s="2122"/>
      <c r="O3" s="2122"/>
      <c r="P3" s="2122"/>
      <c r="Q3" s="2122"/>
      <c r="R3" s="2122"/>
      <c r="S3" s="2122"/>
    </row>
    <row r="4" spans="1:32" ht="12" customHeight="1" x14ac:dyDescent="0.2">
      <c r="A4" s="37"/>
      <c r="I4" s="2123" t="s">
        <v>521</v>
      </c>
      <c r="J4" s="2122"/>
      <c r="K4" s="2122"/>
      <c r="L4" s="2122"/>
      <c r="M4" s="2122"/>
      <c r="N4" s="2122"/>
      <c r="O4" s="2122"/>
      <c r="P4" s="2122"/>
      <c r="Q4" s="2122"/>
      <c r="R4" s="2122"/>
      <c r="S4" s="2122"/>
    </row>
    <row r="5" spans="1:32" ht="14.1" customHeight="1" x14ac:dyDescent="0.2">
      <c r="B5" s="101" t="s">
        <v>2062</v>
      </c>
      <c r="C5" s="26" t="s">
        <v>903</v>
      </c>
      <c r="D5" s="81"/>
      <c r="E5" s="81"/>
      <c r="H5" s="38"/>
      <c r="I5" s="2130" t="s">
        <v>675</v>
      </c>
      <c r="J5" s="2075"/>
      <c r="K5" s="2075"/>
      <c r="L5" s="2075"/>
      <c r="M5" s="2075"/>
      <c r="N5" s="2075"/>
      <c r="O5" s="2075"/>
      <c r="P5" s="2075"/>
      <c r="Q5" s="2075"/>
      <c r="R5" s="2075"/>
      <c r="S5" s="2075"/>
      <c r="AF5" s="1816"/>
    </row>
    <row r="6" spans="1:32" ht="14.1" customHeight="1" x14ac:dyDescent="0.2">
      <c r="B6" s="101"/>
      <c r="C6" s="26" t="s">
        <v>904</v>
      </c>
      <c r="D6" s="81"/>
      <c r="E6" s="81"/>
      <c r="I6" s="2129" t="s">
        <v>876</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669</v>
      </c>
      <c r="J9" s="2127"/>
      <c r="K9" s="2127"/>
      <c r="L9" s="2127"/>
      <c r="M9" s="2127"/>
      <c r="N9" s="2127"/>
      <c r="O9" s="2127"/>
      <c r="P9" s="2127"/>
      <c r="Q9" s="2127"/>
      <c r="R9" s="2127"/>
      <c r="S9" s="2128"/>
      <c r="T9" s="2071" t="s">
        <v>530</v>
      </c>
      <c r="U9" s="2072"/>
      <c r="V9" s="2072"/>
      <c r="W9" s="2072"/>
      <c r="X9" s="2072"/>
      <c r="Y9" s="2072"/>
      <c r="Z9" s="2072"/>
      <c r="AA9" s="2073"/>
    </row>
    <row r="10" spans="1:32" ht="13.5" customHeight="1" x14ac:dyDescent="0.2">
      <c r="A10" s="2080" t="s">
        <v>670</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948</v>
      </c>
      <c r="B11" s="2084"/>
      <c r="C11" s="2084"/>
      <c r="D11" s="2084"/>
      <c r="E11" s="2084"/>
      <c r="F11" s="2084"/>
      <c r="G11" s="2084"/>
      <c r="H11" s="2085"/>
      <c r="I11" s="27"/>
      <c r="J11" s="71"/>
      <c r="K11" s="27"/>
      <c r="O11" s="144" t="s">
        <v>2066</v>
      </c>
      <c r="P11" s="97" t="s">
        <v>199</v>
      </c>
      <c r="Q11" s="30"/>
      <c r="R11" s="28"/>
      <c r="S11" s="27"/>
      <c r="T11" s="2077"/>
      <c r="U11" s="2078"/>
      <c r="V11" s="2078"/>
      <c r="W11" s="2078"/>
      <c r="X11" s="2078"/>
      <c r="Y11" s="2078"/>
      <c r="Z11" s="2078"/>
      <c r="AA11" s="2079"/>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1">
        <v>44063157016</v>
      </c>
      <c r="B13" s="2092"/>
      <c r="C13" s="2092"/>
      <c r="D13" s="2092"/>
      <c r="E13" s="2092"/>
      <c r="F13" s="2092"/>
      <c r="G13" s="2092"/>
      <c r="H13" s="2093"/>
      <c r="I13" s="31"/>
      <c r="J13" s="30"/>
      <c r="K13" s="28"/>
      <c r="L13" s="30"/>
      <c r="M13" s="30"/>
      <c r="N13" s="30"/>
      <c r="O13" s="30"/>
      <c r="P13" s="30"/>
      <c r="Q13" s="30"/>
      <c r="R13" s="30"/>
      <c r="S13" s="30"/>
      <c r="T13" s="2096" t="s">
        <v>2015</v>
      </c>
      <c r="U13" s="2097"/>
      <c r="V13" s="2097"/>
      <c r="W13" s="2097"/>
      <c r="X13" s="2097"/>
      <c r="Y13" s="2098"/>
      <c r="Z13" s="2098"/>
      <c r="AA13" s="209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9" t="s">
        <v>2017</v>
      </c>
      <c r="B15" s="2094"/>
      <c r="C15" s="2094"/>
      <c r="D15" s="2094"/>
      <c r="E15" s="2094"/>
      <c r="F15" s="2094"/>
      <c r="G15" s="2094"/>
      <c r="H15" s="2095"/>
      <c r="T15" s="2057" t="s">
        <v>2067</v>
      </c>
      <c r="U15" s="2058"/>
      <c r="V15" s="2058"/>
      <c r="W15" s="2058"/>
      <c r="X15" s="2058"/>
      <c r="Y15" s="2100"/>
      <c r="Z15" s="2100"/>
      <c r="AA15" s="210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9" t="s">
        <v>2099</v>
      </c>
      <c r="B17" s="2119"/>
      <c r="C17" s="2119"/>
      <c r="D17" s="2119"/>
      <c r="E17" s="2119"/>
      <c r="F17" s="2119"/>
      <c r="G17" s="2119"/>
      <c r="H17" s="2120"/>
      <c r="T17" s="2106" t="s">
        <v>2016</v>
      </c>
      <c r="U17" s="2107"/>
      <c r="V17" s="2107"/>
      <c r="W17" s="2107"/>
      <c r="X17" s="2107"/>
      <c r="Y17" s="2107"/>
      <c r="Z17" s="2107"/>
      <c r="AA17" s="2108"/>
    </row>
    <row r="18" spans="1:27" ht="13.5" customHeight="1" x14ac:dyDescent="0.2">
      <c r="A18" s="82" t="s">
        <v>527</v>
      </c>
      <c r="B18" s="73"/>
      <c r="C18" s="69"/>
      <c r="D18" s="73"/>
      <c r="E18" s="73"/>
      <c r="F18" s="73"/>
      <c r="G18" s="73"/>
      <c r="H18" s="53"/>
      <c r="I18" s="2116" t="s">
        <v>671</v>
      </c>
      <c r="J18" s="2117"/>
      <c r="K18" s="2117"/>
      <c r="L18" s="2117"/>
      <c r="M18" s="2117"/>
      <c r="N18" s="2117"/>
      <c r="O18" s="2117"/>
      <c r="P18" s="2117"/>
      <c r="Q18" s="2117"/>
      <c r="R18" s="2117"/>
      <c r="S18" s="2118"/>
      <c r="T18" s="82" t="s">
        <v>705</v>
      </c>
      <c r="U18" s="48"/>
      <c r="V18" s="69"/>
      <c r="W18" s="47"/>
      <c r="X18" s="82" t="s">
        <v>264</v>
      </c>
      <c r="Y18" s="78"/>
      <c r="Z18" s="154" t="s">
        <v>672</v>
      </c>
      <c r="AA18" s="44"/>
    </row>
    <row r="19" spans="1:27" ht="13.5" customHeight="1" x14ac:dyDescent="0.2">
      <c r="A19" s="2089" t="s">
        <v>2063</v>
      </c>
      <c r="B19" s="2090"/>
      <c r="C19" s="2090"/>
      <c r="D19" s="2090"/>
      <c r="E19" s="2090"/>
      <c r="F19" s="2090"/>
      <c r="G19" s="2090"/>
      <c r="H19" s="2088"/>
      <c r="I19" s="30"/>
      <c r="J19" s="96"/>
      <c r="K19" s="40"/>
      <c r="L19" s="38"/>
      <c r="M19" s="109" t="s">
        <v>312</v>
      </c>
      <c r="P19" s="27"/>
      <c r="Q19" s="27"/>
      <c r="R19" s="27"/>
      <c r="S19" s="31"/>
      <c r="T19" s="2089" t="s">
        <v>2017</v>
      </c>
      <c r="U19" s="2087"/>
      <c r="V19" s="2087"/>
      <c r="W19" s="2088"/>
      <c r="X19" s="2104" t="s">
        <v>2018</v>
      </c>
      <c r="Y19" s="2105"/>
      <c r="Z19" s="2102">
        <v>60050</v>
      </c>
      <c r="AA19" s="2103"/>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86" t="s">
        <v>2064</v>
      </c>
      <c r="B21" s="2087"/>
      <c r="C21" s="2087"/>
      <c r="D21" s="2087"/>
      <c r="E21" s="2087"/>
      <c r="F21" s="2087"/>
      <c r="G21" s="2087"/>
      <c r="H21" s="2088"/>
      <c r="I21" s="2112" t="s">
        <v>673</v>
      </c>
      <c r="J21" s="2075"/>
      <c r="K21" s="2075"/>
      <c r="L21" s="2075"/>
      <c r="M21" s="2075"/>
      <c r="N21" s="2075"/>
      <c r="O21" s="2075"/>
      <c r="P21" s="2075"/>
      <c r="Q21" s="2075"/>
      <c r="R21" s="2075"/>
      <c r="S21" s="2076"/>
      <c r="T21" s="2054" t="s">
        <v>2019</v>
      </c>
      <c r="U21" s="2055"/>
      <c r="V21" s="2055"/>
      <c r="W21" s="2055"/>
      <c r="X21" s="2068" t="s">
        <v>2020</v>
      </c>
      <c r="Y21" s="2069"/>
      <c r="Z21" s="2069"/>
      <c r="AA21" s="2070"/>
    </row>
    <row r="22" spans="1:27" ht="13.5" customHeight="1" x14ac:dyDescent="0.2">
      <c r="A22" s="84" t="s">
        <v>528</v>
      </c>
      <c r="B22" s="56"/>
      <c r="C22" s="56"/>
      <c r="D22" s="56"/>
      <c r="E22" s="56"/>
      <c r="F22" s="56"/>
      <c r="G22" s="56"/>
      <c r="H22" s="57"/>
      <c r="I22" s="2113" t="s">
        <v>1409</v>
      </c>
      <c r="J22" s="2114"/>
      <c r="K22" s="2114"/>
      <c r="L22" s="2114"/>
      <c r="M22" s="2114"/>
      <c r="N22" s="2114"/>
      <c r="O22" s="2114"/>
      <c r="P22" s="2114"/>
      <c r="Q22" s="2114"/>
      <c r="R22" s="2114"/>
      <c r="S22" s="2115"/>
      <c r="T22" s="82" t="s">
        <v>1496</v>
      </c>
      <c r="U22" s="48"/>
      <c r="V22" s="69"/>
      <c r="W22" s="48"/>
      <c r="X22" s="155" t="s">
        <v>1306</v>
      </c>
      <c r="Z22" s="43"/>
      <c r="AA22" s="44"/>
    </row>
    <row r="23" spans="1:27" ht="13.5" customHeight="1" x14ac:dyDescent="0.2">
      <c r="A23" s="2109" t="s">
        <v>2065</v>
      </c>
      <c r="B23" s="2110"/>
      <c r="C23" s="2110"/>
      <c r="D23" s="2110"/>
      <c r="E23" s="2110"/>
      <c r="F23" s="2110"/>
      <c r="G23" s="2110"/>
      <c r="H23" s="2111"/>
      <c r="T23" s="2049" t="s">
        <v>2021</v>
      </c>
      <c r="U23" s="2050"/>
      <c r="V23" s="2050"/>
      <c r="W23" s="2050"/>
      <c r="X23" s="2065">
        <v>44530</v>
      </c>
      <c r="Y23" s="2066"/>
      <c r="Z23" s="2066"/>
      <c r="AA23" s="2067"/>
    </row>
    <row r="24" spans="1:27" ht="14.1" customHeight="1" x14ac:dyDescent="0.2">
      <c r="A24" s="85" t="s">
        <v>672</v>
      </c>
      <c r="B24" s="46"/>
      <c r="C24" s="46"/>
      <c r="D24" s="46"/>
      <c r="E24" s="46"/>
      <c r="F24" s="46"/>
      <c r="G24" s="46"/>
      <c r="H24" s="58"/>
      <c r="J24" s="2151">
        <f>IF(B5="x",IF(AUDITCHECK!D29="AFR form Incomplete.","",IF(AUDITCHECK!D29="Deficit reduction plan is required.","School District must complete a deficit reduction plan in the 2020-2021 Budget",)),"")</f>
        <v>0</v>
      </c>
      <c r="K24" s="2151"/>
      <c r="L24" s="2151"/>
      <c r="M24" s="2151"/>
      <c r="N24" s="2151"/>
      <c r="O24" s="2151"/>
      <c r="P24" s="2151"/>
      <c r="Q24" s="2151"/>
      <c r="R24" s="2151"/>
      <c r="S24" s="2152"/>
      <c r="T24" s="102" t="s">
        <v>528</v>
      </c>
      <c r="U24" s="103"/>
      <c r="V24" s="103"/>
      <c r="W24" s="103"/>
      <c r="X24" s="104"/>
      <c r="Y24" s="104"/>
      <c r="Z24" s="104"/>
      <c r="AA24" s="105"/>
    </row>
    <row r="25" spans="1:27" ht="14.1" customHeight="1" x14ac:dyDescent="0.2">
      <c r="A25" s="2086">
        <v>60071</v>
      </c>
      <c r="B25" s="2087"/>
      <c r="C25" s="2087"/>
      <c r="D25" s="2087"/>
      <c r="E25" s="2087"/>
      <c r="F25" s="2087"/>
      <c r="G25" s="2087"/>
      <c r="H25" s="2088"/>
      <c r="I25" s="110"/>
      <c r="J25" s="2153"/>
      <c r="K25" s="2153"/>
      <c r="L25" s="2153"/>
      <c r="M25" s="2153"/>
      <c r="N25" s="2153"/>
      <c r="O25" s="2153"/>
      <c r="P25" s="2153"/>
      <c r="Q25" s="2153"/>
      <c r="R25" s="2153"/>
      <c r="S25" s="2154"/>
      <c r="T25" s="2046" t="s">
        <v>2022</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4" t="s">
        <v>1491</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572</v>
      </c>
      <c r="L29" s="144" t="s">
        <v>2066</v>
      </c>
      <c r="M29" s="40" t="s">
        <v>99</v>
      </c>
      <c r="N29" s="32" t="s">
        <v>1503</v>
      </c>
      <c r="O29" s="32"/>
      <c r="P29" s="32"/>
      <c r="Q29" s="32"/>
      <c r="R29" s="32"/>
      <c r="S29" s="120"/>
      <c r="T29" s="6"/>
      <c r="U29" s="6"/>
      <c r="V29" s="6"/>
      <c r="W29" s="6"/>
      <c r="X29" s="6"/>
      <c r="Y29" s="6"/>
      <c r="Z29" s="6"/>
      <c r="AA29" s="129"/>
    </row>
    <row r="30" spans="1:27" ht="13.5" customHeight="1" x14ac:dyDescent="0.2">
      <c r="A30" s="149"/>
      <c r="B30" s="133" t="s">
        <v>2066</v>
      </c>
      <c r="C30" s="121" t="s">
        <v>1153</v>
      </c>
      <c r="D30" s="28"/>
      <c r="E30" s="28"/>
      <c r="F30" s="136"/>
      <c r="G30" s="111"/>
      <c r="H30" s="111"/>
      <c r="I30" s="51"/>
      <c r="J30" s="99"/>
      <c r="K30" s="28" t="s">
        <v>572</v>
      </c>
      <c r="L30" s="144" t="s">
        <v>2066</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2066</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9"/>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528</v>
      </c>
      <c r="B39" s="2143"/>
      <c r="C39" s="69"/>
      <c r="D39" s="66"/>
      <c r="E39" s="66"/>
      <c r="F39" s="76"/>
      <c r="G39" s="66"/>
      <c r="H39" s="53"/>
      <c r="I39" s="2142" t="s">
        <v>528</v>
      </c>
      <c r="J39" s="2143"/>
      <c r="K39" s="2143"/>
      <c r="L39" s="2143"/>
      <c r="M39" s="2143"/>
      <c r="N39" s="64"/>
      <c r="O39" s="69"/>
      <c r="P39" s="69"/>
      <c r="Q39" s="75"/>
      <c r="R39" s="69"/>
      <c r="S39" s="53"/>
      <c r="T39" s="69" t="s">
        <v>528</v>
      </c>
      <c r="U39" s="48"/>
      <c r="V39" s="69"/>
      <c r="W39" s="47"/>
      <c r="X39" s="75"/>
      <c r="Y39" s="43"/>
      <c r="Z39" s="43"/>
      <c r="AA39" s="44"/>
    </row>
    <row r="40" spans="1:27" ht="13.5" customHeight="1" x14ac:dyDescent="0.2">
      <c r="A40" s="2145"/>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5"/>
      <c r="B42" s="2136"/>
      <c r="C42" s="2137"/>
      <c r="D42" s="2150"/>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4" sqref="C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3"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4"/>
      <c r="B3" s="1287"/>
      <c r="C3" s="1288"/>
      <c r="D3" s="1289" t="s">
        <v>254</v>
      </c>
      <c r="E3" s="1288"/>
      <c r="F3" s="1289" t="s">
        <v>255</v>
      </c>
    </row>
    <row r="4" spans="1:8" ht="13.7" customHeight="1" x14ac:dyDescent="0.2">
      <c r="A4" s="579" t="s">
        <v>1144</v>
      </c>
      <c r="B4" s="1710">
        <f>'Revenues 9-14'!C5</f>
        <v>7260093</v>
      </c>
      <c r="C4" s="1711">
        <v>3627497</v>
      </c>
      <c r="D4" s="1712">
        <f>B4-C4</f>
        <v>3632596</v>
      </c>
      <c r="E4" s="1711">
        <v>7662688</v>
      </c>
      <c r="F4" s="1712">
        <f>E4-C4</f>
        <v>4035191</v>
      </c>
    </row>
    <row r="5" spans="1:8" ht="13.7" customHeight="1" x14ac:dyDescent="0.2">
      <c r="A5" s="579" t="s">
        <v>864</v>
      </c>
      <c r="B5" s="1713">
        <f>'Revenues 9-14'!D5</f>
        <v>1616031</v>
      </c>
      <c r="C5" s="1654">
        <v>819263</v>
      </c>
      <c r="D5" s="1714">
        <f t="shared" ref="D5:D18" si="0">B5-C5</f>
        <v>796768</v>
      </c>
      <c r="E5" s="1654">
        <v>1730603</v>
      </c>
      <c r="F5" s="1714">
        <f>E5-C5</f>
        <v>911340</v>
      </c>
    </row>
    <row r="6" spans="1:8" ht="13.7" customHeight="1" x14ac:dyDescent="0.2">
      <c r="A6" s="579" t="s">
        <v>408</v>
      </c>
      <c r="B6" s="1713">
        <f>'Revenues 9-14'!E5</f>
        <v>1152120</v>
      </c>
      <c r="C6" s="1654">
        <v>333947</v>
      </c>
      <c r="D6" s="1714">
        <f t="shared" si="0"/>
        <v>818173</v>
      </c>
      <c r="E6" s="1654">
        <v>705427</v>
      </c>
      <c r="F6" s="1714">
        <f t="shared" ref="F6:F18" si="1">E6-C6</f>
        <v>371480</v>
      </c>
    </row>
    <row r="7" spans="1:8" ht="13.7" customHeight="1" x14ac:dyDescent="0.2">
      <c r="A7" s="579" t="s">
        <v>154</v>
      </c>
      <c r="B7" s="1713">
        <f>'Revenues 9-14'!F5</f>
        <v>509743</v>
      </c>
      <c r="C7" s="1654">
        <v>264580</v>
      </c>
      <c r="D7" s="1714">
        <f t="shared" si="0"/>
        <v>245163</v>
      </c>
      <c r="E7" s="1654">
        <v>558896</v>
      </c>
      <c r="F7" s="1714">
        <f t="shared" si="1"/>
        <v>294316</v>
      </c>
    </row>
    <row r="8" spans="1:8" ht="13.7" customHeight="1" x14ac:dyDescent="0.2">
      <c r="A8" s="579" t="s">
        <v>1168</v>
      </c>
      <c r="B8" s="1713">
        <f>'Revenues 9-14'!G5</f>
        <v>98079</v>
      </c>
      <c r="C8" s="1654">
        <v>51523</v>
      </c>
      <c r="D8" s="1714">
        <f t="shared" si="0"/>
        <v>46556</v>
      </c>
      <c r="E8" s="1654">
        <v>108837</v>
      </c>
      <c r="F8" s="1714">
        <f t="shared" si="1"/>
        <v>57314</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161345</v>
      </c>
      <c r="C10" s="1654">
        <v>83552</v>
      </c>
      <c r="D10" s="1714">
        <f t="shared" si="0"/>
        <v>77793</v>
      </c>
      <c r="E10" s="1654">
        <v>176495</v>
      </c>
      <c r="F10" s="1714">
        <f t="shared" si="1"/>
        <v>92943</v>
      </c>
    </row>
    <row r="11" spans="1:8" x14ac:dyDescent="0.2">
      <c r="A11" s="579" t="s">
        <v>406</v>
      </c>
      <c r="B11" s="1713">
        <f>'Revenues 9-14'!J5</f>
        <v>0</v>
      </c>
      <c r="C11" s="1654"/>
      <c r="D11" s="1714">
        <f t="shared" si="0"/>
        <v>0</v>
      </c>
      <c r="E11" s="1654"/>
      <c r="F11" s="1714">
        <f t="shared" si="1"/>
        <v>0</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114564</v>
      </c>
      <c r="C14" s="1654">
        <v>60344</v>
      </c>
      <c r="D14" s="1714">
        <f t="shared" si="0"/>
        <v>54220</v>
      </c>
      <c r="E14" s="1654">
        <v>127471</v>
      </c>
      <c r="F14" s="1714">
        <f t="shared" si="1"/>
        <v>67127</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98080</v>
      </c>
      <c r="C16" s="1654">
        <v>51523</v>
      </c>
      <c r="D16" s="1714">
        <f t="shared" si="0"/>
        <v>46557</v>
      </c>
      <c r="E16" s="1654">
        <v>108837</v>
      </c>
      <c r="F16" s="1714">
        <f t="shared" si="1"/>
        <v>57314</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11010055</v>
      </c>
      <c r="C19" s="1715">
        <f>SUM(C4:C18)</f>
        <v>5292229</v>
      </c>
      <c r="D19" s="1715">
        <f>SUM(D4:D18)</f>
        <v>5717826</v>
      </c>
      <c r="E19" s="1715">
        <f>SUM(E4:E18)</f>
        <v>11179254</v>
      </c>
      <c r="F19" s="1715">
        <f>SUM(F4:F18)</f>
        <v>5887025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625</v>
      </c>
      <c r="B1" s="2300"/>
      <c r="C1" s="585"/>
    </row>
    <row r="2" spans="1:7" ht="33.75" x14ac:dyDescent="0.2">
      <c r="A2" s="2308" t="s">
        <v>1776</v>
      </c>
      <c r="B2" s="2309"/>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12" t="s">
        <v>1103</v>
      </c>
      <c r="B3" s="2313"/>
      <c r="C3" s="2301"/>
      <c r="D3" s="2302"/>
      <c r="E3" s="2302"/>
      <c r="F3" s="2303"/>
    </row>
    <row r="4" spans="1:7" ht="12.75" customHeight="1" thickBot="1" x14ac:dyDescent="0.25">
      <c r="A4" s="2310" t="s">
        <v>626</v>
      </c>
      <c r="B4" s="2311"/>
      <c r="C4" s="1646"/>
      <c r="D4" s="1646"/>
      <c r="E4" s="1646"/>
      <c r="F4" s="1721">
        <f>SUM(C4+D4)-E4</f>
        <v>0</v>
      </c>
    </row>
    <row r="5" spans="1:7" ht="15.75" customHeight="1" thickTop="1" x14ac:dyDescent="0.2">
      <c r="A5" s="2295" t="s">
        <v>1100</v>
      </c>
      <c r="B5" s="2296"/>
      <c r="C5" s="2304"/>
      <c r="D5" s="2305"/>
      <c r="E5" s="2305"/>
      <c r="F5" s="2306"/>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297" t="s">
        <v>627</v>
      </c>
      <c r="B15" s="2298"/>
      <c r="C15" s="1721">
        <f>SUM(C6:C14)</f>
        <v>0</v>
      </c>
      <c r="D15" s="1721">
        <f>SUM(D6:D14)</f>
        <v>0</v>
      </c>
      <c r="E15" s="1721">
        <f>SUM(E6:E14)</f>
        <v>0</v>
      </c>
      <c r="F15" s="1721">
        <f>SUM(F6:F14)</f>
        <v>0</v>
      </c>
      <c r="G15" s="473"/>
    </row>
    <row r="16" spans="1:7" s="197" customFormat="1" ht="15.75" customHeight="1" thickTop="1" x14ac:dyDescent="0.2">
      <c r="A16" s="2307" t="s">
        <v>1101</v>
      </c>
      <c r="B16" s="2296"/>
      <c r="C16" s="2304"/>
      <c r="D16" s="2305"/>
      <c r="E16" s="2305"/>
      <c r="F16" s="2306"/>
    </row>
    <row r="17" spans="1:11" ht="12.75" customHeight="1" thickBot="1" x14ac:dyDescent="0.25">
      <c r="A17" s="2320" t="s">
        <v>64</v>
      </c>
      <c r="B17" s="2321"/>
      <c r="C17" s="1722"/>
      <c r="D17" s="1654"/>
      <c r="E17" s="1722"/>
      <c r="F17" s="1721">
        <f>SUM(C17+D17)-E17</f>
        <v>0</v>
      </c>
    </row>
    <row r="18" spans="1:11" ht="12.75" customHeight="1" thickTop="1" thickBot="1" x14ac:dyDescent="0.25">
      <c r="A18" s="2320" t="s">
        <v>6</v>
      </c>
      <c r="B18" s="2321"/>
      <c r="C18" s="1722"/>
      <c r="D18" s="1654"/>
      <c r="E18" s="1722"/>
      <c r="F18" s="1721">
        <f>SUM(C18+D18)-E18</f>
        <v>0</v>
      </c>
    </row>
    <row r="19" spans="1:11" ht="12.75" customHeight="1" thickTop="1" thickBot="1" x14ac:dyDescent="0.25">
      <c r="A19" s="2320" t="s">
        <v>385</v>
      </c>
      <c r="B19" s="2321"/>
      <c r="C19" s="1722"/>
      <c r="D19" s="1654"/>
      <c r="E19" s="1722"/>
      <c r="F19" s="1721">
        <f>SUM(C19+D19)-E19</f>
        <v>0</v>
      </c>
    </row>
    <row r="20" spans="1:11" ht="12.75" customHeight="1" thickTop="1" thickBot="1" x14ac:dyDescent="0.25">
      <c r="A20" s="2320" t="s">
        <v>445</v>
      </c>
      <c r="B20" s="2321"/>
      <c r="C20" s="1722"/>
      <c r="D20" s="1654"/>
      <c r="E20" s="1722"/>
      <c r="F20" s="1721">
        <f>SUM(C20+D20)-E20</f>
        <v>0</v>
      </c>
    </row>
    <row r="21" spans="1:11" ht="14.25" thickTop="1" thickBot="1" x14ac:dyDescent="0.25">
      <c r="A21" s="2297" t="s">
        <v>628</v>
      </c>
      <c r="B21" s="2298"/>
      <c r="C21" s="1721">
        <f>SUM(C17:C20)</f>
        <v>0</v>
      </c>
      <c r="D21" s="1721">
        <f>SUM(D17:D20)</f>
        <v>0</v>
      </c>
      <c r="E21" s="1721">
        <f>SUM(E17:E20)</f>
        <v>0</v>
      </c>
      <c r="F21" s="1721">
        <f>SUM(F17:F20)</f>
        <v>0</v>
      </c>
      <c r="G21" s="473"/>
    </row>
    <row r="22" spans="1:11" ht="15.75" customHeight="1" thickTop="1" x14ac:dyDescent="0.2">
      <c r="A22" s="2322" t="s">
        <v>1102</v>
      </c>
      <c r="B22" s="2296"/>
      <c r="C22" s="2304"/>
      <c r="D22" s="2305"/>
      <c r="E22" s="2305"/>
      <c r="F22" s="2306"/>
    </row>
    <row r="23" spans="1:11" ht="13.5" thickBot="1" x14ac:dyDescent="0.25">
      <c r="A23" s="2310" t="s">
        <v>629</v>
      </c>
      <c r="B23" s="2311"/>
      <c r="C23" s="1646"/>
      <c r="D23" s="1646"/>
      <c r="E23" s="1646"/>
      <c r="F23" s="1721">
        <f>SUM(C23+D23)-E23</f>
        <v>0</v>
      </c>
      <c r="G23" s="473"/>
    </row>
    <row r="24" spans="1:11" ht="15.75" customHeight="1" thickTop="1" x14ac:dyDescent="0.2">
      <c r="A24" s="2322" t="s">
        <v>2003</v>
      </c>
      <c r="B24" s="2296"/>
      <c r="C24" s="2304"/>
      <c r="D24" s="2305"/>
      <c r="E24" s="2305"/>
      <c r="F24" s="2306"/>
    </row>
    <row r="25" spans="1:11" ht="13.5" thickBot="1" x14ac:dyDescent="0.25">
      <c r="A25" s="2310" t="s">
        <v>2004</v>
      </c>
      <c r="B25" s="2311"/>
      <c r="C25" s="1646"/>
      <c r="D25" s="1646"/>
      <c r="E25" s="1646"/>
      <c r="F25" s="1721">
        <f>SUM(C25+D25)-E25</f>
        <v>0</v>
      </c>
      <c r="G25" s="473"/>
    </row>
    <row r="26" spans="1:11" ht="15.75" customHeight="1" thickTop="1" x14ac:dyDescent="0.2">
      <c r="A26" s="2295" t="s">
        <v>652</v>
      </c>
      <c r="B26" s="2296"/>
      <c r="C26" s="589"/>
      <c r="D26" s="589"/>
      <c r="E26" s="589"/>
      <c r="F26" s="590"/>
    </row>
    <row r="27" spans="1:11" ht="13.5" thickBot="1" x14ac:dyDescent="0.25">
      <c r="A27" s="2297" t="s">
        <v>1060</v>
      </c>
      <c r="B27" s="2298"/>
      <c r="C27" s="1654"/>
      <c r="D27" s="1654"/>
      <c r="E27" s="1654"/>
      <c r="F27" s="1721">
        <f>SUM(C27+D27)-E27</f>
        <v>0</v>
      </c>
      <c r="G27" s="473"/>
    </row>
    <row r="28" spans="1:11" ht="7.5" customHeight="1" thickTop="1" x14ac:dyDescent="0.2">
      <c r="A28" s="489"/>
    </row>
    <row r="29" spans="1:11" ht="23.25" customHeight="1" x14ac:dyDescent="0.2">
      <c r="A29" s="2323" t="s">
        <v>578</v>
      </c>
      <c r="B29" s="2300"/>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2088</v>
      </c>
      <c r="B31" s="595">
        <v>41200</v>
      </c>
      <c r="C31" s="1723">
        <v>3565000</v>
      </c>
      <c r="D31" s="1724">
        <v>3</v>
      </c>
      <c r="E31" s="1723">
        <v>1960000</v>
      </c>
      <c r="F31" s="1723"/>
      <c r="G31" s="1723"/>
      <c r="H31" s="1723">
        <v>1265000</v>
      </c>
      <c r="I31" s="1725">
        <f>((E31+F31)-H31)+G31</f>
        <v>695000</v>
      </c>
      <c r="J31" s="1723">
        <v>672050</v>
      </c>
      <c r="K31" s="596"/>
    </row>
    <row r="32" spans="1:11" ht="12" customHeight="1" x14ac:dyDescent="0.2">
      <c r="A32" s="594" t="s">
        <v>2089</v>
      </c>
      <c r="B32" s="595">
        <v>41200</v>
      </c>
      <c r="C32" s="1723">
        <v>390000</v>
      </c>
      <c r="D32" s="1724">
        <v>3</v>
      </c>
      <c r="E32" s="1723">
        <v>390000</v>
      </c>
      <c r="F32" s="1723"/>
      <c r="G32" s="1723"/>
      <c r="H32" s="1723">
        <v>390000</v>
      </c>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3955000</v>
      </c>
      <c r="D49" s="1731"/>
      <c r="E49" s="1725">
        <f t="shared" ref="E49:J49" si="2">SUM(E31:E48)</f>
        <v>2350000</v>
      </c>
      <c r="F49" s="1725">
        <f t="shared" si="2"/>
        <v>0</v>
      </c>
      <c r="G49" s="1725">
        <f t="shared" si="2"/>
        <v>0</v>
      </c>
      <c r="H49" s="1725">
        <f t="shared" si="2"/>
        <v>1655000</v>
      </c>
      <c r="I49" s="1725">
        <f t="shared" si="2"/>
        <v>695000</v>
      </c>
      <c r="J49" s="1725">
        <f t="shared" si="2"/>
        <v>672050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14" t="s">
        <v>580</v>
      </c>
      <c r="C52" s="2315"/>
      <c r="D52" s="2315"/>
      <c r="E52" s="603" t="s">
        <v>839</v>
      </c>
      <c r="F52" s="2316"/>
      <c r="G52" s="2317"/>
      <c r="H52" s="596"/>
      <c r="I52" s="596"/>
      <c r="J52" s="600"/>
    </row>
    <row r="53" spans="1:11" ht="11.25" customHeight="1" x14ac:dyDescent="0.2">
      <c r="A53" s="604" t="s">
        <v>906</v>
      </c>
      <c r="B53" s="605" t="s">
        <v>944</v>
      </c>
      <c r="C53" s="600"/>
      <c r="D53" s="597"/>
      <c r="E53" s="603" t="s">
        <v>494</v>
      </c>
      <c r="F53" s="2318"/>
      <c r="G53" s="2319"/>
      <c r="H53" s="596"/>
      <c r="I53" s="596"/>
      <c r="J53" s="600"/>
    </row>
    <row r="54" spans="1:11" ht="11.25" customHeight="1" x14ac:dyDescent="0.2">
      <c r="A54" s="606" t="s">
        <v>907</v>
      </c>
      <c r="B54" s="601" t="s">
        <v>945</v>
      </c>
      <c r="C54" s="600"/>
      <c r="D54" s="597"/>
      <c r="E54" s="603" t="s">
        <v>495</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14" sqref="K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850</v>
      </c>
      <c r="B1" s="2351"/>
      <c r="C1" s="2351"/>
      <c r="D1" s="2351"/>
      <c r="E1" s="2351"/>
      <c r="F1" s="2351"/>
      <c r="G1" s="2352"/>
      <c r="H1" s="1291"/>
      <c r="I1" s="614"/>
      <c r="J1" s="400"/>
    </row>
    <row r="2" spans="1:11" ht="26.25" x14ac:dyDescent="0.2">
      <c r="A2" s="2327" t="s">
        <v>1655</v>
      </c>
      <c r="B2" s="2328"/>
      <c r="C2" s="2328"/>
      <c r="D2" s="2328"/>
      <c r="E2" s="2329"/>
      <c r="F2" s="615" t="s">
        <v>897</v>
      </c>
      <c r="G2" s="616" t="s">
        <v>1652</v>
      </c>
      <c r="H2" s="616" t="s">
        <v>407</v>
      </c>
      <c r="I2" s="616" t="s">
        <v>1147</v>
      </c>
      <c r="J2" s="616" t="s">
        <v>1786</v>
      </c>
      <c r="K2" s="616" t="s">
        <v>137</v>
      </c>
    </row>
    <row r="3" spans="1:11" x14ac:dyDescent="0.2">
      <c r="A3" s="2330" t="str">
        <f>"Cash Basis Fund Balance as of July 1, "&amp;'AFR20'!E2-1</f>
        <v>Cash Basis Fund Balance as of July 1, 2019</v>
      </c>
      <c r="B3" s="2331"/>
      <c r="C3" s="2331"/>
      <c r="D3" s="2331"/>
      <c r="E3" s="2332"/>
      <c r="F3" s="617"/>
      <c r="G3" s="1733"/>
      <c r="H3" s="1733"/>
      <c r="I3" s="1733"/>
      <c r="J3" s="1734"/>
      <c r="K3" s="1734"/>
    </row>
    <row r="4" spans="1:11" x14ac:dyDescent="0.2">
      <c r="A4" s="2333" t="s">
        <v>366</v>
      </c>
      <c r="B4" s="2334"/>
      <c r="C4" s="2334"/>
      <c r="D4" s="2334"/>
      <c r="E4" s="2315"/>
      <c r="F4" s="620"/>
      <c r="G4" s="1735"/>
      <c r="H4" s="1736"/>
      <c r="I4" s="1735"/>
      <c r="J4" s="1737"/>
      <c r="K4" s="1737"/>
    </row>
    <row r="5" spans="1:11" x14ac:dyDescent="0.2">
      <c r="A5" s="2353" t="s">
        <v>1059</v>
      </c>
      <c r="B5" s="2324"/>
      <c r="C5" s="2324"/>
      <c r="D5" s="2324"/>
      <c r="E5" s="2354"/>
      <c r="F5" s="622" t="s">
        <v>842</v>
      </c>
      <c r="G5" s="1738"/>
      <c r="H5" s="1733">
        <f>'Revenues 9-14'!C7</f>
        <v>114564</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4700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13978</v>
      </c>
    </row>
    <row r="10" spans="1:11" x14ac:dyDescent="0.2">
      <c r="A10" s="2353" t="s">
        <v>1787</v>
      </c>
      <c r="B10" s="2324"/>
      <c r="C10" s="2324"/>
      <c r="D10" s="2324"/>
      <c r="E10" s="2355"/>
      <c r="F10" s="633" t="s">
        <v>856</v>
      </c>
      <c r="G10" s="1742"/>
      <c r="H10" s="1743"/>
      <c r="I10" s="1733"/>
      <c r="J10" s="1734"/>
      <c r="K10" s="1734"/>
    </row>
    <row r="11" spans="1:11" x14ac:dyDescent="0.2">
      <c r="A11" s="2353" t="s">
        <v>159</v>
      </c>
      <c r="B11" s="2324"/>
      <c r="C11" s="2324"/>
      <c r="D11" s="2324"/>
      <c r="E11" s="2354"/>
      <c r="F11" s="622" t="s">
        <v>846</v>
      </c>
      <c r="G11" s="1738"/>
      <c r="H11" s="1733"/>
      <c r="I11" s="1733"/>
      <c r="J11" s="1734"/>
      <c r="K11" s="1740"/>
    </row>
    <row r="12" spans="1:11" ht="13.5" thickBot="1" x14ac:dyDescent="0.25">
      <c r="A12" s="2341" t="s">
        <v>898</v>
      </c>
      <c r="B12" s="2342"/>
      <c r="C12" s="2342"/>
      <c r="D12" s="2342"/>
      <c r="E12" s="2343"/>
      <c r="F12" s="1426"/>
      <c r="G12" s="1744">
        <f>SUM(G5:G11)</f>
        <v>0</v>
      </c>
      <c r="H12" s="1744">
        <f>SUM(H5:H11)</f>
        <v>114564</v>
      </c>
      <c r="I12" s="1744">
        <f>SUM(I5:I11)</f>
        <v>0</v>
      </c>
      <c r="J12" s="1744">
        <f>SUM(J5:J11)</f>
        <v>0</v>
      </c>
      <c r="K12" s="1744">
        <f>SUM(K5:K11)</f>
        <v>18678</v>
      </c>
    </row>
    <row r="13" spans="1:11" ht="13.5" thickTop="1" x14ac:dyDescent="0.2">
      <c r="A13" s="2335" t="s">
        <v>367</v>
      </c>
      <c r="B13" s="2336"/>
      <c r="C13" s="2336"/>
      <c r="D13" s="2336"/>
      <c r="E13" s="2337"/>
      <c r="F13" s="634"/>
      <c r="G13" s="1745"/>
      <c r="H13" s="1746"/>
      <c r="I13" s="1747"/>
      <c r="J13" s="1747"/>
      <c r="K13" s="1747"/>
    </row>
    <row r="14" spans="1:11" x14ac:dyDescent="0.2">
      <c r="A14" s="2359" t="s">
        <v>453</v>
      </c>
      <c r="B14" s="2359"/>
      <c r="C14" s="2359"/>
      <c r="D14" s="2359"/>
      <c r="E14" s="2360"/>
      <c r="F14" s="635" t="s">
        <v>848</v>
      </c>
      <c r="G14" s="1742"/>
      <c r="H14" s="1733">
        <f>H12</f>
        <v>114564</v>
      </c>
      <c r="I14" s="1738"/>
      <c r="J14" s="1740"/>
      <c r="K14" s="1734">
        <f>K12</f>
        <v>18678</v>
      </c>
    </row>
    <row r="15" spans="1:11" x14ac:dyDescent="0.2">
      <c r="A15" s="2324" t="s">
        <v>4</v>
      </c>
      <c r="B15" s="2324"/>
      <c r="C15" s="2324"/>
      <c r="D15" s="2324"/>
      <c r="E15" s="2354"/>
      <c r="F15" s="635" t="s">
        <v>849</v>
      </c>
      <c r="G15" s="1738"/>
      <c r="H15" s="1733"/>
      <c r="I15" s="1733"/>
      <c r="J15" s="1734"/>
      <c r="K15" s="1734"/>
    </row>
    <row r="16" spans="1:11" x14ac:dyDescent="0.2">
      <c r="A16" s="2324" t="s">
        <v>295</v>
      </c>
      <c r="B16" s="2324"/>
      <c r="C16" s="2324"/>
      <c r="D16" s="2324"/>
      <c r="E16" s="2354"/>
      <c r="F16" s="635" t="s">
        <v>916</v>
      </c>
      <c r="G16" s="1739"/>
      <c r="H16" s="1735"/>
      <c r="I16" s="1735"/>
      <c r="J16" s="1737"/>
      <c r="K16" s="1737"/>
    </row>
    <row r="17" spans="1:15" x14ac:dyDescent="0.2">
      <c r="A17" s="2348" t="s">
        <v>928</v>
      </c>
      <c r="B17" s="2348"/>
      <c r="C17" s="2348"/>
      <c r="D17" s="2348"/>
      <c r="E17" s="2349"/>
      <c r="F17" s="636"/>
      <c r="G17" s="1748"/>
      <c r="H17" s="1749"/>
      <c r="I17" s="1749"/>
      <c r="J17" s="1750"/>
      <c r="K17" s="1751"/>
    </row>
    <row r="18" spans="1:15" x14ac:dyDescent="0.2">
      <c r="A18" s="2338" t="s">
        <v>365</v>
      </c>
      <c r="B18" s="2339"/>
      <c r="C18" s="2339"/>
      <c r="D18" s="2339"/>
      <c r="E18" s="2340"/>
      <c r="F18" s="635" t="s">
        <v>925</v>
      </c>
      <c r="G18" s="1742"/>
      <c r="H18" s="1742"/>
      <c r="I18" s="1742"/>
      <c r="J18" s="1734"/>
      <c r="K18" s="1752"/>
    </row>
    <row r="19" spans="1:15" ht="21.75" customHeight="1" x14ac:dyDescent="0.2">
      <c r="A19" s="2361" t="s">
        <v>1783</v>
      </c>
      <c r="B19" s="2361"/>
      <c r="C19" s="2361"/>
      <c r="D19" s="2361"/>
      <c r="E19" s="2362"/>
      <c r="F19" s="635" t="s">
        <v>926</v>
      </c>
      <c r="G19" s="1742"/>
      <c r="H19" s="1742"/>
      <c r="I19" s="1742"/>
      <c r="J19" s="1734"/>
      <c r="K19" s="1752"/>
    </row>
    <row r="20" spans="1:15" x14ac:dyDescent="0.2">
      <c r="A20" s="2338" t="s">
        <v>1788</v>
      </c>
      <c r="B20" s="2339"/>
      <c r="C20" s="2339"/>
      <c r="D20" s="2339"/>
      <c r="E20" s="2340"/>
      <c r="F20" s="635" t="s">
        <v>927</v>
      </c>
      <c r="G20" s="1742"/>
      <c r="H20" s="1742"/>
      <c r="I20" s="1742"/>
      <c r="J20" s="1734"/>
      <c r="K20" s="1752"/>
    </row>
    <row r="21" spans="1:15" ht="13.5" thickBot="1" x14ac:dyDescent="0.25">
      <c r="A21" s="2344" t="s">
        <v>633</v>
      </c>
      <c r="B21" s="2344"/>
      <c r="C21" s="2344"/>
      <c r="D21" s="2344"/>
      <c r="E21" s="2344"/>
      <c r="F21" s="1427"/>
      <c r="G21" s="1749"/>
      <c r="H21" s="1753"/>
      <c r="I21" s="1753"/>
      <c r="J21" s="1754">
        <f>SUM(J18:J20)</f>
        <v>0</v>
      </c>
      <c r="K21" s="1750"/>
    </row>
    <row r="22" spans="1:15" ht="13.5" thickTop="1" x14ac:dyDescent="0.2">
      <c r="A22" s="2324" t="s">
        <v>1789</v>
      </c>
      <c r="B22" s="2324"/>
      <c r="C22" s="2324"/>
      <c r="D22" s="2324"/>
      <c r="E22" s="2354"/>
      <c r="F22" s="635" t="s">
        <v>856</v>
      </c>
      <c r="G22" s="1742"/>
      <c r="H22" s="1733"/>
      <c r="I22" s="1733"/>
      <c r="J22" s="1755"/>
      <c r="K22" s="1734"/>
    </row>
    <row r="23" spans="1:15" ht="13.5" thickBot="1" x14ac:dyDescent="0.25">
      <c r="A23" s="2345" t="s">
        <v>899</v>
      </c>
      <c r="B23" s="2344"/>
      <c r="C23" s="2344"/>
      <c r="D23" s="2344"/>
      <c r="E23" s="2344"/>
      <c r="F23" s="1429"/>
      <c r="G23" s="1744">
        <f>SUM(G14:G16,G21,G22)</f>
        <v>0</v>
      </c>
      <c r="H23" s="1744">
        <f>SUM(H14:H16,H21,H22)</f>
        <v>114564</v>
      </c>
      <c r="I23" s="1744">
        <f>SUM(I14:I16,I21,I22)</f>
        <v>0</v>
      </c>
      <c r="J23" s="1744">
        <f>SUM(J14:J16,J21,J22)</f>
        <v>0</v>
      </c>
      <c r="K23" s="1744">
        <f>SUM(K14:K16,K21,K22)</f>
        <v>18678</v>
      </c>
      <c r="M23" s="1835"/>
      <c r="N23" s="1835"/>
      <c r="O23" s="1835"/>
    </row>
    <row r="24" spans="1:15" ht="14.25" thickTop="1" thickBot="1" x14ac:dyDescent="0.25">
      <c r="A24" s="2346" t="str">
        <f>"Ending Cash Basis Fund Balance as of June 30, "&amp;'AFR20'!E2</f>
        <v>Ending Cash Basis Fund Balance as of June 30, 2020</v>
      </c>
      <c r="B24" s="2347"/>
      <c r="C24" s="2347"/>
      <c r="D24" s="2347"/>
      <c r="E24" s="2347"/>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56"/>
      <c r="I31" s="2357"/>
      <c r="J31" s="2357"/>
      <c r="K31" s="2357"/>
    </row>
    <row r="32" spans="1:15" x14ac:dyDescent="0.2">
      <c r="A32" s="649"/>
      <c r="B32" s="232"/>
      <c r="C32" s="232"/>
      <c r="D32" s="232"/>
      <c r="E32" s="645"/>
      <c r="F32" s="651" t="s">
        <v>537</v>
      </c>
      <c r="G32" s="618"/>
      <c r="H32" s="2358"/>
      <c r="I32" s="2357"/>
      <c r="J32" s="2357"/>
      <c r="K32" s="2357"/>
    </row>
    <row r="33" spans="1:11" ht="1.5" customHeight="1" x14ac:dyDescent="0.2">
      <c r="A33" s="652" t="s">
        <v>1158</v>
      </c>
      <c r="B33" s="341"/>
      <c r="C33" s="341"/>
      <c r="D33" s="341"/>
      <c r="E33" s="341"/>
      <c r="F33" s="341"/>
      <c r="G33" s="653"/>
      <c r="H33" s="2358"/>
      <c r="I33" s="2357"/>
      <c r="J33" s="2357"/>
      <c r="K33" s="2357"/>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4" t="s">
        <v>538</v>
      </c>
      <c r="B41" s="2325"/>
      <c r="C41" s="2325"/>
      <c r="D41" s="2325"/>
      <c r="E41" s="2325"/>
      <c r="F41" s="232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16" sqref="L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1872</v>
      </c>
      <c r="B1" s="2366"/>
      <c r="C1" s="2367"/>
      <c r="D1" s="666"/>
      <c r="E1" s="667"/>
      <c r="F1" s="667"/>
      <c r="G1" s="668"/>
      <c r="H1" s="669"/>
      <c r="I1" s="670"/>
      <c r="J1" s="2363"/>
      <c r="K1" s="2364"/>
      <c r="L1" s="2364"/>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81500</v>
      </c>
      <c r="D5" s="1759"/>
      <c r="E5" s="1759"/>
      <c r="F5" s="1754">
        <f>(C5+D5)-E5</f>
        <v>81500</v>
      </c>
      <c r="G5" s="676"/>
      <c r="H5" s="680"/>
      <c r="I5" s="680"/>
      <c r="J5" s="680"/>
      <c r="K5" s="637"/>
      <c r="L5" s="1435">
        <f>F5-K5</f>
        <v>81500</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25403896</v>
      </c>
      <c r="D8" s="1760">
        <v>95590</v>
      </c>
      <c r="E8" s="1760"/>
      <c r="F8" s="1754">
        <f>(C8+D8)-E8</f>
        <v>25499486</v>
      </c>
      <c r="G8" s="681">
        <v>50</v>
      </c>
      <c r="H8" s="619">
        <v>7713388</v>
      </c>
      <c r="I8" s="619">
        <v>511166</v>
      </c>
      <c r="J8" s="619"/>
      <c r="K8" s="1435">
        <f>(H8+I8)-J8</f>
        <v>8224554</v>
      </c>
      <c r="L8" s="1435">
        <f>F8-K8</f>
        <v>17274932</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1548856</v>
      </c>
      <c r="D10" s="1761">
        <v>11500</v>
      </c>
      <c r="E10" s="1761"/>
      <c r="F10" s="1762">
        <f>(C10+D10)-E10</f>
        <v>1560356</v>
      </c>
      <c r="G10" s="681">
        <v>20</v>
      </c>
      <c r="H10" s="683">
        <v>903067</v>
      </c>
      <c r="I10" s="683">
        <v>86321</v>
      </c>
      <c r="J10" s="683"/>
      <c r="K10" s="1435">
        <f>(H10+I10)-J10</f>
        <v>989388</v>
      </c>
      <c r="L10" s="1435">
        <f>F10-K10</f>
        <v>570968</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5166848</v>
      </c>
      <c r="D12" s="1760">
        <v>95127</v>
      </c>
      <c r="E12" s="1760"/>
      <c r="F12" s="1754">
        <f>(C12+D12)-E12</f>
        <v>5261975</v>
      </c>
      <c r="G12" s="681">
        <v>10</v>
      </c>
      <c r="H12" s="619">
        <v>4648499</v>
      </c>
      <c r="I12" s="619">
        <v>152489</v>
      </c>
      <c r="J12" s="619"/>
      <c r="K12" s="1435">
        <f>(H12+I12)-J12</f>
        <v>4800988</v>
      </c>
      <c r="L12" s="1435">
        <f>F12-K12</f>
        <v>460987</v>
      </c>
    </row>
    <row r="13" spans="1:14" ht="14.25" thickTop="1" thickBot="1" x14ac:dyDescent="0.25">
      <c r="A13" s="684" t="s">
        <v>1111</v>
      </c>
      <c r="B13" s="679">
        <v>252</v>
      </c>
      <c r="C13" s="1760">
        <v>181510</v>
      </c>
      <c r="D13" s="1760"/>
      <c r="E13" s="1760"/>
      <c r="F13" s="1754">
        <f>(C13+D13)-E13</f>
        <v>181510</v>
      </c>
      <c r="G13" s="681">
        <v>5</v>
      </c>
      <c r="H13" s="619">
        <v>147489</v>
      </c>
      <c r="I13" s="619">
        <v>20564</v>
      </c>
      <c r="J13" s="619"/>
      <c r="K13" s="1435">
        <f>(H13+I13)-J13</f>
        <v>168053</v>
      </c>
      <c r="L13" s="1435">
        <f>F13-K13</f>
        <v>13457</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51308</v>
      </c>
      <c r="D15" s="1760"/>
      <c r="E15" s="1760">
        <v>51308</v>
      </c>
      <c r="F15" s="1754">
        <f>(C15+D15)-E15</f>
        <v>0</v>
      </c>
      <c r="G15" s="685" t="s">
        <v>856</v>
      </c>
      <c r="H15" s="632"/>
      <c r="I15" s="632"/>
      <c r="J15" s="632"/>
      <c r="K15" s="632"/>
      <c r="L15" s="1435">
        <f>F15-K15</f>
        <v>0</v>
      </c>
    </row>
    <row r="16" spans="1:14" ht="15" customHeight="1" thickTop="1" thickBot="1" x14ac:dyDescent="0.25">
      <c r="A16" s="1431" t="s">
        <v>638</v>
      </c>
      <c r="B16" s="1432">
        <v>200</v>
      </c>
      <c r="C16" s="1754">
        <f>SUM(C3,C5:C6,C8:C10,C12:C15)</f>
        <v>32433918</v>
      </c>
      <c r="D16" s="1754">
        <f>SUM(D3,D5:D6,D8:D10,D12:D15)</f>
        <v>202217</v>
      </c>
      <c r="E16" s="1754">
        <f>SUM(E3,E5:E6,E8:E10,E12:E15)</f>
        <v>51308</v>
      </c>
      <c r="F16" s="1754">
        <f>SUM(F3,F5:F6,F8:F10,F12:F15)</f>
        <v>32584827</v>
      </c>
      <c r="G16" s="681"/>
      <c r="H16" s="1428">
        <f>SUM(H3,H6,H8:H10,H12:H14,)</f>
        <v>13412443</v>
      </c>
      <c r="I16" s="1428">
        <f>SUM(I3,I6,I8:I10,I12:I14,)</f>
        <v>770540</v>
      </c>
      <c r="J16" s="1428">
        <f>SUM(J3,J6,J8:J10,J12:J14,)</f>
        <v>0</v>
      </c>
      <c r="K16" s="1428">
        <f>(H16+I16)-J16</f>
        <v>14182983</v>
      </c>
      <c r="L16" s="1428">
        <f>F16-K16</f>
        <v>18401844</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679</v>
      </c>
      <c r="B18" s="1434"/>
      <c r="C18" s="623"/>
      <c r="D18" s="623"/>
      <c r="E18" s="623"/>
      <c r="F18" s="686"/>
      <c r="G18" s="687"/>
      <c r="H18" s="624"/>
      <c r="I18" s="1428">
        <f>SUM(I16,I17)</f>
        <v>770540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70"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7"/>
      <c r="B5" s="2378"/>
      <c r="C5" s="2378"/>
      <c r="D5" s="2378"/>
      <c r="E5" s="2378"/>
      <c r="F5" s="2378"/>
    </row>
    <row r="6" spans="1:9" ht="13.5" customHeight="1" thickBot="1" x14ac:dyDescent="0.25">
      <c r="A6" s="2368" t="s">
        <v>1094</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8539965</v>
      </c>
      <c r="G8" s="701"/>
    </row>
    <row r="9" spans="1:9" x14ac:dyDescent="0.2">
      <c r="A9" s="705" t="s">
        <v>457</v>
      </c>
      <c r="B9" s="706" t="s">
        <v>1845</v>
      </c>
      <c r="C9" s="707"/>
      <c r="D9" s="705" t="s">
        <v>498</v>
      </c>
      <c r="E9" s="704"/>
      <c r="F9" s="1764">
        <f>'Expenditures 15-22'!K151</f>
        <v>1092991</v>
      </c>
      <c r="G9" s="708"/>
    </row>
    <row r="10" spans="1:9" x14ac:dyDescent="0.2">
      <c r="A10" s="705" t="s">
        <v>496</v>
      </c>
      <c r="B10" s="706" t="s">
        <v>1846</v>
      </c>
      <c r="C10" s="707"/>
      <c r="D10" s="705" t="s">
        <v>498</v>
      </c>
      <c r="E10" s="704"/>
      <c r="F10" s="1764">
        <f>'Expenditures 15-22'!K174</f>
        <v>1701060</v>
      </c>
      <c r="G10" s="708"/>
    </row>
    <row r="11" spans="1:9" x14ac:dyDescent="0.2">
      <c r="A11" s="705" t="s">
        <v>458</v>
      </c>
      <c r="B11" s="706" t="s">
        <v>1847</v>
      </c>
      <c r="C11" s="707"/>
      <c r="D11" s="705" t="s">
        <v>498</v>
      </c>
      <c r="E11" s="704"/>
      <c r="F11" s="1764">
        <f>'Expenditures 15-22'!K210</f>
        <v>1230595</v>
      </c>
      <c r="G11" s="708"/>
    </row>
    <row r="12" spans="1:9" x14ac:dyDescent="0.2">
      <c r="A12" s="705" t="s">
        <v>459</v>
      </c>
      <c r="B12" s="706" t="s">
        <v>1848</v>
      </c>
      <c r="C12" s="707"/>
      <c r="D12" s="705" t="s">
        <v>498</v>
      </c>
      <c r="E12" s="704"/>
      <c r="F12" s="1764">
        <f>'Expenditures 15-22'!K295</f>
        <v>357734</v>
      </c>
      <c r="G12" s="708"/>
    </row>
    <row r="13" spans="1:9" x14ac:dyDescent="0.2">
      <c r="A13" s="705" t="s">
        <v>106</v>
      </c>
      <c r="B13" s="706" t="s">
        <v>1849</v>
      </c>
      <c r="C13" s="707"/>
      <c r="D13" s="705" t="s">
        <v>498</v>
      </c>
      <c r="E13" s="704"/>
      <c r="F13" s="1764">
        <f>'Expenditures 15-22'!K342</f>
        <v>0</v>
      </c>
      <c r="G13" s="709"/>
    </row>
    <row r="14" spans="1:9" ht="12" customHeight="1" thickBot="1" x14ac:dyDescent="0.25">
      <c r="A14" s="1436"/>
      <c r="B14" s="1437"/>
      <c r="C14" s="1438"/>
      <c r="D14" s="1439" t="s">
        <v>498</v>
      </c>
      <c r="E14" s="1440" t="s">
        <v>951</v>
      </c>
      <c r="F14" s="1765">
        <f>SUM(F8:F13)</f>
        <v>12922345</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464390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6683</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85749</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264510</v>
      </c>
      <c r="G53" s="701"/>
    </row>
    <row r="54" spans="1:7" x14ac:dyDescent="0.2">
      <c r="A54" s="705" t="s">
        <v>456</v>
      </c>
      <c r="B54" s="705" t="s">
        <v>1456</v>
      </c>
      <c r="C54" s="724" t="s">
        <v>974</v>
      </c>
      <c r="D54" s="720" t="s">
        <v>1085</v>
      </c>
      <c r="E54" s="704"/>
      <c r="F54" s="1771">
        <f>'Expenditures 15-22'!G114</f>
        <v>108528</v>
      </c>
      <c r="G54" s="701"/>
    </row>
    <row r="55" spans="1:7" x14ac:dyDescent="0.2">
      <c r="A55" s="705" t="s">
        <v>456</v>
      </c>
      <c r="B55" s="705" t="s">
        <v>1457</v>
      </c>
      <c r="C55" s="724" t="s">
        <v>974</v>
      </c>
      <c r="D55" s="720" t="s">
        <v>288</v>
      </c>
      <c r="E55" s="704"/>
      <c r="F55" s="1771">
        <f>'Expenditures 15-22'!I114</f>
        <v>0</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42381</v>
      </c>
      <c r="G58" s="701"/>
    </row>
    <row r="59" spans="1:7" x14ac:dyDescent="0.2">
      <c r="A59" s="728" t="s">
        <v>457</v>
      </c>
      <c r="B59" s="692" t="s">
        <v>1852</v>
      </c>
      <c r="C59" s="729" t="s">
        <v>974</v>
      </c>
      <c r="D59" s="692" t="s">
        <v>288</v>
      </c>
      <c r="F59" s="1774">
        <f>'Expenditures 15-22'!I151</f>
        <v>0</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1655000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0</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2627241</v>
      </c>
      <c r="G77" s="701"/>
    </row>
    <row r="78" spans="1:9" s="728" customFormat="1" ht="12" customHeight="1" thickTop="1" thickBot="1" x14ac:dyDescent="0.25">
      <c r="A78" s="1443"/>
      <c r="B78" s="1441"/>
      <c r="C78" s="1438"/>
      <c r="D78" s="1442" t="s">
        <v>2009</v>
      </c>
      <c r="E78" s="1440"/>
      <c r="F78" s="1777">
        <f>(F14-F77)</f>
        <v>10295104</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592.1</v>
      </c>
      <c r="G79" s="733"/>
      <c r="H79" s="705"/>
      <c r="I79" s="705"/>
    </row>
    <row r="80" spans="1:9" s="728" customFormat="1" ht="12" customHeight="1" thickBot="1" x14ac:dyDescent="0.25">
      <c r="A80" s="1445"/>
      <c r="B80" s="1441"/>
      <c r="C80" s="1438"/>
      <c r="D80" s="1442" t="s">
        <v>2010</v>
      </c>
      <c r="E80" s="1440" t="s">
        <v>951</v>
      </c>
      <c r="F80" s="1779">
        <f>IF(F79&gt;0,F78/F79," Complete Line 79")</f>
        <v>17387.441310589427</v>
      </c>
      <c r="G80" s="705"/>
    </row>
    <row r="81" spans="1:7" s="728" customFormat="1" ht="8.25" customHeight="1" thickTop="1" x14ac:dyDescent="0.2">
      <c r="A81" s="734"/>
      <c r="B81" s="705"/>
      <c r="C81" s="707"/>
      <c r="D81" s="735"/>
      <c r="E81" s="704"/>
      <c r="F81" s="1780"/>
      <c r="G81" s="705"/>
    </row>
    <row r="82" spans="1:7" s="728" customFormat="1" ht="12" thickBot="1" x14ac:dyDescent="0.25">
      <c r="A82" s="2368" t="s">
        <v>1095</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162705</v>
      </c>
      <c r="G95" s="745"/>
    </row>
    <row r="96" spans="1:7" x14ac:dyDescent="0.2">
      <c r="A96" s="741" t="s">
        <v>139</v>
      </c>
      <c r="B96" s="741" t="s">
        <v>174</v>
      </c>
      <c r="C96" s="743">
        <v>1700</v>
      </c>
      <c r="D96" s="751" t="str">
        <f>'Revenues 9-14'!A82</f>
        <v>Total District/School Activity Income</v>
      </c>
      <c r="E96" s="739"/>
      <c r="F96" s="1782">
        <f>SUM('Revenues 9-14'!C82,'Revenues 9-14'!D82)</f>
        <v>276627</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0</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29399</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18086</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5590</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0</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13978</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747561</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0</v>
      </c>
      <c r="G126" s="763"/>
    </row>
    <row r="127" spans="1:7" x14ac:dyDescent="0.2">
      <c r="A127" s="760" t="s">
        <v>663</v>
      </c>
      <c r="B127" s="760" t="s">
        <v>1928</v>
      </c>
      <c r="C127" s="765">
        <v>4300</v>
      </c>
      <c r="D127" s="766" t="str">
        <f>'Revenues 9-14'!A204</f>
        <v>Total Title I</v>
      </c>
      <c r="E127" s="739"/>
      <c r="F127" s="1782">
        <f>SUM('Revenues 9-14'!C204,'Revenues 9-14'!D204,'Revenues 9-14'!F204,'Revenues 9-14'!G204)</f>
        <v>14355</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10000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111210</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1301</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10511</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7878</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2241</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235667</v>
      </c>
      <c r="G172" s="760"/>
    </row>
    <row r="173" spans="1:7" x14ac:dyDescent="0.2">
      <c r="A173" s="1522" t="s">
        <v>659</v>
      </c>
      <c r="B173" s="1523" t="s">
        <v>1882</v>
      </c>
      <c r="C173" s="1524">
        <v>3300</v>
      </c>
      <c r="D173" s="1525" t="s">
        <v>1885</v>
      </c>
      <c r="E173" s="739"/>
      <c r="F173" s="1783">
        <v>0</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1647109</v>
      </c>
    </row>
    <row r="176" spans="1:7" ht="12" customHeight="1" x14ac:dyDescent="0.2">
      <c r="A176" s="1436"/>
      <c r="B176" s="1446"/>
      <c r="C176" s="1447"/>
      <c r="D176" s="1448" t="s">
        <v>2011</v>
      </c>
      <c r="E176" s="1449"/>
      <c r="F176" s="1782">
        <f>'PCTC-OEPP 27-28'!F78-F175</f>
        <v>8647995</v>
      </c>
    </row>
    <row r="177" spans="1:9" ht="12" customHeight="1" x14ac:dyDescent="0.2">
      <c r="A177" s="1436"/>
      <c r="B177" s="1446"/>
      <c r="C177" s="1447"/>
      <c r="D177" s="1448" t="s">
        <v>1791</v>
      </c>
      <c r="E177" s="1449"/>
      <c r="F177" s="1782">
        <f>'Cap Outlay Deprec 26'!I18</f>
        <v>770540</v>
      </c>
    </row>
    <row r="178" spans="1:9" ht="12" customHeight="1" x14ac:dyDescent="0.2">
      <c r="A178" s="1436"/>
      <c r="B178" s="1446"/>
      <c r="C178" s="1447"/>
      <c r="D178" s="1448" t="s">
        <v>2012</v>
      </c>
      <c r="E178" s="1449"/>
      <c r="F178" s="1782">
        <f>F176+F177</f>
        <v>9418535</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592.1</v>
      </c>
      <c r="G179" s="763"/>
      <c r="I179" s="701"/>
    </row>
    <row r="180" spans="1:9" ht="12" customHeight="1" thickBot="1" x14ac:dyDescent="0.25">
      <c r="A180" s="1436"/>
      <c r="B180" s="1450"/>
      <c r="C180" s="1447"/>
      <c r="D180" s="1448" t="s">
        <v>2014</v>
      </c>
      <c r="E180" s="1449" t="s">
        <v>1525</v>
      </c>
      <c r="F180" s="1787">
        <f>F178/F179</f>
        <v>15907.000506671169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E24" sqref="E24"/>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2" t="s">
        <v>1792</v>
      </c>
      <c r="B4" s="2383"/>
      <c r="C4" s="2383"/>
      <c r="D4" s="2383"/>
      <c r="E4" s="2383"/>
      <c r="F4" s="2384"/>
    </row>
    <row r="5" spans="1:6" x14ac:dyDescent="0.25">
      <c r="A5" s="2385"/>
      <c r="B5" s="2386"/>
      <c r="C5" s="2386"/>
      <c r="D5" s="2386"/>
      <c r="E5" s="2386"/>
      <c r="F5" s="2387"/>
    </row>
    <row r="6" spans="1:6" ht="18.75" x14ac:dyDescent="0.25">
      <c r="A6" s="1854" t="s">
        <v>1793</v>
      </c>
      <c r="B6" s="1855"/>
      <c r="C6" s="1856"/>
      <c r="D6" s="1856"/>
      <c r="E6" s="1856"/>
      <c r="F6" s="1857"/>
    </row>
    <row r="7" spans="1:6" ht="47.25" customHeight="1" x14ac:dyDescent="0.25">
      <c r="A7" s="2388" t="s">
        <v>1982</v>
      </c>
      <c r="B7" s="2389"/>
      <c r="C7" s="2389"/>
      <c r="D7" s="2389"/>
      <c r="E7" s="2389"/>
      <c r="F7" s="2390"/>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1" t="s">
        <v>1978</v>
      </c>
      <c r="B10" s="2392"/>
      <c r="C10" s="2392"/>
      <c r="D10" s="2392"/>
      <c r="E10" s="2392"/>
      <c r="F10" s="2393"/>
    </row>
    <row r="11" spans="1:6" ht="33" customHeight="1" x14ac:dyDescent="0.25">
      <c r="A11" s="2388" t="s">
        <v>1983</v>
      </c>
      <c r="B11" s="2389"/>
      <c r="C11" s="2389"/>
      <c r="D11" s="2389"/>
      <c r="E11" s="2389"/>
      <c r="F11" s="2390"/>
    </row>
    <row r="12" spans="1:6" ht="15" customHeight="1" x14ac:dyDescent="0.25">
      <c r="A12" s="1860" t="s">
        <v>1979</v>
      </c>
      <c r="B12" s="1861"/>
      <c r="C12" s="1862"/>
      <c r="D12" s="1862"/>
      <c r="E12" s="1862"/>
      <c r="F12" s="1863"/>
    </row>
    <row r="13" spans="1:6" ht="17.25" customHeight="1" x14ac:dyDescent="0.25">
      <c r="A13" s="2388" t="s">
        <v>1980</v>
      </c>
      <c r="B13" s="2389"/>
      <c r="C13" s="2389"/>
      <c r="D13" s="2389"/>
      <c r="E13" s="2389"/>
      <c r="F13" s="2390"/>
    </row>
    <row r="14" spans="1:6" ht="15" customHeight="1" x14ac:dyDescent="0.25">
      <c r="A14" s="1860" t="s">
        <v>1797</v>
      </c>
      <c r="B14" s="1861"/>
      <c r="C14" s="1862"/>
      <c r="D14" s="1862"/>
      <c r="E14" s="1862"/>
      <c r="F14" s="1863"/>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40" t="s">
        <v>2077</v>
      </c>
      <c r="B18" s="1895">
        <v>101000600</v>
      </c>
      <c r="C18" s="2041" t="s">
        <v>2082</v>
      </c>
      <c r="D18" s="1873">
        <v>139492</v>
      </c>
      <c r="E18" s="1893" t="str">
        <f t="shared" ref="E18:E81" si="0">IF(D18&lt;25000,D18,"25,000")</f>
        <v>25,000</v>
      </c>
      <c r="F18" s="1893">
        <f t="shared" ref="F18:F81" si="1">IF(D18&gt;=25000,(D18-E18),"0")</f>
        <v>114492</v>
      </c>
      <c r="G18" s="1874"/>
    </row>
    <row r="19" spans="1:7" x14ac:dyDescent="0.25">
      <c r="A19" s="2040" t="s">
        <v>2077</v>
      </c>
      <c r="B19" s="1895">
        <v>101000600</v>
      </c>
      <c r="C19" s="2041" t="s">
        <v>2083</v>
      </c>
      <c r="D19" s="1873">
        <v>63630</v>
      </c>
      <c r="E19" s="1893" t="str">
        <f t="shared" si="0"/>
        <v>25,000</v>
      </c>
      <c r="F19" s="1893">
        <f t="shared" si="1"/>
        <v>38630</v>
      </c>
    </row>
    <row r="20" spans="1:7" x14ac:dyDescent="0.25">
      <c r="A20" s="2040" t="s">
        <v>2078</v>
      </c>
      <c r="B20" s="1895">
        <v>102560300</v>
      </c>
      <c r="C20" s="2041" t="s">
        <v>2084</v>
      </c>
      <c r="D20" s="1873">
        <v>224729</v>
      </c>
      <c r="E20" s="1893" t="str">
        <f t="shared" si="0"/>
        <v>25,000</v>
      </c>
      <c r="F20" s="1893">
        <f t="shared" si="1"/>
        <v>199729</v>
      </c>
    </row>
    <row r="21" spans="1:7" x14ac:dyDescent="0.25">
      <c r="A21" s="2040" t="s">
        <v>2079</v>
      </c>
      <c r="B21" s="1895">
        <v>202540300</v>
      </c>
      <c r="C21" s="2041" t="s">
        <v>2085</v>
      </c>
      <c r="D21" s="1873">
        <v>28160</v>
      </c>
      <c r="E21" s="1893" t="str">
        <f t="shared" si="0"/>
        <v>25,000</v>
      </c>
      <c r="F21" s="1893">
        <f t="shared" si="1"/>
        <v>3160</v>
      </c>
    </row>
    <row r="22" spans="1:7" x14ac:dyDescent="0.25">
      <c r="A22" s="2040" t="s">
        <v>2080</v>
      </c>
      <c r="B22" s="1895">
        <v>202540300</v>
      </c>
      <c r="C22" s="2041" t="s">
        <v>2086</v>
      </c>
      <c r="D22" s="1873">
        <v>72241</v>
      </c>
      <c r="E22" s="1893" t="str">
        <f t="shared" si="0"/>
        <v>25,000</v>
      </c>
      <c r="F22" s="1893">
        <f t="shared" si="1"/>
        <v>47241</v>
      </c>
    </row>
    <row r="23" spans="1:7" x14ac:dyDescent="0.25">
      <c r="A23" s="2040" t="s">
        <v>2081</v>
      </c>
      <c r="B23" s="1895">
        <v>402550300</v>
      </c>
      <c r="C23" s="2041" t="s">
        <v>2087</v>
      </c>
      <c r="D23" s="1873">
        <v>594464</v>
      </c>
      <c r="E23" s="1893" t="str">
        <f t="shared" si="0"/>
        <v>25,000</v>
      </c>
      <c r="F23" s="1893">
        <f t="shared" si="1"/>
        <v>569464</v>
      </c>
    </row>
    <row r="24" spans="1:7" x14ac:dyDescent="0.25">
      <c r="A24" s="2040"/>
      <c r="B24" s="1895"/>
      <c r="C24" s="2041"/>
      <c r="D24" s="1873"/>
      <c r="E24" s="1893">
        <f t="shared" si="0"/>
        <v>0</v>
      </c>
      <c r="F24" s="1893" t="str">
        <f t="shared" si="1"/>
        <v>0</v>
      </c>
    </row>
    <row r="25" spans="1:7" x14ac:dyDescent="0.25">
      <c r="A25" s="2040"/>
      <c r="B25" s="1895"/>
      <c r="C25" s="2041"/>
      <c r="D25" s="1873"/>
      <c r="E25" s="1893">
        <f t="shared" si="0"/>
        <v>0</v>
      </c>
      <c r="F25" s="1893" t="str">
        <f t="shared" si="1"/>
        <v>0</v>
      </c>
    </row>
    <row r="26" spans="1:7" x14ac:dyDescent="0.25">
      <c r="A26" s="2040"/>
      <c r="B26" s="1895"/>
      <c r="C26" s="2041"/>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1122716</v>
      </c>
      <c r="E142" s="1880">
        <f>SUM(E18:E141)</f>
        <v>0</v>
      </c>
      <c r="F142" s="1881">
        <f>SUM(F18:F141)</f>
        <v>972716</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F45" sqref="F4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4" t="s">
        <v>1657</v>
      </c>
      <c r="B5" s="2395"/>
      <c r="C5" s="2395"/>
      <c r="D5" s="2395"/>
      <c r="E5" s="2395"/>
      <c r="F5" s="2395"/>
      <c r="G5" s="2396"/>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5634604</v>
      </c>
      <c r="F19" s="1791"/>
      <c r="G19" s="1793">
        <f>'Expenditures 15-22'!K33-SUM('Expenditures 15-22'!G33,'Expenditures 15-22'!I33)+'Expenditures 15-22'!D229</f>
        <v>5634604</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603079</v>
      </c>
      <c r="F21" s="1794"/>
      <c r="G21" s="1797">
        <f>'Expenditures 15-22'!K42-SUM('Expenditures 15-22'!G42,'Expenditures 15-22'!I42)+'Expenditures 15-22'!K120-SUM('Expenditures 15-22'!G120,'Expenditures 15-22'!I120)+'Expenditures 15-22'!K180-SUM('Expenditures 15-22'!G180,'Expenditures 15-22'!I180)+'Expenditures 15-22'!D238</f>
        <v>603079</v>
      </c>
      <c r="H21" s="817"/>
      <c r="I21" s="157"/>
    </row>
    <row r="22" spans="1:9" s="542" customFormat="1" ht="12" customHeight="1" x14ac:dyDescent="0.2">
      <c r="A22" s="824" t="s">
        <v>560</v>
      </c>
      <c r="B22" s="825"/>
      <c r="C22" s="823">
        <v>2200</v>
      </c>
      <c r="D22" s="1794"/>
      <c r="E22" s="1796">
        <f>'Expenditures 15-22'!K47-SUM('Expenditures 15-22'!G47,'Expenditures 15-22'!I47)+'Expenditures 15-22'!D243</f>
        <v>458809</v>
      </c>
      <c r="F22" s="1794"/>
      <c r="G22" s="1797">
        <f>'Expenditures 15-22'!K47-SUM('Expenditures 15-22'!G47,'Expenditures 15-22'!I47)+'Expenditures 15-22'!D243</f>
        <v>458809</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454971</v>
      </c>
      <c r="F23" s="1794"/>
      <c r="G23" s="1796">
        <f>'Expenditures 15-22'!K53-SUM('Expenditures 15-22'!G53,'Expenditures 15-22'!I53)+'Expenditures 15-22'!D257+'Expenditures 15-22'!K330-SUM('Expenditures 15-22'!G330,'Expenditures 15-22'!I330)</f>
        <v>454971</v>
      </c>
      <c r="H23" s="817"/>
      <c r="I23" s="157"/>
    </row>
    <row r="24" spans="1:9" s="542" customFormat="1" ht="12" customHeight="1" x14ac:dyDescent="0.2">
      <c r="A24" s="824" t="s">
        <v>562</v>
      </c>
      <c r="B24" s="825"/>
      <c r="C24" s="823">
        <v>2400</v>
      </c>
      <c r="D24" s="1794"/>
      <c r="E24" s="1796">
        <f>'Expenditures 15-22'!K57-SUM('Expenditures 15-22'!G57,'Expenditures 15-22'!I57)+'Expenditures 15-22'!D261</f>
        <v>590948</v>
      </c>
      <c r="F24" s="1794"/>
      <c r="G24" s="1797">
        <f>'Expenditures 15-22'!K57-SUM('Expenditures 15-22'!G57,'Expenditures 15-22'!I57)+'Expenditures 15-22'!D261</f>
        <v>590948</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21203</v>
      </c>
      <c r="E26" s="1796">
        <f>'Expenditures 15-22'!K122-SUM('Expenditures 15-22'!G122,'Expenditures 15-22'!I122)+E7</f>
        <v>0</v>
      </c>
      <c r="F26" s="1796">
        <f>'Expenditures 15-22'!K59-SUM('Expenditures 15-22'!G59,'Expenditures 15-22'!I59)+'Expenditures 15-22'!D263-E7</f>
        <v>21203</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92984</v>
      </c>
      <c r="E27" s="1796">
        <f>E8</f>
        <v>0</v>
      </c>
      <c r="F27" s="1796">
        <f>'Expenditures 15-22'!K60-SUM('Expenditures 15-22'!G60,'Expenditures 15-22'!I60)+'Expenditures 15-22'!D264-E8</f>
        <v>92984</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1110070</v>
      </c>
      <c r="F28" s="1798">
        <f>'Expenditures 15-22'!K61-SUM('Expenditures 15-22'!G61,'Expenditures 15-22'!I61)+'Expenditures 15-22'!K124-SUM('Expenditures 15-22'!G124,'Expenditures 15-22'!I124)+'Expenditures 15-22'!D266-E9</f>
        <v>1110070</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1362285</v>
      </c>
      <c r="F29" s="1794"/>
      <c r="G29" s="1797">
        <f>'Expenditures 15-22'!K62-SUM('Expenditures 15-22'!G62,'Expenditures 15-22'!I62)+'Expenditures 15-22'!K125-SUM('Expenditures 15-22'!G125,'Expenditures 15-22'!I125)+'Expenditures 15-22'!K182-SUM('Expenditures 15-22'!G182,'Expenditures 15-22'!I182)+'Expenditures 15-22'!D267</f>
        <v>1362285</v>
      </c>
      <c r="H29" s="815"/>
    </row>
    <row r="30" spans="1:9" ht="12" customHeight="1" x14ac:dyDescent="0.2">
      <c r="A30" s="824" t="s">
        <v>100</v>
      </c>
      <c r="B30" s="827"/>
      <c r="C30" s="823">
        <v>2560</v>
      </c>
      <c r="D30" s="1794"/>
      <c r="E30" s="1796">
        <f>'Expenditures 15-22'!K63-SUM('Expenditures 15-22'!G63,'Expenditures 15-22'!I63)+'Expenditures 15-22'!D268-E10</f>
        <v>252918</v>
      </c>
      <c r="F30" s="1794"/>
      <c r="G30" s="1796">
        <f>'Expenditures 15-22'!K63-SUM('Expenditures 15-22'!G63,'Expenditures 15-22'!I63)+'Expenditures 15-22'!D268-E10</f>
        <v>252918</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223995</v>
      </c>
      <c r="E37" s="1796">
        <f>E14</f>
        <v>0</v>
      </c>
      <c r="F37" s="1796">
        <f>'Expenditures 15-22'!K71-SUM('Expenditures 15-22'!G71,'Expenditures 15-22'!I71)+'Expenditures 15-22'!D276-E14</f>
        <v>223995</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4"/>
      <c r="E40" s="1798">
        <f>-'Contracts Paid in CY 29'!F142</f>
        <v>-972716</v>
      </c>
      <c r="F40" s="1794"/>
      <c r="G40" s="1798">
        <f>-'Contracts Paid in CY 29'!F142</f>
        <v>-972716</v>
      </c>
    </row>
    <row r="41" spans="1:7" ht="12" customHeight="1" x14ac:dyDescent="0.2">
      <c r="A41" s="828" t="s">
        <v>155</v>
      </c>
      <c r="B41" s="829"/>
      <c r="C41" s="830"/>
      <c r="D41" s="1798">
        <f>SUM(D19:D39)</f>
        <v>338182</v>
      </c>
      <c r="E41" s="1798">
        <f>SUM(E19:E40)</f>
        <v>9494968</v>
      </c>
      <c r="F41" s="1798">
        <f>SUM(F19:F39)</f>
        <v>1448252</v>
      </c>
      <c r="G41" s="1798">
        <f>SUM(G19:G40)</f>
        <v>8384898</v>
      </c>
    </row>
    <row r="42" spans="1:7" x14ac:dyDescent="0.2">
      <c r="A42" s="817"/>
      <c r="B42" s="157"/>
      <c r="C42" s="831"/>
      <c r="D42" s="2397" t="s">
        <v>519</v>
      </c>
      <c r="E42" s="2398"/>
      <c r="F42" s="832" t="s">
        <v>520</v>
      </c>
      <c r="G42" s="833"/>
    </row>
    <row r="43" spans="1:7" ht="12" customHeight="1" x14ac:dyDescent="0.2">
      <c r="A43" s="817"/>
      <c r="B43" s="157"/>
      <c r="C43" s="831"/>
      <c r="D43" s="1451" t="s">
        <v>470</v>
      </c>
      <c r="E43" s="1799">
        <f>D41</f>
        <v>338182</v>
      </c>
      <c r="F43" s="1451" t="s">
        <v>470</v>
      </c>
      <c r="G43" s="1799">
        <f>F41</f>
        <v>1448252</v>
      </c>
    </row>
    <row r="44" spans="1:7" ht="12" customHeight="1" x14ac:dyDescent="0.2">
      <c r="A44" s="817"/>
      <c r="B44" s="157"/>
      <c r="C44" s="831"/>
      <c r="D44" s="1451" t="s">
        <v>471</v>
      </c>
      <c r="E44" s="1799">
        <f>E41</f>
        <v>9494968</v>
      </c>
      <c r="F44" s="1451" t="s">
        <v>471</v>
      </c>
      <c r="G44" s="1799">
        <f>G41</f>
        <v>8384898</v>
      </c>
    </row>
    <row r="45" spans="1:7" ht="12" customHeight="1" x14ac:dyDescent="0.2">
      <c r="A45" s="817"/>
      <c r="B45" s="157"/>
      <c r="C45" s="157"/>
      <c r="D45" s="1452" t="s">
        <v>998</v>
      </c>
      <c r="E45" s="1800">
        <f>(E43/E44)</f>
        <v>3.5616971010328839E-2</v>
      </c>
      <c r="F45" s="1452" t="s">
        <v>998</v>
      </c>
      <c r="G45" s="1800">
        <f>(G43/G44)</f>
        <v>0.17272148092916575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8" activePane="bottomLeft" state="frozen"/>
      <selection activeCell="A47" sqref="A47"/>
      <selection pane="bottomLeft" activeCell="A42" sqref="A42:F42"/>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5" t="s">
        <v>1360</v>
      </c>
      <c r="B1" s="2405"/>
      <c r="C1" s="2405"/>
      <c r="D1" s="2405"/>
      <c r="E1" s="2405"/>
      <c r="F1" s="2405"/>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06" t="s">
        <v>1526</v>
      </c>
      <c r="B5" s="2407"/>
      <c r="C5" s="2408"/>
      <c r="D5" s="2408"/>
      <c r="E5" s="2408"/>
      <c r="F5" s="2408"/>
      <c r="G5" s="1500"/>
      <c r="L5" s="1500"/>
      <c r="M5" s="1844"/>
      <c r="N5" s="1844"/>
      <c r="O5" s="1844"/>
    </row>
    <row r="6" spans="1:15" ht="12" customHeight="1" x14ac:dyDescent="0.25">
      <c r="A6" s="1473"/>
      <c r="B6" s="1474"/>
      <c r="C6" s="2409" t="str">
        <f>COVER!A17</f>
        <v>Richmond-Burton CHSD 157</v>
      </c>
      <c r="D6" s="2409"/>
      <c r="E6" s="2409"/>
      <c r="F6" s="1475"/>
      <c r="G6" s="1500"/>
      <c r="L6" s="1500"/>
      <c r="M6" s="1844"/>
      <c r="N6" s="1844"/>
      <c r="O6" s="1844"/>
    </row>
    <row r="7" spans="1:15" ht="11.25" customHeight="1" thickBot="1" x14ac:dyDescent="0.3">
      <c r="A7" s="1473"/>
      <c r="B7" s="1474"/>
      <c r="C7" s="2410">
        <f>COVER!A13</f>
        <v>44063157016</v>
      </c>
      <c r="D7" s="2410"/>
      <c r="E7" s="2410"/>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t="s">
        <v>2062</v>
      </c>
      <c r="D11" s="1488" t="s">
        <v>2062</v>
      </c>
      <c r="E11" s="1489"/>
      <c r="F11" s="1490" t="s">
        <v>2069</v>
      </c>
      <c r="G11" s="1500"/>
      <c r="H11" s="1500">
        <f>IF(C11="X",5,0)</f>
        <v>5</v>
      </c>
      <c r="I11" s="1500">
        <f>IF(D11="X",5,0)</f>
        <v>5</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t="s">
        <v>2062</v>
      </c>
      <c r="D14" s="1488" t="s">
        <v>2062</v>
      </c>
      <c r="E14" s="1491"/>
      <c r="F14" s="1490" t="s">
        <v>2070</v>
      </c>
      <c r="G14" s="1500"/>
      <c r="H14" s="1500">
        <f t="shared" si="0"/>
        <v>5</v>
      </c>
      <c r="I14" s="1500">
        <f t="shared" si="1"/>
        <v>5</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2062</v>
      </c>
      <c r="D19" s="1488" t="s">
        <v>2062</v>
      </c>
      <c r="E19" s="1491"/>
      <c r="F19" s="1490" t="s">
        <v>2071</v>
      </c>
      <c r="G19" s="1500"/>
      <c r="H19" s="1500">
        <f t="shared" si="0"/>
        <v>5</v>
      </c>
      <c r="I19" s="1500">
        <f t="shared" si="1"/>
        <v>5</v>
      </c>
      <c r="J19" s="1500">
        <f t="shared" si="2"/>
        <v>0</v>
      </c>
      <c r="L19" s="1500"/>
      <c r="M19" s="1844"/>
      <c r="N19" s="1844"/>
      <c r="O19" s="1844"/>
    </row>
    <row r="20" spans="1:15" ht="12" customHeight="1" x14ac:dyDescent="0.2">
      <c r="A20" s="1486" t="s">
        <v>1508</v>
      </c>
      <c r="B20" s="1487"/>
      <c r="C20" s="1488" t="s">
        <v>2062</v>
      </c>
      <c r="D20" s="1488" t="s">
        <v>2062</v>
      </c>
      <c r="E20" s="1491"/>
      <c r="F20" s="1490" t="s">
        <v>2072</v>
      </c>
      <c r="G20" s="1500"/>
      <c r="H20" s="1500">
        <f t="shared" si="0"/>
        <v>5</v>
      </c>
      <c r="I20" s="1500">
        <f t="shared" si="1"/>
        <v>5</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t="s">
        <v>2062</v>
      </c>
      <c r="D25" s="1488" t="s">
        <v>2062</v>
      </c>
      <c r="E25" s="1491"/>
      <c r="F25" s="1490" t="s">
        <v>2069</v>
      </c>
      <c r="G25" s="1500"/>
      <c r="H25" s="1500">
        <f t="shared" si="0"/>
        <v>5</v>
      </c>
      <c r="I25" s="1500">
        <f t="shared" si="1"/>
        <v>5</v>
      </c>
      <c r="J25" s="1500">
        <f t="shared" si="2"/>
        <v>0</v>
      </c>
      <c r="L25" s="1500"/>
      <c r="M25" s="1844"/>
      <c r="N25" s="1844"/>
      <c r="O25" s="1844"/>
    </row>
    <row r="26" spans="1:15" ht="12" customHeight="1" x14ac:dyDescent="0.2">
      <c r="A26" s="1486" t="s">
        <v>1514</v>
      </c>
      <c r="B26" s="1487"/>
      <c r="C26" s="1488" t="s">
        <v>2062</v>
      </c>
      <c r="D26" s="1488" t="s">
        <v>2062</v>
      </c>
      <c r="E26" s="1491"/>
      <c r="F26" s="1490" t="s">
        <v>2073</v>
      </c>
      <c r="G26" s="1500"/>
      <c r="H26" s="1500">
        <f t="shared" si="0"/>
        <v>5</v>
      </c>
      <c r="I26" s="1500">
        <f t="shared" si="1"/>
        <v>5</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t="s">
        <v>2062</v>
      </c>
      <c r="D29" s="1488" t="s">
        <v>2062</v>
      </c>
      <c r="E29" s="1491"/>
      <c r="F29" s="1490" t="s">
        <v>2074</v>
      </c>
      <c r="G29" s="1500"/>
      <c r="H29" s="1500">
        <f t="shared" si="0"/>
        <v>5</v>
      </c>
      <c r="I29" s="1500">
        <f t="shared" si="1"/>
        <v>5</v>
      </c>
      <c r="J29" s="1500">
        <f t="shared" si="2"/>
        <v>0</v>
      </c>
      <c r="L29" s="1500"/>
      <c r="M29" s="1844"/>
      <c r="N29" s="1844"/>
      <c r="O29" s="1844"/>
    </row>
    <row r="30" spans="1:15" ht="12" customHeight="1" x14ac:dyDescent="0.2">
      <c r="A30" s="1486" t="s">
        <v>1518</v>
      </c>
      <c r="B30" s="1487"/>
      <c r="C30" s="1488" t="s">
        <v>2062</v>
      </c>
      <c r="D30" s="1488" t="s">
        <v>2062</v>
      </c>
      <c r="E30" s="1491"/>
      <c r="F30" s="1490" t="s">
        <v>2069</v>
      </c>
      <c r="G30" s="1500"/>
      <c r="H30" s="1500">
        <f t="shared" si="0"/>
        <v>5</v>
      </c>
      <c r="I30" s="1500">
        <f t="shared" si="1"/>
        <v>5</v>
      </c>
      <c r="J30" s="1500">
        <f t="shared" si="2"/>
        <v>0</v>
      </c>
      <c r="L30" s="1500"/>
      <c r="M30" s="1844"/>
      <c r="N30" s="1844"/>
      <c r="O30" s="1844"/>
    </row>
    <row r="31" spans="1:15" ht="12" customHeight="1" x14ac:dyDescent="0.2">
      <c r="A31" s="1486" t="s">
        <v>1519</v>
      </c>
      <c r="B31" s="1487"/>
      <c r="C31" s="1488" t="s">
        <v>2062</v>
      </c>
      <c r="D31" s="1488" t="s">
        <v>2062</v>
      </c>
      <c r="E31" s="1491"/>
      <c r="F31" s="1490" t="s">
        <v>2075</v>
      </c>
      <c r="G31" s="1500"/>
      <c r="H31" s="1500">
        <f t="shared" si="0"/>
        <v>5</v>
      </c>
      <c r="I31" s="1500">
        <f t="shared" si="1"/>
        <v>5</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45</v>
      </c>
      <c r="I34" s="1500">
        <f>SUM(I11:I32)</f>
        <v>45</v>
      </c>
      <c r="J34" s="1500">
        <f>SUM(J11:J32)</f>
        <v>0</v>
      </c>
      <c r="K34" s="1500">
        <f>SUM(H34:J34)</f>
        <v>90</v>
      </c>
      <c r="L34" s="1500"/>
      <c r="M34" s="1844"/>
      <c r="N34" s="1844"/>
      <c r="O34" s="1844"/>
    </row>
    <row r="35" spans="1:15" ht="12" customHeight="1" x14ac:dyDescent="0.2">
      <c r="A35" s="1493" t="s">
        <v>1373</v>
      </c>
      <c r="B35" s="1494"/>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495"/>
      <c r="B39" s="1495"/>
      <c r="C39" s="1495"/>
      <c r="D39" s="1495"/>
      <c r="E39" s="1495"/>
      <c r="F39" s="1495"/>
    </row>
    <row r="40" spans="1:15" s="1492" customFormat="1" ht="12" customHeight="1" x14ac:dyDescent="0.25">
      <c r="A40" s="1496" t="s">
        <v>1372</v>
      </c>
      <c r="B40" s="1497"/>
      <c r="C40" s="2419"/>
      <c r="D40" s="2419"/>
      <c r="E40" s="2419"/>
      <c r="F40" s="2420"/>
      <c r="H40" s="1501"/>
      <c r="I40" s="1501"/>
      <c r="J40" s="1501"/>
      <c r="K40" s="1501"/>
    </row>
    <row r="41" spans="1:15" s="1492" customFormat="1" ht="12" customHeight="1" x14ac:dyDescent="0.25">
      <c r="A41" s="2421" t="s">
        <v>2076</v>
      </c>
      <c r="B41" s="2422"/>
      <c r="C41" s="2422"/>
      <c r="D41" s="2422"/>
      <c r="E41" s="2422"/>
      <c r="F41" s="2423"/>
      <c r="H41" s="1501"/>
      <c r="I41" s="1501"/>
      <c r="J41" s="1501"/>
      <c r="K41" s="1501"/>
    </row>
    <row r="42" spans="1:15" s="1492" customFormat="1" ht="12" customHeight="1" x14ac:dyDescent="0.25">
      <c r="A42" s="2421"/>
      <c r="B42" s="2422"/>
      <c r="C42" s="2422"/>
      <c r="D42" s="2422"/>
      <c r="E42" s="2422"/>
      <c r="F42" s="2423"/>
      <c r="H42" s="1501"/>
      <c r="I42" s="1501"/>
      <c r="J42" s="1501"/>
      <c r="K42" s="1501"/>
    </row>
    <row r="43" spans="1:15" s="1492" customFormat="1" ht="15" x14ac:dyDescent="0.25">
      <c r="A43" s="2413"/>
      <c r="B43" s="2414"/>
      <c r="C43" s="2414"/>
      <c r="D43" s="2414"/>
      <c r="E43" s="2414"/>
      <c r="F43" s="2415"/>
      <c r="H43" s="1501"/>
      <c r="I43" s="1501"/>
      <c r="J43" s="1501"/>
      <c r="K43" s="1501"/>
    </row>
    <row r="44" spans="1:15" s="1492" customFormat="1" ht="12" hidden="1" customHeight="1" x14ac:dyDescent="0.25">
      <c r="A44" s="2413"/>
      <c r="B44" s="2414"/>
      <c r="C44" s="2414"/>
      <c r="D44" s="2414"/>
      <c r="E44" s="2414"/>
      <c r="F44" s="2415"/>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44" zoomScaleNormal="100" workbookViewId="0">
      <selection activeCell="E66" sqref="E66"/>
    </sheetView>
  </sheetViews>
  <sheetFormatPr defaultColWidth="9.140625"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1999</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66" t="str">
        <f>COVER!A17</f>
        <v>Richmond-Burton CHSD 157</v>
      </c>
      <c r="K6" s="2466"/>
      <c r="L6" s="2467"/>
      <c r="M6" s="847"/>
      <c r="N6" s="1967"/>
    </row>
    <row r="7" spans="1:14" x14ac:dyDescent="0.25">
      <c r="A7" s="2468" t="s">
        <v>863</v>
      </c>
      <c r="B7" s="2469"/>
      <c r="C7" s="2469"/>
      <c r="D7" s="2469"/>
      <c r="E7" s="2470"/>
      <c r="F7" s="2031"/>
      <c r="G7" s="847"/>
      <c r="H7" s="847"/>
      <c r="I7" s="1956" t="s">
        <v>369</v>
      </c>
      <c r="J7" s="2471">
        <f>COVER!A13</f>
        <v>44063157016</v>
      </c>
      <c r="K7" s="2471"/>
      <c r="L7" s="2471"/>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2059</v>
      </c>
      <c r="F9" s="2020"/>
      <c r="G9" s="2020"/>
      <c r="H9" s="2020"/>
      <c r="I9" s="2021" t="s">
        <v>2058</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72" t="s">
        <v>478</v>
      </c>
      <c r="B11" s="2473"/>
      <c r="C11" s="2474"/>
      <c r="D11" s="2013" t="s">
        <v>865</v>
      </c>
      <c r="E11" s="2013" t="s">
        <v>64</v>
      </c>
      <c r="F11" s="2013" t="s">
        <v>6</v>
      </c>
      <c r="G11" s="2012" t="s">
        <v>2057</v>
      </c>
      <c r="H11" s="2011" t="s">
        <v>155</v>
      </c>
      <c r="I11" s="2013" t="s">
        <v>64</v>
      </c>
      <c r="J11" s="2013" t="s">
        <v>6</v>
      </c>
      <c r="K11" s="2012" t="s">
        <v>1998</v>
      </c>
      <c r="L11" s="2011" t="s">
        <v>155</v>
      </c>
      <c r="M11" s="847"/>
      <c r="N11" s="1967"/>
    </row>
    <row r="12" spans="1:14" x14ac:dyDescent="0.25">
      <c r="A12" s="1997">
        <v>1</v>
      </c>
      <c r="B12" s="2009" t="s">
        <v>812</v>
      </c>
      <c r="C12" s="2008"/>
      <c r="D12" s="2007">
        <v>2320</v>
      </c>
      <c r="E12" s="2006">
        <f>'Expenditures 15-22'!K50</f>
        <v>129368</v>
      </c>
      <c r="F12" s="2004"/>
      <c r="G12" s="2005">
        <f>G68</f>
        <v>0</v>
      </c>
      <c r="H12" s="2001">
        <f t="shared" ref="H12:H18" si="0">SUM(E12:G12)</f>
        <v>129368</v>
      </c>
      <c r="I12" s="2002">
        <v>53500</v>
      </c>
      <c r="J12" s="2004"/>
      <c r="K12" s="2002"/>
      <c r="L12" s="2001">
        <f t="shared" ref="L12:L18" si="1">SUM(I12:K12)</f>
        <v>53500</v>
      </c>
      <c r="M12" s="847"/>
      <c r="N12" s="1967"/>
    </row>
    <row r="13" spans="1:14" x14ac:dyDescent="0.25">
      <c r="A13" s="1997">
        <v>2</v>
      </c>
      <c r="B13" s="2009" t="s">
        <v>42</v>
      </c>
      <c r="C13" s="2008"/>
      <c r="D13" s="2007">
        <v>2330</v>
      </c>
      <c r="E13" s="2006">
        <f>'Expenditures 15-22'!K51</f>
        <v>0</v>
      </c>
      <c r="F13" s="2004"/>
      <c r="G13" s="2005">
        <f>H68</f>
        <v>0</v>
      </c>
      <c r="H13" s="2001">
        <f t="shared" si="0"/>
        <v>0</v>
      </c>
      <c r="I13" s="2002"/>
      <c r="J13" s="2004"/>
      <c r="K13" s="2002"/>
      <c r="L13" s="2001">
        <f t="shared" si="1"/>
        <v>0</v>
      </c>
      <c r="M13" s="847"/>
      <c r="N13" s="1967"/>
    </row>
    <row r="14" spans="1:14" x14ac:dyDescent="0.25">
      <c r="A14" s="1997">
        <v>3</v>
      </c>
      <c r="B14" s="2009" t="s">
        <v>43</v>
      </c>
      <c r="C14" s="2008"/>
      <c r="D14" s="2010">
        <v>2490</v>
      </c>
      <c r="E14" s="2006">
        <f>'Expenditures 15-22'!K56</f>
        <v>0</v>
      </c>
      <c r="F14" s="2004"/>
      <c r="G14" s="2005">
        <f>I68</f>
        <v>0</v>
      </c>
      <c r="H14" s="2001">
        <f t="shared" si="0"/>
        <v>0</v>
      </c>
      <c r="I14" s="2002"/>
      <c r="J14" s="2004"/>
      <c r="K14" s="2002"/>
      <c r="L14" s="2001">
        <f t="shared" si="1"/>
        <v>0</v>
      </c>
      <c r="M14" s="847"/>
      <c r="N14" s="1967"/>
    </row>
    <row r="15" spans="1:14" x14ac:dyDescent="0.25">
      <c r="A15" s="1997">
        <v>4</v>
      </c>
      <c r="B15" s="2009" t="s">
        <v>1058</v>
      </c>
      <c r="C15" s="2008"/>
      <c r="D15" s="2007">
        <v>2510</v>
      </c>
      <c r="E15" s="2006">
        <f>'Expenditures 15-22'!K59</f>
        <v>19561</v>
      </c>
      <c r="F15" s="2006">
        <f>'Expenditures 15-22'!K122</f>
        <v>0</v>
      </c>
      <c r="G15" s="2005">
        <f>J68</f>
        <v>0</v>
      </c>
      <c r="H15" s="2001">
        <f t="shared" si="0"/>
        <v>19561</v>
      </c>
      <c r="I15" s="2002">
        <v>77000</v>
      </c>
      <c r="J15" s="2002"/>
      <c r="K15" s="2002"/>
      <c r="L15" s="2001">
        <f t="shared" si="1"/>
        <v>77000</v>
      </c>
      <c r="M15" s="847"/>
      <c r="N15" s="1967"/>
    </row>
    <row r="16" spans="1:14" x14ac:dyDescent="0.25">
      <c r="A16" s="1997">
        <v>5</v>
      </c>
      <c r="B16" s="2009" t="s">
        <v>101</v>
      </c>
      <c r="C16" s="2008"/>
      <c r="D16" s="2007">
        <v>2570</v>
      </c>
      <c r="E16" s="2006">
        <f>'Expenditures 15-22'!K64</f>
        <v>0</v>
      </c>
      <c r="F16" s="2004"/>
      <c r="G16" s="2005">
        <f>K68</f>
        <v>0</v>
      </c>
      <c r="H16" s="2001">
        <f t="shared" si="0"/>
        <v>0</v>
      </c>
      <c r="I16" s="2002"/>
      <c r="J16" s="2004"/>
      <c r="K16" s="2002"/>
      <c r="L16" s="2001">
        <f t="shared" si="1"/>
        <v>0</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475" t="s">
        <v>7</v>
      </c>
      <c r="C18" s="2475"/>
      <c r="D18" s="2476"/>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148929</v>
      </c>
      <c r="F19" s="1998">
        <f t="shared" si="2"/>
        <v>0</v>
      </c>
      <c r="G19" s="1998">
        <f t="shared" si="2"/>
        <v>0</v>
      </c>
      <c r="H19" s="1998">
        <f t="shared" si="2"/>
        <v>148929</v>
      </c>
      <c r="I19" s="1998">
        <f t="shared" si="2"/>
        <v>130500</v>
      </c>
      <c r="J19" s="1998">
        <f t="shared" si="2"/>
        <v>0</v>
      </c>
      <c r="K19" s="1998">
        <f t="shared" si="2"/>
        <v>0</v>
      </c>
      <c r="L19" s="1998">
        <f t="shared" si="2"/>
        <v>130500</v>
      </c>
      <c r="M19" s="847"/>
      <c r="N19" s="1967"/>
    </row>
    <row r="20" spans="1:14" ht="15.75" thickTop="1" x14ac:dyDescent="0.25">
      <c r="A20" s="1997">
        <v>9</v>
      </c>
      <c r="B20" s="2464" t="s">
        <v>2056</v>
      </c>
      <c r="C20" s="2464"/>
      <c r="D20" s="2465"/>
      <c r="E20" s="1996"/>
      <c r="F20" s="1996"/>
      <c r="G20" s="1996"/>
      <c r="H20" s="1996"/>
      <c r="I20" s="1996"/>
      <c r="J20" s="1996"/>
      <c r="K20" s="1996"/>
      <c r="L20" s="1995">
        <f>IF(AND(H19&gt;0,L19&gt;0),(((L19-H19)/H19)),"Enter Budget Data")</f>
        <v>-0.12374352879560059</v>
      </c>
      <c r="M20" s="847"/>
      <c r="N20" s="1967"/>
    </row>
    <row r="21" spans="1:14" x14ac:dyDescent="0.25">
      <c r="A21" s="1994" t="s">
        <v>194</v>
      </c>
      <c r="B21" s="294" t="s">
        <v>2055</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2054</v>
      </c>
      <c r="B24" s="1989"/>
      <c r="C24" s="1988"/>
      <c r="D24" s="1988"/>
      <c r="E24" s="1988"/>
      <c r="F24" s="1988"/>
      <c r="G24" s="1988"/>
      <c r="H24" s="1988"/>
      <c r="I24" s="1988"/>
      <c r="J24" s="1988"/>
      <c r="K24" s="1988"/>
      <c r="L24" s="847"/>
      <c r="M24" s="847"/>
      <c r="N24" s="1967"/>
    </row>
    <row r="25" spans="1:14" x14ac:dyDescent="0.25">
      <c r="A25" s="1990" t="s">
        <v>2053</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50"/>
      <c r="D27" s="2450"/>
      <c r="E27" s="1986"/>
      <c r="F27" s="2451"/>
      <c r="G27" s="2451"/>
      <c r="H27" s="2451"/>
      <c r="I27" s="847"/>
      <c r="J27" s="847"/>
      <c r="K27" s="847"/>
      <c r="L27" s="847"/>
      <c r="M27" s="847"/>
      <c r="N27" s="1967"/>
    </row>
    <row r="28" spans="1:14" x14ac:dyDescent="0.25">
      <c r="A28" s="1968"/>
      <c r="B28" s="1980"/>
      <c r="C28" s="1985" t="s">
        <v>1025</v>
      </c>
      <c r="D28" s="1984"/>
      <c r="E28" s="1983"/>
      <c r="F28" s="2452" t="s">
        <v>1489</v>
      </c>
      <c r="G28" s="2452"/>
      <c r="H28" s="2452"/>
      <c r="I28" s="847"/>
      <c r="J28" s="847"/>
      <c r="K28" s="847"/>
      <c r="L28" s="847"/>
      <c r="M28" s="847"/>
      <c r="N28" s="1967"/>
    </row>
    <row r="29" spans="1:14" x14ac:dyDescent="0.25">
      <c r="A29" s="1968"/>
      <c r="B29" s="1980"/>
      <c r="C29" s="2453"/>
      <c r="D29" s="2453"/>
      <c r="E29" s="846"/>
      <c r="F29" s="2453"/>
      <c r="G29" s="2453"/>
      <c r="H29" s="2453"/>
      <c r="I29" s="847"/>
      <c r="J29" s="847"/>
      <c r="K29" s="847"/>
      <c r="L29" s="847"/>
      <c r="M29" s="847"/>
      <c r="N29" s="1967"/>
    </row>
    <row r="30" spans="1:14" x14ac:dyDescent="0.25">
      <c r="A30" s="1968"/>
      <c r="B30" s="1980"/>
      <c r="C30" s="1982" t="s">
        <v>1541</v>
      </c>
      <c r="D30" s="847"/>
      <c r="E30" s="1981"/>
      <c r="F30" s="2454" t="s">
        <v>1490</v>
      </c>
      <c r="G30" s="2454"/>
      <c r="H30" s="2454"/>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55" t="s">
        <v>2052</v>
      </c>
      <c r="D34" s="2455"/>
      <c r="E34" s="2455"/>
      <c r="F34" s="2455"/>
      <c r="G34" s="2455"/>
      <c r="H34" s="2455"/>
      <c r="I34" s="2455"/>
      <c r="J34" s="2455"/>
      <c r="K34" s="1974"/>
      <c r="L34" s="847"/>
      <c r="M34" s="847"/>
      <c r="N34" s="1967"/>
    </row>
    <row r="35" spans="1:14" x14ac:dyDescent="0.25">
      <c r="A35" s="1968"/>
      <c r="B35" s="847"/>
      <c r="C35" s="2455"/>
      <c r="D35" s="2455"/>
      <c r="E35" s="2455"/>
      <c r="F35" s="2455"/>
      <c r="G35" s="2455"/>
      <c r="H35" s="2455"/>
      <c r="I35" s="2455"/>
      <c r="J35" s="2455"/>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55" t="s">
        <v>2051</v>
      </c>
      <c r="D37" s="2455"/>
      <c r="E37" s="2455"/>
      <c r="F37" s="2455"/>
      <c r="G37" s="2455"/>
      <c r="H37" s="2455"/>
      <c r="I37" s="2455"/>
      <c r="J37" s="2455"/>
      <c r="K37" s="1974"/>
      <c r="L37" s="838"/>
      <c r="M37" s="847"/>
      <c r="N37" s="1967"/>
    </row>
    <row r="38" spans="1:14" x14ac:dyDescent="0.25">
      <c r="A38" s="1968"/>
      <c r="B38" s="847"/>
      <c r="C38" s="2455"/>
      <c r="D38" s="2455"/>
      <c r="E38" s="2455"/>
      <c r="F38" s="2455"/>
      <c r="G38" s="2455"/>
      <c r="H38" s="2455"/>
      <c r="I38" s="2455"/>
      <c r="J38" s="2455"/>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56" t="s">
        <v>2050</v>
      </c>
      <c r="D40" s="2457"/>
      <c r="E40" s="2457"/>
      <c r="F40" s="2457"/>
      <c r="G40" s="2457"/>
      <c r="H40" s="2457"/>
      <c r="I40" s="2457"/>
      <c r="J40" s="2457"/>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58" t="s">
        <v>2049</v>
      </c>
      <c r="B43" s="2459"/>
      <c r="C43" s="2459"/>
      <c r="D43" s="2459"/>
      <c r="E43" s="2459"/>
      <c r="F43" s="2459"/>
      <c r="G43" s="2459"/>
      <c r="H43" s="2459"/>
      <c r="I43" s="2459"/>
      <c r="J43" s="2459"/>
      <c r="K43" s="2459"/>
      <c r="L43" s="2459"/>
      <c r="M43" s="2459"/>
      <c r="N43" s="2460"/>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2048</v>
      </c>
      <c r="B45" s="1954"/>
      <c r="C45" s="1954"/>
      <c r="D45" s="1954"/>
      <c r="E45" s="1954"/>
      <c r="F45" s="1954"/>
      <c r="G45" s="1954"/>
      <c r="H45" s="1954"/>
      <c r="I45" s="1954"/>
      <c r="J45" s="1954"/>
      <c r="K45" s="1954"/>
      <c r="L45" s="1954"/>
      <c r="M45" s="1954"/>
      <c r="N45" s="1953"/>
    </row>
    <row r="46" spans="1:14" x14ac:dyDescent="0.25">
      <c r="A46" s="2461" t="s">
        <v>2047</v>
      </c>
      <c r="B46" s="2462"/>
      <c r="C46" s="2462"/>
      <c r="D46" s="2462"/>
      <c r="E46" s="2462"/>
      <c r="F46" s="2462"/>
      <c r="G46" s="2462"/>
      <c r="H46" s="2462"/>
      <c r="I46" s="2462"/>
      <c r="J46" s="2462"/>
      <c r="K46" s="2462"/>
      <c r="L46" s="2462"/>
      <c r="M46" s="2462"/>
      <c r="N46" s="2463"/>
    </row>
    <row r="47" spans="1:14" x14ac:dyDescent="0.25">
      <c r="A47" s="2461"/>
      <c r="B47" s="2462"/>
      <c r="C47" s="2462"/>
      <c r="D47" s="2462"/>
      <c r="E47" s="2462"/>
      <c r="F47" s="2462"/>
      <c r="G47" s="2462"/>
      <c r="H47" s="2462"/>
      <c r="I47" s="2462"/>
      <c r="J47" s="2462"/>
      <c r="K47" s="2462"/>
      <c r="L47" s="2462"/>
      <c r="M47" s="2462"/>
      <c r="N47" s="2463"/>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2046</v>
      </c>
      <c r="B49" s="1960"/>
      <c r="C49" s="1960"/>
      <c r="D49" s="1959"/>
      <c r="E49" s="1959"/>
      <c r="F49" s="1959"/>
      <c r="G49" s="1959"/>
      <c r="H49" s="1959"/>
      <c r="I49" s="1959"/>
      <c r="J49" s="1959"/>
      <c r="K49" s="1959"/>
      <c r="L49" s="1959"/>
      <c r="M49" s="1959"/>
      <c r="N49" s="1958"/>
    </row>
    <row r="50" spans="1:14" x14ac:dyDescent="0.25">
      <c r="A50" s="1957" t="s">
        <v>2045</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48" t="str">
        <f>J6</f>
        <v>Richmond-Burton CHSD 157</v>
      </c>
      <c r="M52" s="2448"/>
      <c r="N52" s="2449"/>
    </row>
    <row r="53" spans="1:14" x14ac:dyDescent="0.25">
      <c r="A53" s="1955"/>
      <c r="B53" s="1954"/>
      <c r="C53" s="1954"/>
      <c r="D53" s="1954"/>
      <c r="E53" s="1954"/>
      <c r="F53" s="1954"/>
      <c r="G53" s="1954"/>
      <c r="H53" s="1954"/>
      <c r="I53" s="1954"/>
      <c r="J53" s="1954"/>
      <c r="K53" s="1956" t="s">
        <v>369</v>
      </c>
      <c r="L53" s="2435">
        <f>J7</f>
        <v>44063157016</v>
      </c>
      <c r="M53" s="2435"/>
      <c r="N53" s="2436"/>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37"/>
      <c r="B55" s="2438"/>
      <c r="C55" s="2438"/>
      <c r="D55" s="1937"/>
      <c r="E55" s="1937"/>
      <c r="F55" s="1937"/>
      <c r="G55" s="2439" t="s">
        <v>2044</v>
      </c>
      <c r="H55" s="2439"/>
      <c r="I55" s="2439"/>
      <c r="J55" s="2439"/>
      <c r="K55" s="2439"/>
      <c r="L55" s="2439"/>
      <c r="M55" s="2439"/>
      <c r="N55" s="2440"/>
    </row>
    <row r="56" spans="1:14" ht="64.5" x14ac:dyDescent="0.25">
      <c r="A56" s="2441" t="s">
        <v>2043</v>
      </c>
      <c r="B56" s="2442"/>
      <c r="C56" s="2443"/>
      <c r="D56" s="1951" t="s">
        <v>2042</v>
      </c>
      <c r="E56" s="1951" t="s">
        <v>2041</v>
      </c>
      <c r="F56" s="1952"/>
      <c r="G56" s="1951" t="s">
        <v>2040</v>
      </c>
      <c r="H56" s="1951" t="s">
        <v>2039</v>
      </c>
      <c r="I56" s="1951" t="s">
        <v>2038</v>
      </c>
      <c r="J56" s="1951" t="s">
        <v>2037</v>
      </c>
      <c r="K56" s="1951" t="s">
        <v>2036</v>
      </c>
      <c r="L56" s="1951" t="s">
        <v>2035</v>
      </c>
      <c r="M56" s="1951" t="s">
        <v>2034</v>
      </c>
      <c r="N56" s="1950" t="s">
        <v>2033</v>
      </c>
    </row>
    <row r="57" spans="1:14" ht="24" customHeight="1" x14ac:dyDescent="0.25">
      <c r="A57" s="2444" t="s">
        <v>296</v>
      </c>
      <c r="B57" s="2445"/>
      <c r="C57" s="2445"/>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46" t="s">
        <v>2032</v>
      </c>
      <c r="B58" s="2447"/>
      <c r="C58" s="2447"/>
      <c r="D58" s="1945">
        <v>2362</v>
      </c>
      <c r="E58" s="1948">
        <f>'Expenditures 15-22'!K320</f>
        <v>0</v>
      </c>
      <c r="F58" s="1941"/>
      <c r="G58" s="1944"/>
      <c r="H58" s="1943"/>
      <c r="I58" s="1943"/>
      <c r="J58" s="1943"/>
      <c r="K58" s="1943"/>
      <c r="L58" s="1943"/>
      <c r="M58" s="1943"/>
      <c r="N58" s="1938">
        <f t="shared" si="3"/>
        <v>0</v>
      </c>
    </row>
    <row r="59" spans="1:14" ht="24.75" customHeight="1" x14ac:dyDescent="0.25">
      <c r="A59" s="2429" t="s">
        <v>297</v>
      </c>
      <c r="B59" s="2430"/>
      <c r="C59" s="2430"/>
      <c r="D59" s="1945">
        <v>2363</v>
      </c>
      <c r="E59" s="1948">
        <f>'Expenditures 15-22'!K321</f>
        <v>0</v>
      </c>
      <c r="F59" s="1941"/>
      <c r="G59" s="1944"/>
      <c r="H59" s="1943"/>
      <c r="I59" s="1943"/>
      <c r="J59" s="1943"/>
      <c r="K59" s="1943"/>
      <c r="L59" s="1943"/>
      <c r="M59" s="1943"/>
      <c r="N59" s="1938">
        <f t="shared" si="3"/>
        <v>0</v>
      </c>
    </row>
    <row r="60" spans="1:14" ht="24.75" customHeight="1" x14ac:dyDescent="0.25">
      <c r="A60" s="2429" t="s">
        <v>236</v>
      </c>
      <c r="B60" s="2430"/>
      <c r="C60" s="2430"/>
      <c r="D60" s="1945">
        <v>2364</v>
      </c>
      <c r="E60" s="1948">
        <f>'Expenditures 15-22'!K322</f>
        <v>0</v>
      </c>
      <c r="F60" s="1941"/>
      <c r="G60" s="1944"/>
      <c r="H60" s="1943"/>
      <c r="I60" s="1943"/>
      <c r="J60" s="1943"/>
      <c r="K60" s="1943"/>
      <c r="L60" s="1943"/>
      <c r="M60" s="1943"/>
      <c r="N60" s="1938">
        <f t="shared" si="3"/>
        <v>0</v>
      </c>
    </row>
    <row r="61" spans="1:14" ht="24.75" customHeight="1" x14ac:dyDescent="0.25">
      <c r="A61" s="2429" t="s">
        <v>696</v>
      </c>
      <c r="B61" s="2430"/>
      <c r="C61" s="2430"/>
      <c r="D61" s="1945">
        <v>2365</v>
      </c>
      <c r="E61" s="1948">
        <f>'Expenditures 15-22'!K323</f>
        <v>0</v>
      </c>
      <c r="F61" s="1941"/>
      <c r="G61" s="1944"/>
      <c r="H61" s="1943"/>
      <c r="I61" s="1943"/>
      <c r="J61" s="1943"/>
      <c r="K61" s="1943"/>
      <c r="L61" s="1943"/>
      <c r="M61" s="1943"/>
      <c r="N61" s="1938">
        <f t="shared" si="3"/>
        <v>0</v>
      </c>
    </row>
    <row r="62" spans="1:14" ht="24.75" customHeight="1" x14ac:dyDescent="0.25">
      <c r="A62" s="2429" t="s">
        <v>237</v>
      </c>
      <c r="B62" s="2430"/>
      <c r="C62" s="2430"/>
      <c r="D62" s="1945">
        <v>2366</v>
      </c>
      <c r="E62" s="1948">
        <f>'Expenditures 15-22'!K324</f>
        <v>0</v>
      </c>
      <c r="F62" s="1941"/>
      <c r="G62" s="1944"/>
      <c r="H62" s="1943"/>
      <c r="I62" s="1943"/>
      <c r="J62" s="1943"/>
      <c r="K62" s="1943"/>
      <c r="L62" s="1943"/>
      <c r="M62" s="1943"/>
      <c r="N62" s="1938">
        <f t="shared" si="3"/>
        <v>0</v>
      </c>
    </row>
    <row r="63" spans="1:14" ht="24.75" customHeight="1" x14ac:dyDescent="0.25">
      <c r="A63" s="2446" t="s">
        <v>1021</v>
      </c>
      <c r="B63" s="2447"/>
      <c r="C63" s="2447"/>
      <c r="D63" s="1945">
        <v>2367</v>
      </c>
      <c r="E63" s="1948">
        <f>'Expenditures 15-22'!K325</f>
        <v>0</v>
      </c>
      <c r="F63" s="1941"/>
      <c r="G63" s="1944"/>
      <c r="H63" s="1943"/>
      <c r="I63" s="1943"/>
      <c r="J63" s="1943"/>
      <c r="K63" s="1943"/>
      <c r="L63" s="1943"/>
      <c r="M63" s="1943"/>
      <c r="N63" s="1938">
        <f t="shared" si="3"/>
        <v>0</v>
      </c>
    </row>
    <row r="64" spans="1:14" ht="24.75" customHeight="1" x14ac:dyDescent="0.25">
      <c r="A64" s="2429" t="s">
        <v>1022</v>
      </c>
      <c r="B64" s="2430"/>
      <c r="C64" s="2430"/>
      <c r="D64" s="1945">
        <v>2368</v>
      </c>
      <c r="E64" s="1948">
        <f>'Expenditures 15-22'!K326</f>
        <v>0</v>
      </c>
      <c r="F64" s="1941"/>
      <c r="G64" s="1944"/>
      <c r="H64" s="1943"/>
      <c r="I64" s="1943"/>
      <c r="J64" s="1943"/>
      <c r="K64" s="1943"/>
      <c r="L64" s="1943"/>
      <c r="M64" s="1943"/>
      <c r="N64" s="1938">
        <f t="shared" si="3"/>
        <v>0</v>
      </c>
    </row>
    <row r="65" spans="1:14" ht="24" customHeight="1" x14ac:dyDescent="0.25">
      <c r="A65" s="2429" t="s">
        <v>964</v>
      </c>
      <c r="B65" s="2430"/>
      <c r="C65" s="2430"/>
      <c r="D65" s="1945">
        <v>2369</v>
      </c>
      <c r="E65" s="1948">
        <f>'Expenditures 15-22'!K327</f>
        <v>0</v>
      </c>
      <c r="F65" s="1941"/>
      <c r="G65" s="1944"/>
      <c r="H65" s="1943"/>
      <c r="I65" s="1943"/>
      <c r="J65" s="1943"/>
      <c r="K65" s="1943"/>
      <c r="L65" s="1943"/>
      <c r="M65" s="1943"/>
      <c r="N65" s="1938">
        <f t="shared" si="3"/>
        <v>0</v>
      </c>
    </row>
    <row r="66" spans="1:14" ht="24.75" customHeight="1" x14ac:dyDescent="0.25">
      <c r="A66" s="2429" t="s">
        <v>469</v>
      </c>
      <c r="B66" s="2430"/>
      <c r="C66" s="2430"/>
      <c r="D66" s="1945">
        <v>2371</v>
      </c>
      <c r="E66" s="1948">
        <f>'Expenditures 15-22'!K328</f>
        <v>0</v>
      </c>
      <c r="F66" s="1941"/>
      <c r="G66" s="1944"/>
      <c r="H66" s="1943"/>
      <c r="I66" s="1943"/>
      <c r="J66" s="1943"/>
      <c r="K66" s="1943"/>
      <c r="L66" s="1943"/>
      <c r="M66" s="1943"/>
      <c r="N66" s="1938">
        <f t="shared" si="3"/>
        <v>0</v>
      </c>
    </row>
    <row r="67" spans="1:14" ht="24.75" customHeight="1" x14ac:dyDescent="0.25">
      <c r="A67" s="2431" t="s">
        <v>2031</v>
      </c>
      <c r="B67" s="2432"/>
      <c r="C67" s="2432"/>
      <c r="D67" s="1942">
        <v>2372</v>
      </c>
      <c r="E67" s="1948">
        <f>'Expenditures 15-22'!K329</f>
        <v>0</v>
      </c>
      <c r="F67" s="1941"/>
      <c r="G67" s="1940"/>
      <c r="H67" s="1939"/>
      <c r="I67" s="1939"/>
      <c r="J67" s="1939"/>
      <c r="K67" s="1939"/>
      <c r="L67" s="1939"/>
      <c r="M67" s="1939"/>
      <c r="N67" s="1938">
        <f t="shared" si="3"/>
        <v>0</v>
      </c>
    </row>
    <row r="68" spans="1:14" x14ac:dyDescent="0.25">
      <c r="A68" s="2433" t="s">
        <v>1150</v>
      </c>
      <c r="B68" s="2434"/>
      <c r="C68" s="2434"/>
      <c r="D68" s="1937"/>
      <c r="E68" s="1935">
        <f>SUM(E57:E67)</f>
        <v>0</v>
      </c>
      <c r="F68" s="1936"/>
      <c r="G68" s="1935">
        <f t="shared" ref="G68:N68" si="4">SUM(G57:G67)</f>
        <v>0</v>
      </c>
      <c r="H68" s="1935">
        <f t="shared" si="4"/>
        <v>0</v>
      </c>
      <c r="I68" s="1935">
        <f t="shared" si="4"/>
        <v>0</v>
      </c>
      <c r="J68" s="1935">
        <f t="shared" si="4"/>
        <v>0</v>
      </c>
      <c r="K68" s="1935">
        <f t="shared" si="4"/>
        <v>0</v>
      </c>
      <c r="L68" s="1935">
        <f t="shared" si="4"/>
        <v>0</v>
      </c>
      <c r="M68" s="1935">
        <f t="shared" si="4"/>
        <v>0</v>
      </c>
      <c r="N68" s="1934">
        <f t="shared" si="4"/>
        <v>0</v>
      </c>
    </row>
    <row r="69" spans="1:14" x14ac:dyDescent="0.25">
      <c r="A69" s="1930"/>
      <c r="B69" s="1929"/>
      <c r="C69" s="1929"/>
      <c r="D69" s="1929"/>
      <c r="E69" s="1929"/>
      <c r="F69" s="1929"/>
      <c r="G69" s="1929"/>
      <c r="H69" s="1933" t="s">
        <v>2030</v>
      </c>
      <c r="I69" s="1929"/>
      <c r="J69" s="1929"/>
      <c r="K69" s="1929"/>
      <c r="L69" s="1933" t="s">
        <v>2029</v>
      </c>
      <c r="M69" s="1929"/>
      <c r="N69" s="1932"/>
    </row>
    <row r="70" spans="1:14" ht="46.5" customHeight="1" x14ac:dyDescent="0.25">
      <c r="A70" s="1931" t="s">
        <v>2028</v>
      </c>
      <c r="B70" s="1929"/>
      <c r="C70" s="1929"/>
      <c r="D70" s="1929"/>
      <c r="E70" s="1929"/>
      <c r="F70" s="1929"/>
      <c r="G70" s="1929"/>
      <c r="H70" s="2425" t="s">
        <v>2027</v>
      </c>
      <c r="I70" s="2425"/>
      <c r="J70" s="2425"/>
      <c r="K70" s="1929"/>
      <c r="L70" s="2425" t="s">
        <v>2026</v>
      </c>
      <c r="M70" s="2425"/>
      <c r="N70" s="2426"/>
    </row>
    <row r="71" spans="1:14" ht="42.75" customHeight="1" x14ac:dyDescent="0.25">
      <c r="A71" s="1930"/>
      <c r="B71" s="1929"/>
      <c r="C71" s="1929"/>
      <c r="D71" s="1929"/>
      <c r="E71" s="1929"/>
      <c r="F71" s="1929"/>
      <c r="G71" s="1929"/>
      <c r="H71" s="2425" t="s">
        <v>2025</v>
      </c>
      <c r="I71" s="2425"/>
      <c r="J71" s="2425"/>
      <c r="K71" s="1929"/>
      <c r="L71" s="2427" t="s">
        <v>2024</v>
      </c>
      <c r="M71" s="2427"/>
      <c r="N71" s="2428"/>
    </row>
    <row r="72" spans="1:14" ht="52.5" customHeight="1" thickBot="1" x14ac:dyDescent="0.3">
      <c r="A72" s="1928"/>
      <c r="B72" s="1927"/>
      <c r="C72" s="1927"/>
      <c r="D72" s="1927"/>
      <c r="E72" s="1927"/>
      <c r="F72" s="1927"/>
      <c r="G72" s="1927"/>
      <c r="H72" s="2424" t="s">
        <v>2023</v>
      </c>
      <c r="I72" s="2424"/>
      <c r="J72" s="2424"/>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C65"/>
  <sheetViews>
    <sheetView showGridLines="0" zoomScale="110" zoomScaleNormal="110" workbookViewId="0">
      <selection activeCell="C9" sqref="C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3" x14ac:dyDescent="0.2">
      <c r="A2" s="366" t="s">
        <v>256</v>
      </c>
    </row>
    <row r="3" spans="1:3" x14ac:dyDescent="0.2">
      <c r="A3" s="307" t="s">
        <v>257</v>
      </c>
    </row>
    <row r="5" spans="1:3" x14ac:dyDescent="0.2">
      <c r="A5" s="840">
        <v>1</v>
      </c>
      <c r="B5" s="307" t="s">
        <v>2090</v>
      </c>
      <c r="C5" s="307" t="s">
        <v>2094</v>
      </c>
    </row>
    <row r="6" spans="1:3" x14ac:dyDescent="0.2">
      <c r="A6" s="840">
        <v>2</v>
      </c>
      <c r="B6" s="307" t="s">
        <v>2091</v>
      </c>
      <c r="C6" s="307" t="s">
        <v>2095</v>
      </c>
    </row>
    <row r="7" spans="1:3" x14ac:dyDescent="0.2">
      <c r="A7" s="840">
        <v>3</v>
      </c>
      <c r="B7" s="307" t="s">
        <v>2092</v>
      </c>
      <c r="C7" s="307" t="s">
        <v>2096</v>
      </c>
    </row>
    <row r="8" spans="1:3" x14ac:dyDescent="0.2">
      <c r="A8" s="840">
        <v>4</v>
      </c>
      <c r="B8" s="307" t="s">
        <v>2093</v>
      </c>
      <c r="C8" s="307" t="s">
        <v>2097</v>
      </c>
    </row>
    <row r="9" spans="1:3" x14ac:dyDescent="0.2">
      <c r="A9" s="841"/>
    </row>
    <row r="10" spans="1:3" x14ac:dyDescent="0.2">
      <c r="A10" s="841"/>
    </row>
    <row r="11" spans="1:3" x14ac:dyDescent="0.2">
      <c r="A11" s="841"/>
    </row>
    <row r="12" spans="1:3" x14ac:dyDescent="0.2">
      <c r="A12" s="841"/>
    </row>
    <row r="13" spans="1:3" x14ac:dyDescent="0.2">
      <c r="A13" s="841"/>
    </row>
    <row r="14" spans="1:3" x14ac:dyDescent="0.2">
      <c r="A14" s="841"/>
    </row>
    <row r="15" spans="1:3" x14ac:dyDescent="0.2">
      <c r="A15" s="841"/>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Richmond-Burton CHSD 157</v>
      </c>
    </row>
    <row r="65" spans="2:2" x14ac:dyDescent="0.2">
      <c r="B65" s="842">
        <f>COVER!A13</f>
        <v>44063157016</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58" t="s">
        <v>1055</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685</v>
      </c>
      <c r="B40" s="2155"/>
      <c r="C40" s="2155"/>
      <c r="D40" s="2155"/>
      <c r="E40" s="2155"/>
    </row>
    <row r="41" spans="1:5" x14ac:dyDescent="0.2">
      <c r="A41" s="2156" t="s">
        <v>1588</v>
      </c>
      <c r="B41" s="2156"/>
      <c r="C41" s="2156"/>
      <c r="D41" s="2156"/>
      <c r="E41" s="2156"/>
    </row>
    <row r="42" spans="1:5" ht="12.75" customHeight="1" x14ac:dyDescent="0.2">
      <c r="A42" s="2157" t="s">
        <v>1014</v>
      </c>
      <c r="B42" s="2157"/>
      <c r="C42" s="2157"/>
      <c r="D42" s="2157"/>
      <c r="E42" s="2157"/>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77" t="s">
        <v>1662</v>
      </c>
      <c r="B18" s="247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1038225</xdr:colOff>
                <xdr:row>5</xdr:row>
                <xdr:rowOff>0</xdr:rowOff>
              </from>
              <to>
                <xdr:col>1</xdr:col>
                <xdr:colOff>1952625</xdr:colOff>
                <xdr:row>9</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1666</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46"/>
      <c r="H2" s="846"/>
    </row>
    <row r="3" spans="1:8" ht="57" customHeight="1" x14ac:dyDescent="0.2">
      <c r="A3" s="2491" t="s">
        <v>1969</v>
      </c>
      <c r="B3" s="2492"/>
      <c r="C3" s="2492"/>
      <c r="D3" s="2492"/>
      <c r="E3" s="2492"/>
      <c r="F3" s="2493"/>
      <c r="G3" s="846"/>
      <c r="H3" s="846"/>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46"/>
      <c r="H4" s="846"/>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46"/>
      <c r="H5" s="846"/>
    </row>
    <row r="6" spans="1:8" s="847" customFormat="1" ht="41.25" customHeight="1" x14ac:dyDescent="0.2">
      <c r="A6" s="2494" t="s">
        <v>1667</v>
      </c>
      <c r="B6" s="2495"/>
      <c r="C6" s="2495"/>
      <c r="D6" s="2495"/>
      <c r="E6" s="2495"/>
      <c r="F6" s="2496"/>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9419485</v>
      </c>
      <c r="C8" s="1802">
        <f>'Acct Summary 7-8'!D8</f>
        <v>1634505</v>
      </c>
      <c r="D8" s="1802">
        <f>'Acct Summary 7-8'!F8</f>
        <v>2065843</v>
      </c>
      <c r="E8" s="1802">
        <f>'Acct Summary 7-8'!I8</f>
        <v>172153</v>
      </c>
      <c r="F8" s="1802">
        <f>SUM(B8:E8)</f>
        <v>13291986</v>
      </c>
    </row>
    <row r="9" spans="1:8" s="851" customFormat="1" ht="14.25" customHeight="1" thickBot="1" x14ac:dyDescent="0.25">
      <c r="A9" s="850" t="s">
        <v>1351</v>
      </c>
      <c r="B9" s="1803">
        <f>'Acct Summary 7-8'!C17</f>
        <v>8539965</v>
      </c>
      <c r="C9" s="1803">
        <f>'Acct Summary 7-8'!D17</f>
        <v>1092991</v>
      </c>
      <c r="D9" s="1803">
        <f>'Acct Summary 7-8'!F17</f>
        <v>1230595</v>
      </c>
      <c r="E9" s="1802"/>
      <c r="F9" s="1802">
        <f>SUM(B9:E9)</f>
        <v>10863551</v>
      </c>
    </row>
    <row r="10" spans="1:8" s="851" customFormat="1" ht="14.25" thickTop="1" thickBot="1" x14ac:dyDescent="0.25">
      <c r="A10" s="852" t="s">
        <v>1352</v>
      </c>
      <c r="B10" s="1804">
        <f>(B8-B9)</f>
        <v>879520</v>
      </c>
      <c r="C10" s="1804">
        <f>(C8-C9)</f>
        <v>541514</v>
      </c>
      <c r="D10" s="1804">
        <f>(D8-D9)</f>
        <v>835248</v>
      </c>
      <c r="E10" s="1803">
        <f>(E8-E9)</f>
        <v>172153</v>
      </c>
      <c r="F10" s="1805">
        <f>SUM(F8-F9)</f>
        <v>2428435</v>
      </c>
    </row>
    <row r="11" spans="1:8" s="851" customFormat="1" ht="14.25" thickTop="1" thickBot="1" x14ac:dyDescent="0.25">
      <c r="A11" s="853" t="s">
        <v>1900</v>
      </c>
      <c r="B11" s="1806">
        <f>'Acct Summary 7-8'!C81</f>
        <v>15950533</v>
      </c>
      <c r="C11" s="1806">
        <f>'Acct Summary 7-8'!D81</f>
        <v>1767194</v>
      </c>
      <c r="D11" s="1806">
        <f>'Acct Summary 7-8'!F81</f>
        <v>983353</v>
      </c>
      <c r="E11" s="1806">
        <f>'Acct Summary 7-8'!I81</f>
        <v>1398748</v>
      </c>
      <c r="F11" s="1807">
        <f>SUM(B11:E11)</f>
        <v>20099828</v>
      </c>
    </row>
    <row r="12" spans="1:8" ht="16.5" customHeight="1" thickTop="1" x14ac:dyDescent="0.2">
      <c r="A12" s="854"/>
      <c r="B12" s="855"/>
      <c r="C12" s="2482" t="str">
        <f>IF(AND(F10&lt;0,F11&gt;=0,ABS(F10*3)&gt;ABS(F11)),A16,IF(AND(F10&lt;0,F11&gt;0,ABS(F10*3)&lt;=ABS(F11)),A17,IF(AND(F10&lt;0,F11&lt;0),A16,IF(F11=0,A19,A18))))</f>
        <v>Balanced - no deficit reduction plan is required.</v>
      </c>
      <c r="D12" s="2483"/>
      <c r="E12" s="2483"/>
      <c r="F12" s="2484"/>
    </row>
    <row r="13" spans="1:8" ht="19.5" customHeight="1" x14ac:dyDescent="0.2">
      <c r="A13" s="856"/>
      <c r="B13" s="857"/>
      <c r="C13" s="2482"/>
      <c r="D13" s="2483"/>
      <c r="E13" s="2483"/>
      <c r="F13" s="2484"/>
      <c r="H13" s="846"/>
    </row>
    <row r="14" spans="1:8" ht="19.5" customHeight="1" x14ac:dyDescent="0.2">
      <c r="A14" s="856"/>
      <c r="B14" s="857"/>
      <c r="C14" s="2482"/>
      <c r="D14" s="2483"/>
      <c r="E14" s="2483"/>
      <c r="F14" s="2484"/>
      <c r="H14" s="846"/>
    </row>
    <row r="15" spans="1:8" ht="17.25" customHeight="1" x14ac:dyDescent="0.2">
      <c r="A15" s="856"/>
      <c r="B15" s="857"/>
      <c r="C15" s="2485"/>
      <c r="D15" s="2486"/>
      <c r="E15" s="2486"/>
      <c r="F15" s="2487"/>
      <c r="H15" s="846"/>
    </row>
    <row r="16" spans="1:8" s="288" customFormat="1" ht="51.75" hidden="1" customHeight="1" x14ac:dyDescent="0.2">
      <c r="A16" s="2481" t="s">
        <v>1663</v>
      </c>
      <c r="B16" s="2481"/>
      <c r="C16" s="2481"/>
      <c r="D16" s="2481"/>
      <c r="E16" s="2481"/>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9" colorId="8" zoomScale="110" zoomScaleNormal="110" workbookViewId="0">
      <selection activeCell="D55" sqref="D55"/>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3" t="s">
        <v>660</v>
      </c>
      <c r="B3" s="2504"/>
      <c r="C3" s="2504"/>
      <c r="D3" s="2505"/>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4" t="s">
        <v>1484</v>
      </c>
      <c r="D7" s="2515"/>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6" t="s">
        <v>1000</v>
      </c>
      <c r="B15" s="2507"/>
      <c r="C15" s="2507"/>
      <c r="D15" s="2508"/>
    </row>
    <row r="16" spans="1:4" s="542" customFormat="1" ht="24" customHeight="1" x14ac:dyDescent="0.2">
      <c r="A16" s="2509" t="s">
        <v>658</v>
      </c>
      <c r="B16" s="2510"/>
      <c r="C16" s="2510"/>
      <c r="D16" s="2511"/>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8" t="s">
        <v>311</v>
      </c>
      <c r="D21" s="2519"/>
    </row>
    <row r="22" spans="1:10" ht="12.75" x14ac:dyDescent="0.2">
      <c r="A22" s="911"/>
      <c r="B22" s="912">
        <v>2</v>
      </c>
      <c r="C22" s="2516" t="s">
        <v>1504</v>
      </c>
      <c r="D22" s="2517"/>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0" t="s">
        <v>533</v>
      </c>
      <c r="D43" s="2521"/>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2" t="s">
        <v>778</v>
      </c>
      <c r="D56" s="2513"/>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2" t="s">
        <v>1671</v>
      </c>
      <c r="D70" s="2513"/>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44063157016</v>
      </c>
      <c r="E2" s="1535">
        <v>2020</v>
      </c>
      <c r="F2" s="1535">
        <v>1</v>
      </c>
      <c r="G2" s="1886">
        <v>101000300</v>
      </c>
    </row>
    <row r="3" spans="1:7" ht="15" x14ac:dyDescent="0.25">
      <c r="A3" t="s">
        <v>949</v>
      </c>
      <c r="B3" s="135" t="str">
        <f>COVER!A15</f>
        <v>MCHENRY</v>
      </c>
      <c r="E3" s="1819" t="s">
        <v>1968</v>
      </c>
      <c r="F3" s="1819" t="s">
        <v>1967</v>
      </c>
      <c r="G3" s="1886">
        <v>101000400</v>
      </c>
    </row>
    <row r="4" spans="1:7" ht="15" x14ac:dyDescent="0.25">
      <c r="A4" t="s">
        <v>999</v>
      </c>
      <c r="B4" s="135" t="str">
        <f>COVER!A17</f>
        <v>Richmond-Burton CHSD 157</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Yes</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Yes</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33239</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2349631</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15950533</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0</v>
      </c>
      <c r="C91" s="2" t="s">
        <v>569</v>
      </c>
      <c r="D91" s="2" t="str">
        <f t="shared" si="0"/>
        <v>Error?</v>
      </c>
      <c r="G91" s="1886">
        <v>102640400</v>
      </c>
    </row>
    <row r="92" spans="1:7" ht="15" x14ac:dyDescent="0.25">
      <c r="A92" s="5">
        <v>31</v>
      </c>
      <c r="B92" s="1821">
        <f>'Assets-Liab 5-6'!C39</f>
        <v>15950533</v>
      </c>
      <c r="D92" s="2" t="str">
        <f t="shared" si="0"/>
        <v>Error?</v>
      </c>
      <c r="G92" s="1886">
        <v>102640600</v>
      </c>
    </row>
    <row r="93" spans="1:7" ht="15" x14ac:dyDescent="0.25">
      <c r="A93" s="5">
        <v>32</v>
      </c>
      <c r="B93" s="1821">
        <f>'Assets-Liab 5-6'!C41</f>
        <v>15950533</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260528</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1767194</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1767194</v>
      </c>
      <c r="D123" s="2" t="str">
        <f t="shared" si="0"/>
        <v>Error?</v>
      </c>
      <c r="G123" s="1886">
        <v>203000400</v>
      </c>
    </row>
    <row r="124" spans="1:7" ht="15" x14ac:dyDescent="0.25">
      <c r="A124" s="5">
        <v>63</v>
      </c>
      <c r="B124" s="1821">
        <f>'Assets-Liab 5-6'!D41</f>
        <v>1767194</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3383</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22950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22950</v>
      </c>
      <c r="D140" s="2" t="str">
        <f t="shared" si="1"/>
        <v>Error?</v>
      </c>
    </row>
    <row r="141" spans="1:7" x14ac:dyDescent="0.2">
      <c r="A141" s="5">
        <v>80</v>
      </c>
      <c r="B141" s="1821">
        <f>'Assets-Liab 5-6'!E41</f>
        <v>22950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144970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983353</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983353</v>
      </c>
      <c r="D170" s="2" t="str">
        <f t="shared" si="1"/>
        <v>Error?</v>
      </c>
    </row>
    <row r="171" spans="1:4" x14ac:dyDescent="0.2">
      <c r="A171" s="5">
        <v>110</v>
      </c>
      <c r="B171" s="1821">
        <f>'Assets-Liab 5-6'!F41</f>
        <v>983353</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96735</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655507</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655507</v>
      </c>
      <c r="D189" s="2" t="str">
        <f t="shared" si="1"/>
        <v>Error?</v>
      </c>
    </row>
    <row r="190" spans="1:4" x14ac:dyDescent="0.2">
      <c r="A190" s="5">
        <v>129</v>
      </c>
      <c r="B190" s="1821">
        <f>'Assets-Liab 5-6'!G41</f>
        <v>655507</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30043</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203786</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203786</v>
      </c>
      <c r="D212" s="2" t="str">
        <f t="shared" si="2"/>
        <v>Error?</v>
      </c>
    </row>
    <row r="213" spans="1:4" x14ac:dyDescent="0.2">
      <c r="A213" s="12">
        <v>152</v>
      </c>
      <c r="B213" s="1821">
        <f>'Assets-Liab 5-6'!H41</f>
        <v>203786</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81500</v>
      </c>
      <c r="D273" s="2" t="str">
        <f t="shared" si="3"/>
        <v>Error?</v>
      </c>
    </row>
    <row r="274" spans="1:4" x14ac:dyDescent="0.2">
      <c r="A274" s="5">
        <v>213</v>
      </c>
      <c r="B274" s="1821">
        <f>'Assets-Liab 5-6'!M17</f>
        <v>25499486</v>
      </c>
      <c r="D274" s="2" t="str">
        <f t="shared" si="3"/>
        <v>Error?</v>
      </c>
    </row>
    <row r="275" spans="1:4" x14ac:dyDescent="0.2">
      <c r="A275" s="5">
        <v>214</v>
      </c>
      <c r="B275" s="1821">
        <f>'Assets-Liab 5-6'!M18</f>
        <v>1560356</v>
      </c>
      <c r="D275" s="2" t="str">
        <f t="shared" si="3"/>
        <v>Error?</v>
      </c>
    </row>
    <row r="276" spans="1:4" x14ac:dyDescent="0.2">
      <c r="A276" s="5">
        <v>215</v>
      </c>
      <c r="B276" s="1821">
        <f>'Assets-Liab 5-6'!M19</f>
        <v>5443485</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32584827</v>
      </c>
      <c r="C279" s="2" t="s">
        <v>569</v>
      </c>
      <c r="D279" s="2" t="str">
        <f t="shared" si="3"/>
        <v>Error?</v>
      </c>
    </row>
    <row r="280" spans="1:4" x14ac:dyDescent="0.2">
      <c r="A280" s="5">
        <v>219</v>
      </c>
      <c r="B280" s="1821">
        <f>'Assets-Liab 5-6'!M40</f>
        <v>32584827</v>
      </c>
      <c r="D280" s="2" t="str">
        <f t="shared" si="3"/>
        <v>Error?</v>
      </c>
    </row>
    <row r="281" spans="1:4" x14ac:dyDescent="0.2">
      <c r="A281" s="5">
        <v>220</v>
      </c>
      <c r="B281" s="1821">
        <f>'Assets-Liab 5-6'!M41</f>
        <v>32584827</v>
      </c>
      <c r="C281" s="2" t="s">
        <v>569</v>
      </c>
      <c r="D281" s="2" t="str">
        <f t="shared" si="3"/>
        <v>Error?</v>
      </c>
    </row>
    <row r="282" spans="1:4" x14ac:dyDescent="0.2">
      <c r="A282" s="5">
        <v>221</v>
      </c>
      <c r="B282" s="1821">
        <f>'Assets-Liab 5-6'!N21</f>
        <v>22950</v>
      </c>
      <c r="D282" s="2" t="str">
        <f t="shared" si="3"/>
        <v>Error?</v>
      </c>
    </row>
    <row r="283" spans="1:4" x14ac:dyDescent="0.2">
      <c r="A283" s="5">
        <v>222</v>
      </c>
      <c r="B283" s="1821">
        <f>'Assets-Liab 5-6'!N22</f>
        <v>672050</v>
      </c>
      <c r="D283" s="2" t="str">
        <f t="shared" si="3"/>
        <v>Error?</v>
      </c>
    </row>
    <row r="284" spans="1:4" x14ac:dyDescent="0.2">
      <c r="A284" s="5">
        <v>223</v>
      </c>
      <c r="B284" s="1821">
        <f>'Assets-Liab 5-6'!N23</f>
        <v>695000</v>
      </c>
      <c r="C284" s="2" t="s">
        <v>569</v>
      </c>
      <c r="D284" s="2" t="str">
        <f t="shared" si="3"/>
        <v>Error?</v>
      </c>
    </row>
    <row r="285" spans="1:4" x14ac:dyDescent="0.2">
      <c r="A285" s="5">
        <v>224</v>
      </c>
      <c r="B285" s="1821">
        <f>'Assets-Liab 5-6'!N36</f>
        <v>695000</v>
      </c>
      <c r="D285" s="2" t="str">
        <f t="shared" si="3"/>
        <v>Error?</v>
      </c>
    </row>
    <row r="286" spans="1:4" x14ac:dyDescent="0.2">
      <c r="A286" s="10">
        <v>225</v>
      </c>
      <c r="B286" s="1821"/>
      <c r="D286" s="2" t="str">
        <f t="shared" si="3"/>
        <v>OK</v>
      </c>
    </row>
    <row r="287" spans="1:4" x14ac:dyDescent="0.2">
      <c r="A287" s="5">
        <v>226</v>
      </c>
      <c r="B287" s="1821">
        <f>'Assets-Liab 5-6'!N37</f>
        <v>695000</v>
      </c>
      <c r="C287" s="2" t="s">
        <v>569</v>
      </c>
      <c r="D287" s="2" t="str">
        <f t="shared" si="3"/>
        <v>Error?</v>
      </c>
    </row>
    <row r="288" spans="1:4" x14ac:dyDescent="0.2">
      <c r="A288" s="5">
        <v>227</v>
      </c>
      <c r="B288" s="1821">
        <f>'Assets-Liab 5-6'!N41</f>
        <v>695000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2790804</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615483</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4184701</v>
      </c>
      <c r="C720" s="2" t="s">
        <v>569</v>
      </c>
      <c r="D720" s="2" t="str">
        <f t="shared" si="10"/>
        <v>Error?</v>
      </c>
    </row>
    <row r="721" spans="1:4" x14ac:dyDescent="0.2">
      <c r="A721" s="5">
        <v>660</v>
      </c>
      <c r="B721" s="1821">
        <f>'Expenditures 15-22'!C36</f>
        <v>115615</v>
      </c>
      <c r="D721" s="2" t="str">
        <f t="shared" si="10"/>
        <v>Error?</v>
      </c>
    </row>
    <row r="722" spans="1:4" x14ac:dyDescent="0.2">
      <c r="A722" s="5">
        <v>661</v>
      </c>
      <c r="B722" s="1821">
        <f>'Expenditures 15-22'!C37</f>
        <v>206328</v>
      </c>
      <c r="D722" s="2" t="str">
        <f t="shared" si="10"/>
        <v>Error?</v>
      </c>
    </row>
    <row r="723" spans="1:4" x14ac:dyDescent="0.2">
      <c r="A723" s="5">
        <v>662</v>
      </c>
      <c r="B723" s="1821">
        <f>'Expenditures 15-22'!C38</f>
        <v>64885</v>
      </c>
      <c r="D723" s="2" t="str">
        <f t="shared" si="10"/>
        <v>Error?</v>
      </c>
    </row>
    <row r="724" spans="1:4" x14ac:dyDescent="0.2">
      <c r="A724" s="5">
        <v>663</v>
      </c>
      <c r="B724" s="1821">
        <f>'Expenditures 15-22'!C39</f>
        <v>22323</v>
      </c>
      <c r="D724" s="2" t="str">
        <f t="shared" si="10"/>
        <v>Error?</v>
      </c>
    </row>
    <row r="725" spans="1:4" x14ac:dyDescent="0.2">
      <c r="A725" s="5">
        <v>664</v>
      </c>
      <c r="B725" s="1821">
        <f>'Expenditures 15-22'!C40</f>
        <v>0</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409151</v>
      </c>
      <c r="C727" s="2" t="s">
        <v>569</v>
      </c>
      <c r="D727" s="2" t="str">
        <f t="shared" si="10"/>
        <v>Error?</v>
      </c>
    </row>
    <row r="728" spans="1:4" x14ac:dyDescent="0.2">
      <c r="A728" s="5">
        <v>667</v>
      </c>
      <c r="B728" s="1821">
        <f>'Expenditures 15-22'!C44</f>
        <v>10095</v>
      </c>
      <c r="D728" s="2" t="str">
        <f t="shared" si="10"/>
        <v>Error?</v>
      </c>
    </row>
    <row r="729" spans="1:4" x14ac:dyDescent="0.2">
      <c r="A729" s="5">
        <v>668</v>
      </c>
      <c r="B729" s="1821">
        <f>'Expenditures 15-22'!C45</f>
        <v>109517</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119612</v>
      </c>
      <c r="C731" s="2" t="s">
        <v>569</v>
      </c>
      <c r="D731" s="2" t="str">
        <f t="shared" si="10"/>
        <v>Error?</v>
      </c>
    </row>
    <row r="732" spans="1:4" x14ac:dyDescent="0.2">
      <c r="A732" s="5">
        <v>671</v>
      </c>
      <c r="B732" s="1821">
        <f>'Expenditures 15-22'!C49</f>
        <v>61</v>
      </c>
      <c r="D732" s="2" t="str">
        <f t="shared" si="10"/>
        <v>Error?</v>
      </c>
    </row>
    <row r="733" spans="1:4" x14ac:dyDescent="0.2">
      <c r="A733" s="5">
        <v>672</v>
      </c>
      <c r="B733" s="1821">
        <f>'Expenditures 15-22'!C50</f>
        <v>0</v>
      </c>
      <c r="D733" s="2" t="str">
        <f t="shared" si="10"/>
        <v>Error?</v>
      </c>
    </row>
    <row r="734" spans="1:4" x14ac:dyDescent="0.2">
      <c r="A734" s="5">
        <v>673</v>
      </c>
      <c r="B734" s="1821">
        <f>'Expenditures 15-22'!C53</f>
        <v>61</v>
      </c>
      <c r="C734" s="2" t="s">
        <v>569</v>
      </c>
      <c r="D734" s="2" t="str">
        <f t="shared" si="10"/>
        <v>Error?</v>
      </c>
    </row>
    <row r="735" spans="1:4" x14ac:dyDescent="0.2">
      <c r="A735" s="5">
        <v>674</v>
      </c>
      <c r="B735" s="1821">
        <f>'Expenditures 15-22'!C55</f>
        <v>441506</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441506</v>
      </c>
      <c r="C737" s="2" t="s">
        <v>569</v>
      </c>
      <c r="D737" s="2" t="str">
        <f t="shared" si="10"/>
        <v>Error?</v>
      </c>
    </row>
    <row r="738" spans="1:4" x14ac:dyDescent="0.2">
      <c r="A738" s="5">
        <v>677</v>
      </c>
      <c r="B738" s="1821">
        <f>'Expenditures 15-22'!C59</f>
        <v>17217</v>
      </c>
      <c r="D738" s="2" t="str">
        <f t="shared" si="10"/>
        <v>Error?</v>
      </c>
    </row>
    <row r="739" spans="1:4" x14ac:dyDescent="0.2">
      <c r="A739" s="5">
        <v>678</v>
      </c>
      <c r="B739" s="1821">
        <f>'Expenditures 15-22'!C60</f>
        <v>0</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19417</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36634</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26925</v>
      </c>
      <c r="D751" s="2" t="str">
        <f t="shared" si="10"/>
        <v>Error?</v>
      </c>
    </row>
    <row r="752" spans="1:4" x14ac:dyDescent="0.2">
      <c r="A752" s="10">
        <v>691</v>
      </c>
      <c r="B752" s="1821"/>
      <c r="D752" s="2" t="str">
        <f t="shared" si="10"/>
        <v>OK</v>
      </c>
    </row>
    <row r="753" spans="1:4" x14ac:dyDescent="0.2">
      <c r="A753" s="5">
        <v>692</v>
      </c>
      <c r="B753" s="1821">
        <f>'Expenditures 15-22'!C72</f>
        <v>26925</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1033889</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5218590</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480354</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33622</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685218</v>
      </c>
      <c r="C778" s="2" t="s">
        <v>569</v>
      </c>
      <c r="D778" s="2" t="str">
        <f t="shared" si="11"/>
        <v>Error?</v>
      </c>
    </row>
    <row r="779" spans="1:4" x14ac:dyDescent="0.2">
      <c r="A779" s="5">
        <v>718</v>
      </c>
      <c r="B779" s="1821">
        <f>'Expenditures 15-22'!D36</f>
        <v>20378</v>
      </c>
      <c r="D779" s="2" t="str">
        <f t="shared" si="11"/>
        <v>Error?</v>
      </c>
    </row>
    <row r="780" spans="1:4" x14ac:dyDescent="0.2">
      <c r="A780" s="5">
        <v>719</v>
      </c>
      <c r="B780" s="1821">
        <f>'Expenditures 15-22'!D37</f>
        <v>10259</v>
      </c>
      <c r="D780" s="2" t="str">
        <f t="shared" si="11"/>
        <v>Error?</v>
      </c>
    </row>
    <row r="781" spans="1:4" x14ac:dyDescent="0.2">
      <c r="A781" s="5">
        <v>720</v>
      </c>
      <c r="B781" s="1821">
        <f>'Expenditures 15-22'!D38</f>
        <v>8654</v>
      </c>
      <c r="D781" s="2" t="str">
        <f t="shared" si="11"/>
        <v>Error?</v>
      </c>
    </row>
    <row r="782" spans="1:4" x14ac:dyDescent="0.2">
      <c r="A782" s="5">
        <v>721</v>
      </c>
      <c r="B782" s="1821">
        <f>'Expenditures 15-22'!D39</f>
        <v>0</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39291</v>
      </c>
      <c r="C785" s="2" t="s">
        <v>569</v>
      </c>
      <c r="D785" s="2" t="str">
        <f t="shared" si="11"/>
        <v>Error?</v>
      </c>
    </row>
    <row r="786" spans="1:4" x14ac:dyDescent="0.2">
      <c r="A786" s="5">
        <v>725</v>
      </c>
      <c r="B786" s="1821">
        <f>'Expenditures 15-22'!D44</f>
        <v>18608</v>
      </c>
      <c r="D786" s="2" t="str">
        <f t="shared" si="11"/>
        <v>Error?</v>
      </c>
    </row>
    <row r="787" spans="1:4" x14ac:dyDescent="0.2">
      <c r="A787" s="5">
        <v>726</v>
      </c>
      <c r="B787" s="1821">
        <f>'Expenditures 15-22'!D45</f>
        <v>19848</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38456</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0</v>
      </c>
      <c r="D791" s="2" t="str">
        <f t="shared" si="11"/>
        <v>Error?</v>
      </c>
    </row>
    <row r="792" spans="1:4" x14ac:dyDescent="0.2">
      <c r="A792" s="5">
        <v>731</v>
      </c>
      <c r="B792" s="1821">
        <f>'Expenditures 15-22'!D53</f>
        <v>0</v>
      </c>
      <c r="C792" s="2" t="s">
        <v>569</v>
      </c>
      <c r="D792" s="2" t="str">
        <f t="shared" si="11"/>
        <v>Error?</v>
      </c>
    </row>
    <row r="793" spans="1:4" x14ac:dyDescent="0.2">
      <c r="A793" s="5">
        <v>732</v>
      </c>
      <c r="B793" s="1821">
        <f>'Expenditures 15-22'!D55</f>
        <v>90786</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90786</v>
      </c>
      <c r="C795" s="2" t="s">
        <v>569</v>
      </c>
      <c r="D795" s="2" t="str">
        <f t="shared" si="11"/>
        <v>Error?</v>
      </c>
    </row>
    <row r="796" spans="1:4" x14ac:dyDescent="0.2">
      <c r="A796" s="5">
        <v>735</v>
      </c>
      <c r="B796" s="1821">
        <f>'Expenditures 15-22'!D59</f>
        <v>1874</v>
      </c>
      <c r="D796" s="2" t="str">
        <f t="shared" si="11"/>
        <v>Error?</v>
      </c>
    </row>
    <row r="797" spans="1:4" x14ac:dyDescent="0.2">
      <c r="A797" s="5">
        <v>736</v>
      </c>
      <c r="B797" s="1821">
        <f>'Expenditures 15-22'!D60</f>
        <v>1701</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9361</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12936</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4550</v>
      </c>
      <c r="D809" s="2" t="str">
        <f t="shared" si="11"/>
        <v>Error?</v>
      </c>
    </row>
    <row r="810" spans="1:4" x14ac:dyDescent="0.2">
      <c r="A810" s="10">
        <v>749</v>
      </c>
      <c r="B810" s="1821"/>
      <c r="D810" s="2" t="str">
        <f t="shared" si="11"/>
        <v>OK</v>
      </c>
    </row>
    <row r="811" spans="1:4" x14ac:dyDescent="0.2">
      <c r="A811" s="5">
        <v>750</v>
      </c>
      <c r="B811" s="1821">
        <f>'Expenditures 15-22'!D72</f>
        <v>4550</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186019</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871237</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82482</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79438</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268283</v>
      </c>
      <c r="C836" s="2" t="s">
        <v>569</v>
      </c>
      <c r="D836" s="2" t="str">
        <f t="shared" si="12"/>
        <v>Error?</v>
      </c>
    </row>
    <row r="837" spans="1:4" x14ac:dyDescent="0.2">
      <c r="A837" s="5">
        <v>776</v>
      </c>
      <c r="B837" s="1821">
        <f>'Expenditures 15-22'!E36</f>
        <v>3600</v>
      </c>
      <c r="D837" s="2" t="str">
        <f t="shared" si="12"/>
        <v>Error?</v>
      </c>
    </row>
    <row r="838" spans="1:4" x14ac:dyDescent="0.2">
      <c r="A838" s="5">
        <v>777</v>
      </c>
      <c r="B838" s="1821">
        <f>'Expenditures 15-22'!E37</f>
        <v>4772</v>
      </c>
      <c r="D838" s="2" t="str">
        <f t="shared" si="12"/>
        <v>Error?</v>
      </c>
    </row>
    <row r="839" spans="1:4" x14ac:dyDescent="0.2">
      <c r="A839" s="5">
        <v>778</v>
      </c>
      <c r="B839" s="1821">
        <f>'Expenditures 15-22'!E38</f>
        <v>769</v>
      </c>
      <c r="D839" s="2" t="str">
        <f t="shared" si="12"/>
        <v>Error?</v>
      </c>
    </row>
    <row r="840" spans="1:4" x14ac:dyDescent="0.2">
      <c r="A840" s="5">
        <v>779</v>
      </c>
      <c r="B840" s="1821">
        <f>'Expenditures 15-22'!E39</f>
        <v>98824</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107965</v>
      </c>
      <c r="C843" s="2" t="s">
        <v>569</v>
      </c>
      <c r="D843" s="2" t="str">
        <f t="shared" si="12"/>
        <v>Error?</v>
      </c>
    </row>
    <row r="844" spans="1:4" x14ac:dyDescent="0.2">
      <c r="A844" s="5">
        <v>783</v>
      </c>
      <c r="B844" s="1821">
        <f>'Expenditures 15-22'!E44</f>
        <v>48927</v>
      </c>
      <c r="D844" s="2" t="str">
        <f t="shared" si="12"/>
        <v>Error?</v>
      </c>
    </row>
    <row r="845" spans="1:4" x14ac:dyDescent="0.2">
      <c r="A845" s="5">
        <v>784</v>
      </c>
      <c r="B845" s="1821">
        <f>'Expenditures 15-22'!E45</f>
        <v>14557</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63484</v>
      </c>
      <c r="C847" s="2" t="s">
        <v>569</v>
      </c>
      <c r="D847" s="2" t="str">
        <f t="shared" si="12"/>
        <v>Error?</v>
      </c>
    </row>
    <row r="848" spans="1:4" x14ac:dyDescent="0.2">
      <c r="A848" s="5">
        <v>787</v>
      </c>
      <c r="B848" s="1821">
        <f>'Expenditures 15-22'!E49</f>
        <v>264345</v>
      </c>
      <c r="D848" s="2" t="str">
        <f t="shared" si="12"/>
        <v>Error?</v>
      </c>
    </row>
    <row r="849" spans="1:4" x14ac:dyDescent="0.2">
      <c r="A849" s="5">
        <v>788</v>
      </c>
      <c r="B849" s="1821">
        <f>'Expenditures 15-22'!E50</f>
        <v>115747</v>
      </c>
      <c r="D849" s="2" t="str">
        <f t="shared" si="12"/>
        <v>Error?</v>
      </c>
    </row>
    <row r="850" spans="1:4" x14ac:dyDescent="0.2">
      <c r="A850" s="5">
        <v>789</v>
      </c>
      <c r="B850" s="1821">
        <f>'Expenditures 15-22'!E53</f>
        <v>380548</v>
      </c>
      <c r="C850" s="2" t="s">
        <v>569</v>
      </c>
      <c r="D850" s="2" t="str">
        <f t="shared" si="12"/>
        <v>Error?</v>
      </c>
    </row>
    <row r="851" spans="1:4" x14ac:dyDescent="0.2">
      <c r="A851" s="5">
        <v>790</v>
      </c>
      <c r="B851" s="1821">
        <f>'Expenditures 15-22'!E55</f>
        <v>8306</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8306</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82095</v>
      </c>
      <c r="D855" s="2" t="str">
        <f t="shared" si="12"/>
        <v>Error?</v>
      </c>
    </row>
    <row r="856" spans="1:4" x14ac:dyDescent="0.2">
      <c r="A856" s="5">
        <v>795</v>
      </c>
      <c r="B856" s="1821">
        <f>'Expenditures 15-22'!E61</f>
        <v>24574</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204093</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310762</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61184</v>
      </c>
      <c r="D867" s="2" t="str">
        <f t="shared" si="12"/>
        <v>Error?</v>
      </c>
    </row>
    <row r="868" spans="1:4" x14ac:dyDescent="0.2">
      <c r="A868" s="10">
        <v>807</v>
      </c>
      <c r="B868" s="1821"/>
      <c r="D868" s="2" t="str">
        <f t="shared" si="12"/>
        <v>OK</v>
      </c>
    </row>
    <row r="869" spans="1:4" x14ac:dyDescent="0.2">
      <c r="A869" s="5">
        <v>808</v>
      </c>
      <c r="B869" s="1821">
        <f>'Expenditures 15-22'!E72</f>
        <v>61184</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932249</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1200532</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153987</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103218</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266434</v>
      </c>
      <c r="C894" s="2" t="s">
        <v>569</v>
      </c>
      <c r="D894" s="2" t="str">
        <f t="shared" si="12"/>
        <v>Error?</v>
      </c>
    </row>
    <row r="895" spans="1:4" x14ac:dyDescent="0.2">
      <c r="A895" s="5">
        <v>834</v>
      </c>
      <c r="B895" s="1821">
        <f>'Expenditures 15-22'!F36</f>
        <v>156</v>
      </c>
      <c r="D895" s="2" t="str">
        <f t="shared" ref="D895:D958" si="13">IF(ISBLANK(B895),"OK",IF(A895-B895=0,"OK","Error?"))</f>
        <v>Error?</v>
      </c>
    </row>
    <row r="896" spans="1:4" x14ac:dyDescent="0.2">
      <c r="A896" s="5">
        <v>835</v>
      </c>
      <c r="B896" s="1821">
        <f>'Expenditures 15-22'!F37</f>
        <v>26703</v>
      </c>
      <c r="D896" s="2" t="str">
        <f t="shared" si="13"/>
        <v>Error?</v>
      </c>
    </row>
    <row r="897" spans="1:4" x14ac:dyDescent="0.2">
      <c r="A897" s="5">
        <v>836</v>
      </c>
      <c r="B897" s="1821">
        <f>'Expenditures 15-22'!F38</f>
        <v>820</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27679</v>
      </c>
      <c r="C901" s="2" t="s">
        <v>569</v>
      </c>
      <c r="D901" s="2" t="str">
        <f t="shared" si="13"/>
        <v>Error?</v>
      </c>
    </row>
    <row r="902" spans="1:4" x14ac:dyDescent="0.2">
      <c r="A902" s="5">
        <v>841</v>
      </c>
      <c r="B902" s="1821">
        <f>'Expenditures 15-22'!F44</f>
        <v>0</v>
      </c>
      <c r="D902" s="2" t="str">
        <f t="shared" si="13"/>
        <v>Error?</v>
      </c>
    </row>
    <row r="903" spans="1:4" x14ac:dyDescent="0.2">
      <c r="A903" s="5">
        <v>842</v>
      </c>
      <c r="B903" s="1821">
        <f>'Expenditures 15-22'!F45</f>
        <v>15900</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15900</v>
      </c>
      <c r="C905" s="2" t="s">
        <v>569</v>
      </c>
      <c r="D905" s="2" t="str">
        <f t="shared" si="13"/>
        <v>Error?</v>
      </c>
    </row>
    <row r="906" spans="1:4" x14ac:dyDescent="0.2">
      <c r="A906" s="5">
        <v>845</v>
      </c>
      <c r="B906" s="1821">
        <f>'Expenditures 15-22'!F49</f>
        <v>15953</v>
      </c>
      <c r="D906" s="2" t="str">
        <f t="shared" si="13"/>
        <v>Error?</v>
      </c>
    </row>
    <row r="907" spans="1:4" x14ac:dyDescent="0.2">
      <c r="A907" s="5">
        <v>846</v>
      </c>
      <c r="B907" s="1821">
        <f>'Expenditures 15-22'!F50</f>
        <v>6575</v>
      </c>
      <c r="D907" s="2" t="str">
        <f t="shared" si="13"/>
        <v>Error?</v>
      </c>
    </row>
    <row r="908" spans="1:4" x14ac:dyDescent="0.2">
      <c r="A908" s="5">
        <v>847</v>
      </c>
      <c r="B908" s="1821">
        <f>'Expenditures 15-22'!F53</f>
        <v>22528</v>
      </c>
      <c r="C908" s="2" t="s">
        <v>569</v>
      </c>
      <c r="D908" s="2" t="str">
        <f t="shared" si="13"/>
        <v>Error?</v>
      </c>
    </row>
    <row r="909" spans="1:4" x14ac:dyDescent="0.2">
      <c r="A909" s="5">
        <v>848</v>
      </c>
      <c r="B909" s="1821">
        <f>'Expenditures 15-22'!F55</f>
        <v>28063</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28063</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1402</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16685</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18087</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78750</v>
      </c>
      <c r="D925" s="2" t="str">
        <f t="shared" si="13"/>
        <v>Error?</v>
      </c>
    </row>
    <row r="926" spans="1:4" x14ac:dyDescent="0.2">
      <c r="A926" s="10">
        <v>865</v>
      </c>
      <c r="B926" s="1821"/>
      <c r="D926" s="2" t="str">
        <f t="shared" si="13"/>
        <v>OK</v>
      </c>
    </row>
    <row r="927" spans="1:4" x14ac:dyDescent="0.2">
      <c r="A927" s="5">
        <v>866</v>
      </c>
      <c r="B927" s="1821">
        <f>'Expenditures 15-22'!F72</f>
        <v>78750</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191007</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457441</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21527</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36300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64851</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2312</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2312</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41365</v>
      </c>
      <c r="D983" s="2" t="str">
        <f t="shared" si="14"/>
        <v>Error?</v>
      </c>
    </row>
    <row r="984" spans="1:4" x14ac:dyDescent="0.2">
      <c r="A984" s="10">
        <v>923</v>
      </c>
      <c r="B984" s="1821"/>
      <c r="D984" s="2" t="str">
        <f t="shared" si="14"/>
        <v>OK</v>
      </c>
    </row>
    <row r="985" spans="1:4" x14ac:dyDescent="0.2">
      <c r="A985" s="5">
        <v>924</v>
      </c>
      <c r="B985" s="1821">
        <f>'Expenditures 15-22'!G72</f>
        <v>41365</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43677</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108528</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7670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16787</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119754</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5303</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5303</v>
      </c>
      <c r="C1017" s="2" t="s">
        <v>569</v>
      </c>
      <c r="D1017" s="2" t="str">
        <f t="shared" si="14"/>
        <v>Error?</v>
      </c>
    </row>
    <row r="1018" spans="1:4" x14ac:dyDescent="0.2">
      <c r="A1018" s="5">
        <v>957</v>
      </c>
      <c r="B1018" s="1821">
        <f>'Expenditures 15-22'!H44</f>
        <v>207655</v>
      </c>
      <c r="D1018" s="2" t="str">
        <f t="shared" si="14"/>
        <v>Error?</v>
      </c>
    </row>
    <row r="1019" spans="1:4" x14ac:dyDescent="0.2">
      <c r="A1019" s="5">
        <v>958</v>
      </c>
      <c r="B1019" s="1821">
        <f>'Expenditures 15-22'!H45</f>
        <v>943</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208598</v>
      </c>
      <c r="C1021" s="2" t="s">
        <v>569</v>
      </c>
      <c r="D1021" s="2" t="str">
        <f t="shared" si="14"/>
        <v>Error?</v>
      </c>
    </row>
    <row r="1022" spans="1:4" x14ac:dyDescent="0.2">
      <c r="A1022" s="5">
        <v>961</v>
      </c>
      <c r="B1022" s="1821">
        <f>'Expenditures 15-22'!H49</f>
        <v>44787</v>
      </c>
      <c r="D1022" s="2" t="str">
        <f t="shared" si="14"/>
        <v>Error?</v>
      </c>
    </row>
    <row r="1023" spans="1:4" x14ac:dyDescent="0.2">
      <c r="A1023" s="5">
        <v>962</v>
      </c>
      <c r="B1023" s="1821">
        <f>'Expenditures 15-22'!H50</f>
        <v>7046</v>
      </c>
      <c r="D1023" s="2" t="str">
        <f t="shared" ref="D1023:D1086" si="15">IF(ISBLANK(B1023),"OK",IF(A1023-B1023=0,"OK","Error?"))</f>
        <v>Error?</v>
      </c>
    </row>
    <row r="1024" spans="1:4" x14ac:dyDescent="0.2">
      <c r="A1024" s="5">
        <v>963</v>
      </c>
      <c r="B1024" s="1821">
        <f>'Expenditures 15-22'!H53</f>
        <v>51833</v>
      </c>
      <c r="C1024" s="2" t="s">
        <v>569</v>
      </c>
      <c r="D1024" s="2" t="str">
        <f t="shared" si="15"/>
        <v>Error?</v>
      </c>
    </row>
    <row r="1025" spans="1:4" x14ac:dyDescent="0.2">
      <c r="A1025" s="5">
        <v>964</v>
      </c>
      <c r="B1025" s="1821">
        <f>'Expenditures 15-22'!H55</f>
        <v>4959</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4959</v>
      </c>
      <c r="C1027" s="2" t="s">
        <v>569</v>
      </c>
      <c r="D1027" s="2" t="str">
        <f t="shared" si="15"/>
        <v>Error?</v>
      </c>
    </row>
    <row r="1028" spans="1:4" x14ac:dyDescent="0.2">
      <c r="A1028" s="5">
        <v>967</v>
      </c>
      <c r="B1028" s="1821">
        <f>'Expenditures 15-22'!H59</f>
        <v>470</v>
      </c>
      <c r="D1028" s="2" t="str">
        <f t="shared" si="15"/>
        <v>Error?</v>
      </c>
    </row>
    <row r="1029" spans="1:4" x14ac:dyDescent="0.2">
      <c r="A1029" s="5">
        <v>968</v>
      </c>
      <c r="B1029" s="1821">
        <f>'Expenditures 15-22'!H60</f>
        <v>637</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1107</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27573</v>
      </c>
      <c r="D1041" s="2" t="str">
        <f t="shared" si="15"/>
        <v>Error?</v>
      </c>
    </row>
    <row r="1042" spans="1:5" x14ac:dyDescent="0.2">
      <c r="A1042" s="10">
        <v>981</v>
      </c>
      <c r="B1042" s="1821"/>
      <c r="D1042" s="2" t="str">
        <f t="shared" si="15"/>
        <v>OK</v>
      </c>
    </row>
    <row r="1043" spans="1:5" x14ac:dyDescent="0.2">
      <c r="A1043" s="5">
        <v>982</v>
      </c>
      <c r="B1043" s="1821">
        <f>'Expenditures 15-22'!H72</f>
        <v>27573</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299373</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264510</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683637</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3536824</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884848</v>
      </c>
      <c r="C1106" s="2" t="s">
        <v>569</v>
      </c>
      <c r="D1106" s="2" t="str">
        <f t="shared" si="16"/>
        <v>Error?</v>
      </c>
    </row>
    <row r="1107" spans="1:4" x14ac:dyDescent="0.2">
      <c r="A1107" s="5">
        <v>1046</v>
      </c>
      <c r="B1107" s="1821">
        <f>'Expenditures 15-22'!K15</f>
        <v>0</v>
      </c>
      <c r="C1107" s="2" t="s">
        <v>569</v>
      </c>
      <c r="D1107" s="2" t="str">
        <f t="shared" si="16"/>
        <v>Error?</v>
      </c>
    </row>
    <row r="1108" spans="1:4" x14ac:dyDescent="0.2">
      <c r="A1108" s="5">
        <v>1047</v>
      </c>
      <c r="B1108" s="1821">
        <f>'Expenditures 15-22'!K33</f>
        <v>5589241</v>
      </c>
      <c r="C1108" s="2" t="s">
        <v>569</v>
      </c>
      <c r="D1108" s="2" t="str">
        <f t="shared" si="16"/>
        <v>Error?</v>
      </c>
    </row>
    <row r="1109" spans="1:4" x14ac:dyDescent="0.2">
      <c r="A1109" s="5">
        <v>1048</v>
      </c>
      <c r="B1109" s="1821">
        <f>'Expenditures 15-22'!K36</f>
        <v>139749</v>
      </c>
      <c r="C1109" s="2" t="s">
        <v>569</v>
      </c>
      <c r="D1109" s="2" t="str">
        <f t="shared" si="16"/>
        <v>Error?</v>
      </c>
    </row>
    <row r="1110" spans="1:4" x14ac:dyDescent="0.2">
      <c r="A1110" s="5">
        <v>1049</v>
      </c>
      <c r="B1110" s="1821">
        <f>'Expenditures 15-22'!K37</f>
        <v>253365</v>
      </c>
      <c r="C1110" s="2" t="s">
        <v>569</v>
      </c>
      <c r="D1110" s="2" t="str">
        <f t="shared" si="16"/>
        <v>Error?</v>
      </c>
    </row>
    <row r="1111" spans="1:4" x14ac:dyDescent="0.2">
      <c r="A1111" s="5">
        <v>1050</v>
      </c>
      <c r="B1111" s="1821">
        <f>'Expenditures 15-22'!K38</f>
        <v>75128</v>
      </c>
      <c r="C1111" s="2" t="s">
        <v>569</v>
      </c>
      <c r="D1111" s="2" t="str">
        <f t="shared" si="16"/>
        <v>Error?</v>
      </c>
    </row>
    <row r="1112" spans="1:4" x14ac:dyDescent="0.2">
      <c r="A1112" s="5">
        <v>1051</v>
      </c>
      <c r="B1112" s="1821">
        <f>'Expenditures 15-22'!K39</f>
        <v>121147</v>
      </c>
      <c r="C1112" s="2" t="s">
        <v>569</v>
      </c>
      <c r="D1112" s="2" t="str">
        <f t="shared" si="16"/>
        <v>Error?</v>
      </c>
    </row>
    <row r="1113" spans="1:4" x14ac:dyDescent="0.2">
      <c r="A1113" s="5">
        <v>1052</v>
      </c>
      <c r="B1113" s="1821">
        <f>'Expenditures 15-22'!K40</f>
        <v>0</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589389</v>
      </c>
      <c r="C1115" s="2" t="s">
        <v>569</v>
      </c>
      <c r="D1115" s="2" t="str">
        <f t="shared" si="16"/>
        <v>Error?</v>
      </c>
    </row>
    <row r="1116" spans="1:4" x14ac:dyDescent="0.2">
      <c r="A1116" s="5">
        <v>1055</v>
      </c>
      <c r="B1116" s="1821">
        <f>'Expenditures 15-22'!K44</f>
        <v>285285</v>
      </c>
      <c r="C1116" s="2" t="s">
        <v>569</v>
      </c>
      <c r="D1116" s="2" t="str">
        <f t="shared" si="16"/>
        <v>Error?</v>
      </c>
    </row>
    <row r="1117" spans="1:4" x14ac:dyDescent="0.2">
      <c r="A1117" s="5">
        <v>1056</v>
      </c>
      <c r="B1117" s="1821">
        <f>'Expenditures 15-22'!K45</f>
        <v>160765</v>
      </c>
      <c r="C1117" s="2" t="s">
        <v>569</v>
      </c>
      <c r="D1117" s="2" t="str">
        <f t="shared" si="16"/>
        <v>Error?</v>
      </c>
    </row>
    <row r="1118" spans="1:4" x14ac:dyDescent="0.2">
      <c r="A1118" s="5">
        <v>1057</v>
      </c>
      <c r="B1118" s="1821">
        <f>'Expenditures 15-22'!K46</f>
        <v>0</v>
      </c>
      <c r="C1118" s="2" t="s">
        <v>569</v>
      </c>
      <c r="D1118" s="2" t="str">
        <f t="shared" si="16"/>
        <v>Error?</v>
      </c>
    </row>
    <row r="1119" spans="1:4" x14ac:dyDescent="0.2">
      <c r="A1119" s="5">
        <v>1058</v>
      </c>
      <c r="B1119" s="1821">
        <f>'Expenditures 15-22'!K47</f>
        <v>446050</v>
      </c>
      <c r="C1119" s="2" t="s">
        <v>569</v>
      </c>
      <c r="D1119" s="2" t="str">
        <f t="shared" si="16"/>
        <v>Error?</v>
      </c>
    </row>
    <row r="1120" spans="1:4" x14ac:dyDescent="0.2">
      <c r="A1120" s="5">
        <v>1059</v>
      </c>
      <c r="B1120" s="1821">
        <f>'Expenditures 15-22'!K49</f>
        <v>325146</v>
      </c>
      <c r="C1120" s="2" t="s">
        <v>569</v>
      </c>
      <c r="D1120" s="2" t="str">
        <f t="shared" si="16"/>
        <v>Error?</v>
      </c>
    </row>
    <row r="1121" spans="1:4" x14ac:dyDescent="0.2">
      <c r="A1121" s="5">
        <v>1060</v>
      </c>
      <c r="B1121" s="1821">
        <f>'Expenditures 15-22'!K50</f>
        <v>129368</v>
      </c>
      <c r="C1121" s="2" t="s">
        <v>569</v>
      </c>
      <c r="D1121" s="2" t="str">
        <f t="shared" si="16"/>
        <v>Error?</v>
      </c>
    </row>
    <row r="1122" spans="1:4" x14ac:dyDescent="0.2">
      <c r="A1122" s="5">
        <v>1061</v>
      </c>
      <c r="B1122" s="1821">
        <f>'Expenditures 15-22'!K53</f>
        <v>454970</v>
      </c>
      <c r="C1122" s="2" t="s">
        <v>569</v>
      </c>
      <c r="D1122" s="2" t="str">
        <f t="shared" si="16"/>
        <v>Error?</v>
      </c>
    </row>
    <row r="1123" spans="1:4" x14ac:dyDescent="0.2">
      <c r="A1123" s="5">
        <v>1062</v>
      </c>
      <c r="B1123" s="1821">
        <f>'Expenditures 15-22'!K55</f>
        <v>575932</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575932</v>
      </c>
      <c r="C1125" s="2" t="s">
        <v>569</v>
      </c>
      <c r="D1125" s="2" t="str">
        <f t="shared" si="16"/>
        <v>Error?</v>
      </c>
    </row>
    <row r="1126" spans="1:4" x14ac:dyDescent="0.2">
      <c r="A1126" s="5">
        <v>1065</v>
      </c>
      <c r="B1126" s="1821">
        <f>'Expenditures 15-22'!K59</f>
        <v>19561</v>
      </c>
      <c r="C1126" s="2" t="s">
        <v>569</v>
      </c>
      <c r="D1126" s="2" t="str">
        <f t="shared" si="16"/>
        <v>Error?</v>
      </c>
    </row>
    <row r="1127" spans="1:4" x14ac:dyDescent="0.2">
      <c r="A1127" s="5">
        <v>1066</v>
      </c>
      <c r="B1127" s="1821">
        <f>'Expenditures 15-22'!K60</f>
        <v>85835</v>
      </c>
      <c r="C1127" s="2" t="s">
        <v>569</v>
      </c>
      <c r="D1127" s="2" t="str">
        <f t="shared" si="16"/>
        <v>Error?</v>
      </c>
    </row>
    <row r="1128" spans="1:4" x14ac:dyDescent="0.2">
      <c r="A1128" s="5">
        <v>1067</v>
      </c>
      <c r="B1128" s="1821">
        <f>'Expenditures 15-22'!K61</f>
        <v>24574</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249556</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379526</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240347</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240347</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2686214</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264510</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8539965</v>
      </c>
      <c r="C1152" s="2" t="s">
        <v>569</v>
      </c>
      <c r="D1152" s="2" t="str">
        <f t="shared" si="17"/>
        <v>Error?</v>
      </c>
    </row>
    <row r="1153" spans="1:4" x14ac:dyDescent="0.2">
      <c r="A1153" s="5">
        <v>1092</v>
      </c>
      <c r="B1153" s="1821">
        <f>'Expenditures 15-22'!K115</f>
        <v>879520</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212732</v>
      </c>
      <c r="D1221" s="2" t="str">
        <f t="shared" si="18"/>
        <v>Error?</v>
      </c>
    </row>
    <row r="1222" spans="1:4" x14ac:dyDescent="0.2">
      <c r="A1222" s="10">
        <v>1161</v>
      </c>
      <c r="B1222" s="1821"/>
      <c r="D1222" s="2" t="str">
        <f t="shared" si="18"/>
        <v>OK</v>
      </c>
    </row>
    <row r="1223" spans="1:4" x14ac:dyDescent="0.2">
      <c r="A1223" s="5">
        <v>1162</v>
      </c>
      <c r="B1223" s="1821">
        <f>'Expenditures 15-22'!C127</f>
        <v>212732</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212732</v>
      </c>
      <c r="C1225" s="2" t="s">
        <v>569</v>
      </c>
      <c r="D1225" s="2" t="str">
        <f t="shared" si="18"/>
        <v>Error?</v>
      </c>
    </row>
    <row r="1226" spans="1:4" x14ac:dyDescent="0.2">
      <c r="A1226" s="5">
        <v>1165</v>
      </c>
      <c r="B1226" s="1821">
        <f>'Expenditures 15-22'!C151</f>
        <v>212732</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14915</v>
      </c>
      <c r="D1229" s="2" t="str">
        <f t="shared" si="18"/>
        <v>Error?</v>
      </c>
    </row>
    <row r="1230" spans="1:4" x14ac:dyDescent="0.2">
      <c r="A1230" s="10">
        <v>1169</v>
      </c>
      <c r="B1230" s="1821"/>
      <c r="D1230" s="2" t="str">
        <f t="shared" si="18"/>
        <v>OK</v>
      </c>
    </row>
    <row r="1231" spans="1:4" x14ac:dyDescent="0.2">
      <c r="A1231" s="5">
        <v>1170</v>
      </c>
      <c r="B1231" s="1821">
        <f>'Expenditures 15-22'!D127</f>
        <v>14915</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14915</v>
      </c>
      <c r="C1233" s="2" t="s">
        <v>569</v>
      </c>
      <c r="D1233" s="2" t="str">
        <f t="shared" si="18"/>
        <v>Error?</v>
      </c>
    </row>
    <row r="1234" spans="1:4" x14ac:dyDescent="0.2">
      <c r="A1234" s="5">
        <v>1173</v>
      </c>
      <c r="B1234" s="1821">
        <f>'Expenditures 15-22'!D151</f>
        <v>14915</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397516</v>
      </c>
      <c r="D1237" s="2" t="str">
        <f t="shared" si="18"/>
        <v>Error?</v>
      </c>
    </row>
    <row r="1238" spans="1:4" x14ac:dyDescent="0.2">
      <c r="A1238" s="10">
        <v>1177</v>
      </c>
      <c r="B1238" s="1821"/>
      <c r="D1238" s="2" t="str">
        <f t="shared" si="18"/>
        <v>OK</v>
      </c>
    </row>
    <row r="1239" spans="1:4" x14ac:dyDescent="0.2">
      <c r="A1239" s="5">
        <v>1178</v>
      </c>
      <c r="B1239" s="1821">
        <f>'Expenditures 15-22'!E127</f>
        <v>397516</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397516</v>
      </c>
      <c r="C1241" s="2" t="s">
        <v>569</v>
      </c>
      <c r="D1241" s="2" t="str">
        <f t="shared" si="18"/>
        <v>Error?</v>
      </c>
    </row>
    <row r="1242" spans="1:4" x14ac:dyDescent="0.2">
      <c r="A1242" s="5">
        <v>1181</v>
      </c>
      <c r="B1242" s="1821">
        <f>'Expenditures 15-22'!E151</f>
        <v>397516</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422213</v>
      </c>
      <c r="D1245" s="2" t="str">
        <f t="shared" si="18"/>
        <v>Error?</v>
      </c>
    </row>
    <row r="1246" spans="1:4" x14ac:dyDescent="0.2">
      <c r="A1246" s="10">
        <v>1185</v>
      </c>
      <c r="B1246" s="1821"/>
      <c r="D1246" s="2" t="str">
        <f t="shared" si="18"/>
        <v>OK</v>
      </c>
    </row>
    <row r="1247" spans="1:4" x14ac:dyDescent="0.2">
      <c r="A1247" s="5">
        <v>1186</v>
      </c>
      <c r="B1247" s="1821">
        <f>'Expenditures 15-22'!F127</f>
        <v>422213</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422213</v>
      </c>
      <c r="C1249" s="2" t="s">
        <v>569</v>
      </c>
      <c r="D1249" s="2" t="str">
        <f t="shared" si="18"/>
        <v>Error?</v>
      </c>
    </row>
    <row r="1250" spans="1:4" x14ac:dyDescent="0.2">
      <c r="A1250" s="5">
        <v>1189</v>
      </c>
      <c r="B1250" s="1821">
        <f>'Expenditures 15-22'!F151</f>
        <v>422213</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42381</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42381</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42381</v>
      </c>
      <c r="C1258" s="2" t="s">
        <v>569</v>
      </c>
      <c r="D1258" s="2" t="str">
        <f t="shared" si="18"/>
        <v>Error?</v>
      </c>
    </row>
    <row r="1259" spans="1:4" x14ac:dyDescent="0.2">
      <c r="A1259" s="5">
        <v>1198</v>
      </c>
      <c r="B1259" s="1821">
        <f>'Expenditures 15-22'!G151</f>
        <v>42381</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3234</v>
      </c>
      <c r="D1262" s="2" t="str">
        <f t="shared" si="18"/>
        <v>Error?</v>
      </c>
    </row>
    <row r="1263" spans="1:4" x14ac:dyDescent="0.2">
      <c r="A1263" s="10">
        <v>1202</v>
      </c>
      <c r="B1263" s="1821"/>
      <c r="D1263" s="2" t="str">
        <f t="shared" si="18"/>
        <v>OK</v>
      </c>
    </row>
    <row r="1264" spans="1:4" x14ac:dyDescent="0.2">
      <c r="A1264" s="5">
        <v>1203</v>
      </c>
      <c r="B1264" s="1821">
        <f>'Expenditures 15-22'!H127</f>
        <v>3234</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3234</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3234</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1092991</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1092991</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1092991</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1092991</v>
      </c>
      <c r="C1288" s="2" t="s">
        <v>569</v>
      </c>
      <c r="D1288" s="2" t="str">
        <f t="shared" si="19"/>
        <v>Error?</v>
      </c>
    </row>
    <row r="1289" spans="1:4" x14ac:dyDescent="0.2">
      <c r="A1289" s="5">
        <v>1228</v>
      </c>
      <c r="B1289" s="1821">
        <f>'Expenditures 15-22'!K152</f>
        <v>541514</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44310</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1655000</v>
      </c>
      <c r="D1315" s="2" t="str">
        <f t="shared" si="19"/>
        <v>Error?</v>
      </c>
    </row>
    <row r="1316" spans="1:4" x14ac:dyDescent="0.2">
      <c r="A1316" s="5">
        <v>1255</v>
      </c>
      <c r="B1316" s="1821">
        <f>'Expenditures 15-22'!H171</f>
        <v>1750</v>
      </c>
      <c r="D1316" s="2" t="str">
        <f t="shared" si="19"/>
        <v>Error?</v>
      </c>
    </row>
    <row r="1317" spans="1:4" x14ac:dyDescent="0.2">
      <c r="A1317" s="5">
        <v>1256</v>
      </c>
      <c r="B1317" s="1821">
        <f>'Expenditures 15-22'!H172</f>
        <v>1701060</v>
      </c>
      <c r="C1317" s="2" t="s">
        <v>569</v>
      </c>
      <c r="D1317" s="2" t="str">
        <f t="shared" si="19"/>
        <v>Error?</v>
      </c>
    </row>
    <row r="1318" spans="1:4" x14ac:dyDescent="0.2">
      <c r="A1318" s="5">
        <v>1257</v>
      </c>
      <c r="B1318" s="1821">
        <f>'Expenditures 15-22'!H174</f>
        <v>1701060</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44310</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1655000</v>
      </c>
      <c r="C1329" s="2" t="s">
        <v>569</v>
      </c>
      <c r="D1329" s="2" t="str">
        <f t="shared" si="19"/>
        <v>Error?</v>
      </c>
    </row>
    <row r="1330" spans="1:4" x14ac:dyDescent="0.2">
      <c r="A1330" s="5">
        <v>1269</v>
      </c>
      <c r="B1330" s="1821">
        <f>'Expenditures 15-22'!K171</f>
        <v>1750</v>
      </c>
      <c r="C1330" s="2" t="s">
        <v>569</v>
      </c>
      <c r="D1330" s="2" t="str">
        <f t="shared" si="19"/>
        <v>Error?</v>
      </c>
    </row>
    <row r="1331" spans="1:4" x14ac:dyDescent="0.2">
      <c r="A1331" s="5">
        <v>1270</v>
      </c>
      <c r="B1331" s="1821">
        <f>'Expenditures 15-22'!K172</f>
        <v>1701060</v>
      </c>
      <c r="C1331" s="2" t="s">
        <v>569</v>
      </c>
      <c r="D1331" s="2" t="str">
        <f t="shared" si="19"/>
        <v>Error?</v>
      </c>
    </row>
    <row r="1332" spans="1:4" x14ac:dyDescent="0.2">
      <c r="A1332" s="5">
        <v>1271</v>
      </c>
      <c r="B1332" s="1821">
        <f>'Expenditures 15-22'!K174</f>
        <v>1701060</v>
      </c>
      <c r="C1332" s="2" t="s">
        <v>569</v>
      </c>
      <c r="D1332" s="2" t="str">
        <f t="shared" si="19"/>
        <v>Error?</v>
      </c>
    </row>
    <row r="1333" spans="1:4" x14ac:dyDescent="0.2">
      <c r="A1333" s="5">
        <v>1272</v>
      </c>
      <c r="B1333" s="1821">
        <f>'Expenditures 15-22'!K175</f>
        <v>-547180</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762331</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762331</v>
      </c>
      <c r="C1339" s="2" t="s">
        <v>569</v>
      </c>
      <c r="D1339" s="2" t="str">
        <f t="shared" si="19"/>
        <v>Error?</v>
      </c>
    </row>
    <row r="1340" spans="1:4" x14ac:dyDescent="0.2">
      <c r="A1340" s="5">
        <v>1279</v>
      </c>
      <c r="B1340" s="1821">
        <f>'Expenditures 15-22'!C210</f>
        <v>762331</v>
      </c>
      <c r="C1340" s="2" t="s">
        <v>569</v>
      </c>
      <c r="D1340" s="2" t="str">
        <f t="shared" si="19"/>
        <v>Error?</v>
      </c>
    </row>
    <row r="1341" spans="1:4" x14ac:dyDescent="0.2">
      <c r="A1341" s="5">
        <v>1280</v>
      </c>
      <c r="B1341" s="1821">
        <f>'Expenditures 15-22'!D182</f>
        <v>237371</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237371</v>
      </c>
      <c r="C1345" s="2" t="s">
        <v>569</v>
      </c>
      <c r="D1345" s="2" t="str">
        <f t="shared" si="20"/>
        <v>Error?</v>
      </c>
    </row>
    <row r="1346" spans="1:4" x14ac:dyDescent="0.2">
      <c r="A1346" s="5">
        <v>1285</v>
      </c>
      <c r="B1346" s="1821">
        <f>'Expenditures 15-22'!D210</f>
        <v>237371</v>
      </c>
      <c r="C1346" s="2" t="s">
        <v>569</v>
      </c>
      <c r="D1346" s="2" t="str">
        <f t="shared" si="20"/>
        <v>Error?</v>
      </c>
    </row>
    <row r="1347" spans="1:4" x14ac:dyDescent="0.2">
      <c r="A1347" s="5">
        <v>1286</v>
      </c>
      <c r="B1347" s="1821">
        <f>'Expenditures 15-22'!E182</f>
        <v>61046</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61046</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61046</v>
      </c>
      <c r="C1353" s="2" t="s">
        <v>569</v>
      </c>
      <c r="D1353" s="2" t="str">
        <f t="shared" si="20"/>
        <v>Error?</v>
      </c>
    </row>
    <row r="1354" spans="1:4" x14ac:dyDescent="0.2">
      <c r="A1354" s="5">
        <v>1293</v>
      </c>
      <c r="B1354" s="1821">
        <f>'Expenditures 15-22'!F182</f>
        <v>168912</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168912</v>
      </c>
      <c r="C1358" s="2" t="s">
        <v>569</v>
      </c>
      <c r="D1358" s="2" t="str">
        <f t="shared" si="20"/>
        <v>Error?</v>
      </c>
    </row>
    <row r="1359" spans="1:4" x14ac:dyDescent="0.2">
      <c r="A1359" s="5">
        <v>1298</v>
      </c>
      <c r="B1359" s="1821">
        <f>'Expenditures 15-22'!F210</f>
        <v>168912</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935</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935</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935</v>
      </c>
      <c r="C1376" s="2" t="s">
        <v>569</v>
      </c>
      <c r="D1376" s="2" t="str">
        <f t="shared" si="20"/>
        <v>Error?</v>
      </c>
    </row>
    <row r="1377" spans="1:4" x14ac:dyDescent="0.2">
      <c r="A1377" s="5">
        <v>1316</v>
      </c>
      <c r="B1377" s="1821">
        <f>'Expenditures 15-22'!K182</f>
        <v>1230595</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1230595</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1230595</v>
      </c>
      <c r="C1388" s="2" t="s">
        <v>569</v>
      </c>
      <c r="D1388" s="2" t="str">
        <f t="shared" si="20"/>
        <v>Error?</v>
      </c>
    </row>
    <row r="1389" spans="1:4" x14ac:dyDescent="0.2">
      <c r="A1389" s="5">
        <v>1328</v>
      </c>
      <c r="B1389" s="1821">
        <f>'Expenditures 15-22'!K211</f>
        <v>835248</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23589</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110214</v>
      </c>
      <c r="C1410" s="2" t="s">
        <v>569</v>
      </c>
      <c r="D1410" s="2" t="str">
        <f t="shared" si="21"/>
        <v>Error?</v>
      </c>
    </row>
    <row r="1411" spans="1:4" x14ac:dyDescent="0.2">
      <c r="A1411" s="5">
        <v>1350</v>
      </c>
      <c r="B1411" s="1821">
        <f>'Expenditures 15-22'!D232</f>
        <v>1676</v>
      </c>
      <c r="D1411" s="2" t="str">
        <f t="shared" si="21"/>
        <v>Error?</v>
      </c>
    </row>
    <row r="1412" spans="1:4" x14ac:dyDescent="0.2">
      <c r="A1412" s="5">
        <v>1351</v>
      </c>
      <c r="B1412" s="1821">
        <f>'Expenditures 15-22'!D233</f>
        <v>9218</v>
      </c>
      <c r="D1412" s="2" t="str">
        <f t="shared" si="21"/>
        <v>Error?</v>
      </c>
    </row>
    <row r="1413" spans="1:4" x14ac:dyDescent="0.2">
      <c r="A1413" s="5">
        <v>1352</v>
      </c>
      <c r="B1413" s="1821">
        <f>'Expenditures 15-22'!D234</f>
        <v>941</v>
      </c>
      <c r="D1413" s="2" t="str">
        <f t="shared" si="21"/>
        <v>Error?</v>
      </c>
    </row>
    <row r="1414" spans="1:4" x14ac:dyDescent="0.2">
      <c r="A1414" s="5">
        <v>1353</v>
      </c>
      <c r="B1414" s="1821">
        <f>'Expenditures 15-22'!D235</f>
        <v>1855</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13690</v>
      </c>
      <c r="C1417" s="2" t="s">
        <v>569</v>
      </c>
      <c r="D1417" s="2" t="str">
        <f t="shared" si="21"/>
        <v>Error?</v>
      </c>
    </row>
    <row r="1418" spans="1:4" x14ac:dyDescent="0.2">
      <c r="A1418" s="5">
        <v>1357</v>
      </c>
      <c r="B1418" s="1821">
        <f>'Expenditures 15-22'!D240</f>
        <v>5849</v>
      </c>
      <c r="D1418" s="2" t="str">
        <f t="shared" si="21"/>
        <v>Error?</v>
      </c>
    </row>
    <row r="1419" spans="1:4" x14ac:dyDescent="0.2">
      <c r="A1419" s="5">
        <v>1358</v>
      </c>
      <c r="B1419" s="1821">
        <f>'Expenditures 15-22'!D241</f>
        <v>6910</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12759</v>
      </c>
      <c r="C1421" s="2" t="s">
        <v>569</v>
      </c>
      <c r="D1421" s="2" t="str">
        <f t="shared" si="21"/>
        <v>Error?</v>
      </c>
    </row>
    <row r="1422" spans="1:4" x14ac:dyDescent="0.2">
      <c r="A1422" s="5">
        <v>1361</v>
      </c>
      <c r="B1422" s="1821">
        <f>'Expenditures 15-22'!D245</f>
        <v>1</v>
      </c>
      <c r="D1422" s="2" t="str">
        <f t="shared" si="21"/>
        <v>Error?</v>
      </c>
    </row>
    <row r="1423" spans="1:4" x14ac:dyDescent="0.2">
      <c r="A1423" s="5">
        <v>1362</v>
      </c>
      <c r="B1423" s="1821">
        <f>'Expenditures 15-22'!D246</f>
        <v>0</v>
      </c>
      <c r="D1423" s="2" t="str">
        <f t="shared" si="21"/>
        <v>Error?</v>
      </c>
    </row>
    <row r="1424" spans="1:4" x14ac:dyDescent="0.2">
      <c r="A1424" s="5">
        <v>1363</v>
      </c>
      <c r="B1424" s="1821">
        <f>'Expenditures 15-22'!D257</f>
        <v>1</v>
      </c>
      <c r="C1424" s="2" t="s">
        <v>569</v>
      </c>
      <c r="D1424" s="2" t="str">
        <f t="shared" si="21"/>
        <v>Error?</v>
      </c>
    </row>
    <row r="1425" spans="1:4" x14ac:dyDescent="0.2">
      <c r="A1425" s="5">
        <v>1364</v>
      </c>
      <c r="B1425" s="1821">
        <f>'Expenditures 15-22'!D259</f>
        <v>17328</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17328</v>
      </c>
      <c r="C1427" s="2" t="s">
        <v>569</v>
      </c>
      <c r="D1427" s="2" t="str">
        <f t="shared" si="21"/>
        <v>Error?</v>
      </c>
    </row>
    <row r="1428" spans="1:4" x14ac:dyDescent="0.2">
      <c r="A1428" s="5">
        <v>1367</v>
      </c>
      <c r="B1428" s="1821">
        <f>'Expenditures 15-22'!D263</f>
        <v>1642</v>
      </c>
      <c r="D1428" s="2" t="str">
        <f t="shared" si="21"/>
        <v>Error?</v>
      </c>
    </row>
    <row r="1429" spans="1:4" x14ac:dyDescent="0.2">
      <c r="A1429" s="5">
        <v>1368</v>
      </c>
      <c r="B1429" s="1821">
        <f>'Expenditures 15-22'!D264</f>
        <v>7149</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34886</v>
      </c>
      <c r="D1431" s="2" t="str">
        <f t="shared" si="21"/>
        <v>Error?</v>
      </c>
    </row>
    <row r="1432" spans="1:4" x14ac:dyDescent="0.2">
      <c r="A1432" s="5">
        <v>1371</v>
      </c>
      <c r="B1432" s="1821">
        <f>'Expenditures 15-22'!D267</f>
        <v>131690</v>
      </c>
      <c r="D1432" s="2" t="str">
        <f t="shared" si="21"/>
        <v>Error?</v>
      </c>
    </row>
    <row r="1433" spans="1:4" x14ac:dyDescent="0.2">
      <c r="A1433" s="5">
        <v>1372</v>
      </c>
      <c r="B1433" s="1821">
        <f>'Expenditures 15-22'!D268</f>
        <v>3362</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178729</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25013</v>
      </c>
      <c r="D1442" s="2" t="str">
        <f t="shared" si="21"/>
        <v>Error?</v>
      </c>
    </row>
    <row r="1443" spans="1:4" x14ac:dyDescent="0.2">
      <c r="A1443" s="10">
        <v>1382</v>
      </c>
      <c r="B1443" s="1821"/>
      <c r="D1443" s="2" t="str">
        <f t="shared" si="21"/>
        <v>OK</v>
      </c>
    </row>
    <row r="1444" spans="1:4" x14ac:dyDescent="0.2">
      <c r="A1444" s="5">
        <v>1383</v>
      </c>
      <c r="B1444" s="1821">
        <f>'Expenditures 15-22'!D277</f>
        <v>25013</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247520</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357734</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23589</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110214</v>
      </c>
      <c r="C1474" s="2" t="s">
        <v>569</v>
      </c>
      <c r="D1474" s="2" t="str">
        <f t="shared" si="22"/>
        <v>Error?</v>
      </c>
    </row>
    <row r="1475" spans="1:4" x14ac:dyDescent="0.2">
      <c r="A1475" s="5">
        <v>1414</v>
      </c>
      <c r="B1475" s="1821">
        <f>'Expenditures 15-22'!K232</f>
        <v>1676</v>
      </c>
      <c r="C1475" s="2" t="s">
        <v>569</v>
      </c>
      <c r="D1475" s="2" t="str">
        <f t="shared" si="22"/>
        <v>Error?</v>
      </c>
    </row>
    <row r="1476" spans="1:4" x14ac:dyDescent="0.2">
      <c r="A1476" s="5">
        <v>1415</v>
      </c>
      <c r="B1476" s="1821">
        <f>'Expenditures 15-22'!K233</f>
        <v>9218</v>
      </c>
      <c r="C1476" s="2" t="s">
        <v>569</v>
      </c>
      <c r="D1476" s="2" t="str">
        <f t="shared" si="22"/>
        <v>Error?</v>
      </c>
    </row>
    <row r="1477" spans="1:4" x14ac:dyDescent="0.2">
      <c r="A1477" s="5">
        <v>1416</v>
      </c>
      <c r="B1477" s="1821">
        <f>'Expenditures 15-22'!K234</f>
        <v>941</v>
      </c>
      <c r="C1477" s="2" t="s">
        <v>569</v>
      </c>
      <c r="D1477" s="2" t="str">
        <f t="shared" si="22"/>
        <v>Error?</v>
      </c>
    </row>
    <row r="1478" spans="1:4" x14ac:dyDescent="0.2">
      <c r="A1478" s="5">
        <v>1417</v>
      </c>
      <c r="B1478" s="1821">
        <f>'Expenditures 15-22'!K235</f>
        <v>1855</v>
      </c>
      <c r="C1478" s="2" t="s">
        <v>569</v>
      </c>
      <c r="D1478" s="2" t="str">
        <f t="shared" si="22"/>
        <v>Error?</v>
      </c>
    </row>
    <row r="1479" spans="1:4" x14ac:dyDescent="0.2">
      <c r="A1479" s="5">
        <v>1418</v>
      </c>
      <c r="B1479" s="1821">
        <f>'Expenditures 15-22'!K236</f>
        <v>0</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13690</v>
      </c>
      <c r="C1481" s="2" t="s">
        <v>569</v>
      </c>
      <c r="D1481" s="2" t="str">
        <f t="shared" si="22"/>
        <v>Error?</v>
      </c>
    </row>
    <row r="1482" spans="1:4" x14ac:dyDescent="0.2">
      <c r="A1482" s="5">
        <v>1421</v>
      </c>
      <c r="B1482" s="1821">
        <f>'Expenditures 15-22'!K240</f>
        <v>5849</v>
      </c>
      <c r="C1482" s="2" t="s">
        <v>569</v>
      </c>
      <c r="D1482" s="2" t="str">
        <f t="shared" si="22"/>
        <v>Error?</v>
      </c>
    </row>
    <row r="1483" spans="1:4" x14ac:dyDescent="0.2">
      <c r="A1483" s="5">
        <v>1422</v>
      </c>
      <c r="B1483" s="1821">
        <f>'Expenditures 15-22'!K241</f>
        <v>6910</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12759</v>
      </c>
      <c r="C1485" s="2" t="s">
        <v>569</v>
      </c>
      <c r="D1485" s="2" t="str">
        <f t="shared" si="22"/>
        <v>Error?</v>
      </c>
    </row>
    <row r="1486" spans="1:4" x14ac:dyDescent="0.2">
      <c r="A1486" s="5">
        <v>1425</v>
      </c>
      <c r="B1486" s="1821">
        <f>'Expenditures 15-22'!K245</f>
        <v>1</v>
      </c>
      <c r="C1486" s="2" t="s">
        <v>569</v>
      </c>
      <c r="D1486" s="2" t="str">
        <f t="shared" si="22"/>
        <v>Error?</v>
      </c>
    </row>
    <row r="1487" spans="1:4" x14ac:dyDescent="0.2">
      <c r="A1487" s="5">
        <v>1426</v>
      </c>
      <c r="B1487" s="1821">
        <f>'Expenditures 15-22'!K246</f>
        <v>0</v>
      </c>
      <c r="C1487" s="2" t="s">
        <v>569</v>
      </c>
      <c r="D1487" s="2" t="str">
        <f t="shared" si="22"/>
        <v>Error?</v>
      </c>
    </row>
    <row r="1488" spans="1:4" x14ac:dyDescent="0.2">
      <c r="A1488" s="5">
        <v>1427</v>
      </c>
      <c r="B1488" s="1821">
        <f>'Expenditures 15-22'!K257</f>
        <v>1</v>
      </c>
      <c r="C1488" s="2" t="s">
        <v>569</v>
      </c>
      <c r="D1488" s="2" t="str">
        <f t="shared" si="22"/>
        <v>Error?</v>
      </c>
    </row>
    <row r="1489" spans="1:4" x14ac:dyDescent="0.2">
      <c r="A1489" s="5">
        <v>1428</v>
      </c>
      <c r="B1489" s="1821">
        <f>'Expenditures 15-22'!K259</f>
        <v>17328</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17328</v>
      </c>
      <c r="C1491" s="2" t="s">
        <v>569</v>
      </c>
      <c r="D1491" s="2" t="str">
        <f t="shared" si="22"/>
        <v>Error?</v>
      </c>
    </row>
    <row r="1492" spans="1:4" x14ac:dyDescent="0.2">
      <c r="A1492" s="5">
        <v>1431</v>
      </c>
      <c r="B1492" s="1821">
        <f>'Expenditures 15-22'!K263</f>
        <v>1642</v>
      </c>
      <c r="C1492" s="2" t="s">
        <v>569</v>
      </c>
      <c r="D1492" s="2" t="str">
        <f t="shared" si="22"/>
        <v>Error?</v>
      </c>
    </row>
    <row r="1493" spans="1:4" x14ac:dyDescent="0.2">
      <c r="A1493" s="5">
        <v>1432</v>
      </c>
      <c r="B1493" s="1821">
        <f>'Expenditures 15-22'!K264</f>
        <v>7149</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34886</v>
      </c>
      <c r="C1495" s="2" t="s">
        <v>569</v>
      </c>
      <c r="D1495" s="2" t="str">
        <f t="shared" si="22"/>
        <v>Error?</v>
      </c>
    </row>
    <row r="1496" spans="1:4" x14ac:dyDescent="0.2">
      <c r="A1496" s="5">
        <v>1435</v>
      </c>
      <c r="B1496" s="1821">
        <f>'Expenditures 15-22'!K267</f>
        <v>131690</v>
      </c>
      <c r="C1496" s="2" t="s">
        <v>569</v>
      </c>
      <c r="D1496" s="2" t="str">
        <f t="shared" si="22"/>
        <v>Error?</v>
      </c>
    </row>
    <row r="1497" spans="1:4" x14ac:dyDescent="0.2">
      <c r="A1497" s="5">
        <v>1436</v>
      </c>
      <c r="B1497" s="1821">
        <f>'Expenditures 15-22'!K268</f>
        <v>3362</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178729</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25013</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25013</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247520</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357734</v>
      </c>
      <c r="C1517" s="2" t="s">
        <v>569</v>
      </c>
      <c r="D1517" s="2" t="str">
        <f t="shared" si="22"/>
        <v>Error?</v>
      </c>
    </row>
    <row r="1518" spans="1:4" x14ac:dyDescent="0.2">
      <c r="A1518" s="5">
        <v>1457</v>
      </c>
      <c r="B1518" s="1821">
        <f>'Expenditures 15-22'!K296</f>
        <v>-2814</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0</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0</v>
      </c>
      <c r="C1547" s="2" t="s">
        <v>569</v>
      </c>
      <c r="D1547" s="2" t="str">
        <f t="shared" si="23"/>
        <v>Error?</v>
      </c>
    </row>
    <row r="1548" spans="1:4" x14ac:dyDescent="0.2">
      <c r="A1548" s="5">
        <v>1487</v>
      </c>
      <c r="B1548" s="1821">
        <f>'Expenditures 15-22'!G312</f>
        <v>0</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0</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0</v>
      </c>
      <c r="C1559" s="2" t="s">
        <v>569</v>
      </c>
      <c r="D1559" s="2" t="str">
        <f t="shared" si="23"/>
        <v>Error?</v>
      </c>
    </row>
    <row r="1560" spans="1:4" x14ac:dyDescent="0.2">
      <c r="A1560" s="5">
        <v>1499</v>
      </c>
      <c r="B1560" s="1821">
        <f>'Expenditures 15-22'!K312</f>
        <v>0</v>
      </c>
      <c r="C1560" s="2" t="s">
        <v>569</v>
      </c>
      <c r="D1560" s="2" t="str">
        <f t="shared" si="23"/>
        <v>Error?</v>
      </c>
    </row>
    <row r="1561" spans="1:4" x14ac:dyDescent="0.2">
      <c r="A1561" s="5">
        <v>1500</v>
      </c>
      <c r="B1561" s="1821">
        <f>'Expenditures 15-22'!K313</f>
        <v>8024</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15071013</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15950533</v>
      </c>
      <c r="C1630" s="2" t="s">
        <v>569</v>
      </c>
      <c r="D1630" s="2" t="str">
        <f t="shared" si="24"/>
        <v>Error?</v>
      </c>
    </row>
    <row r="1631" spans="1:4" x14ac:dyDescent="0.2">
      <c r="A1631" s="5">
        <v>1570</v>
      </c>
      <c r="B1631" s="1821">
        <f>'Acct Summary 7-8'!D79</f>
        <v>1750680</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1767194</v>
      </c>
      <c r="C1644" s="2" t="s">
        <v>569</v>
      </c>
      <c r="D1644" s="2" t="str">
        <f t="shared" si="24"/>
        <v>Error?</v>
      </c>
    </row>
    <row r="1645" spans="1:4" x14ac:dyDescent="0.2">
      <c r="A1645" s="5">
        <v>1584</v>
      </c>
      <c r="B1645" s="1821">
        <f>'Acct Summary 7-8'!E79</f>
        <v>45130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22950</v>
      </c>
      <c r="C1658" s="2" t="s">
        <v>569</v>
      </c>
      <c r="D1658" s="2" t="str">
        <f t="shared" si="24"/>
        <v>Error?</v>
      </c>
    </row>
    <row r="1659" spans="1:4" x14ac:dyDescent="0.2">
      <c r="A1659" s="5">
        <v>1598</v>
      </c>
      <c r="B1659" s="1821">
        <f>'Acct Summary 7-8'!F79</f>
        <v>148105</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983353</v>
      </c>
      <c r="C1672" s="2" t="s">
        <v>569</v>
      </c>
      <c r="D1672" s="2" t="str">
        <f t="shared" si="25"/>
        <v>Error?</v>
      </c>
    </row>
    <row r="1673" spans="1:4" x14ac:dyDescent="0.2">
      <c r="A1673" s="5">
        <v>1612</v>
      </c>
      <c r="B1673" s="1821">
        <f>'Acct Summary 7-8'!G79</f>
        <v>658321</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655507</v>
      </c>
      <c r="C1686" s="2" t="s">
        <v>569</v>
      </c>
      <c r="D1686" s="2" t="str">
        <f t="shared" si="25"/>
        <v>Error?</v>
      </c>
    </row>
    <row r="1687" spans="1:4" x14ac:dyDescent="0.2">
      <c r="A1687" s="5">
        <v>1626</v>
      </c>
      <c r="B1687" s="1821">
        <f>'Acct Summary 7-8'!H79</f>
        <v>195762</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203786</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7260093</v>
      </c>
      <c r="C1744" s="2" t="s">
        <v>569</v>
      </c>
      <c r="D1744" s="2" t="str">
        <f t="shared" si="26"/>
        <v>Error?</v>
      </c>
    </row>
    <row r="1745" spans="1:5" x14ac:dyDescent="0.2">
      <c r="A1745" s="5">
        <v>1684</v>
      </c>
      <c r="B1745" s="1821">
        <f>'Tax Sched 23'!B5</f>
        <v>1616031</v>
      </c>
      <c r="C1745" s="2" t="s">
        <v>569</v>
      </c>
      <c r="D1745" s="2" t="str">
        <f t="shared" si="26"/>
        <v>Error?</v>
      </c>
    </row>
    <row r="1746" spans="1:5" x14ac:dyDescent="0.2">
      <c r="A1746" s="5">
        <v>1685</v>
      </c>
      <c r="B1746" s="1821">
        <f>'Tax Sched 23'!B6</f>
        <v>1152120</v>
      </c>
      <c r="C1746" s="2" t="s">
        <v>569</v>
      </c>
      <c r="D1746" s="2" t="str">
        <f t="shared" si="26"/>
        <v>Error?</v>
      </c>
    </row>
    <row r="1747" spans="1:5" x14ac:dyDescent="0.2">
      <c r="A1747" s="5">
        <v>1686</v>
      </c>
      <c r="B1747" s="1821">
        <f>'Tax Sched 23'!B7</f>
        <v>509743</v>
      </c>
      <c r="C1747" s="2" t="s">
        <v>569</v>
      </c>
      <c r="D1747" s="2" t="str">
        <f t="shared" si="26"/>
        <v>Error?</v>
      </c>
    </row>
    <row r="1748" spans="1:5" x14ac:dyDescent="0.2">
      <c r="A1748" s="5">
        <v>1687</v>
      </c>
      <c r="B1748" s="1821">
        <f>'Tax Sched 23'!B8</f>
        <v>98079</v>
      </c>
      <c r="C1748" s="2" t="s">
        <v>569</v>
      </c>
      <c r="D1748" s="2" t="str">
        <f t="shared" si="26"/>
        <v>Error?</v>
      </c>
    </row>
    <row r="1749" spans="1:5" x14ac:dyDescent="0.2">
      <c r="A1749" s="5">
        <v>1688</v>
      </c>
      <c r="B1749" s="1821">
        <f>'Tax Sched 23'!B10</f>
        <v>161345</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0</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114564</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11010055</v>
      </c>
      <c r="C1759" s="2" t="s">
        <v>569</v>
      </c>
      <c r="D1759" s="2" t="str">
        <f t="shared" si="26"/>
        <v>Error?</v>
      </c>
    </row>
    <row r="1760" spans="1:5" x14ac:dyDescent="0.2">
      <c r="A1760" s="5">
        <v>1699</v>
      </c>
      <c r="B1760" s="1821">
        <f>'Tax Sched 23'!D4</f>
        <v>3632596</v>
      </c>
      <c r="C1760" s="2" t="s">
        <v>569</v>
      </c>
      <c r="D1760" s="2" t="str">
        <f t="shared" si="26"/>
        <v>Error?</v>
      </c>
    </row>
    <row r="1761" spans="1:7" x14ac:dyDescent="0.2">
      <c r="A1761" s="5">
        <v>1700</v>
      </c>
      <c r="B1761" s="1821">
        <f>'Tax Sched 23'!D5</f>
        <v>796768</v>
      </c>
      <c r="C1761" s="2" t="s">
        <v>569</v>
      </c>
      <c r="D1761" s="2" t="str">
        <f t="shared" si="26"/>
        <v>Error?</v>
      </c>
    </row>
    <row r="1762" spans="1:7" s="8" customFormat="1" x14ac:dyDescent="0.2">
      <c r="A1762" s="5">
        <v>1701</v>
      </c>
      <c r="B1762" s="1821">
        <f>'Tax Sched 23'!D6</f>
        <v>818173</v>
      </c>
      <c r="C1762" s="2" t="s">
        <v>569</v>
      </c>
      <c r="D1762" s="2" t="str">
        <f t="shared" si="26"/>
        <v>Error?</v>
      </c>
      <c r="E1762" s="9"/>
      <c r="G1762"/>
    </row>
    <row r="1763" spans="1:7" x14ac:dyDescent="0.2">
      <c r="A1763" s="5">
        <v>1702</v>
      </c>
      <c r="B1763" s="1821">
        <f>'Tax Sched 23'!D7</f>
        <v>245163</v>
      </c>
      <c r="C1763" s="2" t="s">
        <v>569</v>
      </c>
      <c r="D1763" s="2" t="str">
        <f t="shared" si="26"/>
        <v>Error?</v>
      </c>
    </row>
    <row r="1764" spans="1:7" x14ac:dyDescent="0.2">
      <c r="A1764" s="5">
        <v>1703</v>
      </c>
      <c r="B1764" s="1821">
        <f>'Tax Sched 23'!D8</f>
        <v>46556</v>
      </c>
      <c r="C1764" s="2" t="s">
        <v>569</v>
      </c>
      <c r="D1764" s="2" t="str">
        <f t="shared" si="26"/>
        <v>Error?</v>
      </c>
    </row>
    <row r="1765" spans="1:7" x14ac:dyDescent="0.2">
      <c r="A1765" s="5">
        <v>1704</v>
      </c>
      <c r="B1765" s="1821">
        <f>'Tax Sched 23'!D10</f>
        <v>77793</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0</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54220</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5717826</v>
      </c>
      <c r="C1775" s="2" t="s">
        <v>569</v>
      </c>
      <c r="D1775" s="2" t="str">
        <f t="shared" si="26"/>
        <v>Error?</v>
      </c>
    </row>
    <row r="1776" spans="1:7" x14ac:dyDescent="0.2">
      <c r="A1776" s="5">
        <v>1715</v>
      </c>
      <c r="B1776" s="1821">
        <f>'Tax Sched 23'!C4</f>
        <v>3627497</v>
      </c>
      <c r="D1776" s="2" t="str">
        <f t="shared" si="26"/>
        <v>Error?</v>
      </c>
    </row>
    <row r="1777" spans="1:4" x14ac:dyDescent="0.2">
      <c r="A1777" s="5">
        <v>1716</v>
      </c>
      <c r="B1777" s="1821">
        <f>'Tax Sched 23'!C5</f>
        <v>819263</v>
      </c>
      <c r="D1777" s="2" t="str">
        <f t="shared" si="26"/>
        <v>Error?</v>
      </c>
    </row>
    <row r="1778" spans="1:4" x14ac:dyDescent="0.2">
      <c r="A1778" s="5">
        <v>1717</v>
      </c>
      <c r="B1778" s="1821">
        <f>'Tax Sched 23'!C6</f>
        <v>333947</v>
      </c>
      <c r="D1778" s="2" t="str">
        <f t="shared" si="26"/>
        <v>Error?</v>
      </c>
    </row>
    <row r="1779" spans="1:4" x14ac:dyDescent="0.2">
      <c r="A1779" s="5">
        <v>1718</v>
      </c>
      <c r="B1779" s="1821">
        <f>'Tax Sched 23'!C7</f>
        <v>264580</v>
      </c>
      <c r="D1779" s="2" t="str">
        <f t="shared" si="26"/>
        <v>Error?</v>
      </c>
    </row>
    <row r="1780" spans="1:4" x14ac:dyDescent="0.2">
      <c r="A1780" s="5">
        <v>1719</v>
      </c>
      <c r="B1780" s="1821">
        <f>'Tax Sched 23'!C8</f>
        <v>51523</v>
      </c>
      <c r="D1780" s="2" t="str">
        <f t="shared" si="26"/>
        <v>Error?</v>
      </c>
    </row>
    <row r="1781" spans="1:4" x14ac:dyDescent="0.2">
      <c r="A1781" s="5">
        <v>1720</v>
      </c>
      <c r="B1781" s="1821">
        <f>'Tax Sched 23'!C10</f>
        <v>83552</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60344</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5292229</v>
      </c>
      <c r="C1791" s="2" t="s">
        <v>569</v>
      </c>
      <c r="D1791" s="2" t="str">
        <f t="shared" ref="D1791:D1854" si="27">IF(ISBLANK(B1791),"OK",IF(A1791-B1791=0,"OK","Error?"))</f>
        <v>Error?</v>
      </c>
    </row>
    <row r="1792" spans="1:4" x14ac:dyDescent="0.2">
      <c r="A1792" s="5">
        <v>1731</v>
      </c>
      <c r="B1792" s="1821">
        <f>'Tax Sched 23'!F4</f>
        <v>4035191</v>
      </c>
      <c r="C1792" s="2" t="s">
        <v>569</v>
      </c>
      <c r="D1792" s="2" t="str">
        <f t="shared" si="27"/>
        <v>Error?</v>
      </c>
    </row>
    <row r="1793" spans="1:4" x14ac:dyDescent="0.2">
      <c r="A1793" s="5">
        <v>1732</v>
      </c>
      <c r="B1793" s="1821">
        <f>'Tax Sched 23'!F5</f>
        <v>911340</v>
      </c>
      <c r="C1793" s="2" t="s">
        <v>569</v>
      </c>
      <c r="D1793" s="2" t="str">
        <f t="shared" si="27"/>
        <v>Error?</v>
      </c>
    </row>
    <row r="1794" spans="1:4" x14ac:dyDescent="0.2">
      <c r="A1794" s="5">
        <v>1733</v>
      </c>
      <c r="B1794" s="1821">
        <f>'Tax Sched 23'!F6</f>
        <v>371480</v>
      </c>
      <c r="C1794" s="2" t="s">
        <v>569</v>
      </c>
      <c r="D1794" s="2" t="str">
        <f t="shared" si="27"/>
        <v>Error?</v>
      </c>
    </row>
    <row r="1795" spans="1:4" x14ac:dyDescent="0.2">
      <c r="A1795" s="5">
        <v>1734</v>
      </c>
      <c r="B1795" s="1821">
        <f>'Tax Sched 23'!F7</f>
        <v>294316</v>
      </c>
      <c r="C1795" s="2" t="s">
        <v>569</v>
      </c>
      <c r="D1795" s="2" t="str">
        <f t="shared" si="27"/>
        <v>Error?</v>
      </c>
    </row>
    <row r="1796" spans="1:4" x14ac:dyDescent="0.2">
      <c r="A1796" s="5">
        <v>1735</v>
      </c>
      <c r="B1796" s="1821">
        <f>'Tax Sched 23'!F8</f>
        <v>57314</v>
      </c>
      <c r="C1796" s="2" t="s">
        <v>569</v>
      </c>
      <c r="D1796" s="2" t="str">
        <f t="shared" si="27"/>
        <v>Error?</v>
      </c>
    </row>
    <row r="1797" spans="1:4" x14ac:dyDescent="0.2">
      <c r="A1797" s="5">
        <v>1736</v>
      </c>
      <c r="B1797" s="1821">
        <f>'Tax Sched 23'!F10</f>
        <v>92943</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0</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67127</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5887025</v>
      </c>
      <c r="C1807" s="2" t="s">
        <v>569</v>
      </c>
      <c r="D1807" s="2" t="str">
        <f t="shared" si="27"/>
        <v>Error?</v>
      </c>
    </row>
    <row r="1808" spans="1:4" x14ac:dyDescent="0.2">
      <c r="A1808" s="5">
        <v>1747</v>
      </c>
      <c r="B1808" s="1821">
        <f>'Tax Sched 23'!E4</f>
        <v>7662688</v>
      </c>
      <c r="D1808" s="2" t="str">
        <f t="shared" si="27"/>
        <v>Error?</v>
      </c>
    </row>
    <row r="1809" spans="1:4" x14ac:dyDescent="0.2">
      <c r="A1809" s="5">
        <v>1748</v>
      </c>
      <c r="B1809" s="1821">
        <f>'Tax Sched 23'!E5</f>
        <v>1730603</v>
      </c>
      <c r="D1809" s="2" t="str">
        <f t="shared" si="27"/>
        <v>Error?</v>
      </c>
    </row>
    <row r="1810" spans="1:4" x14ac:dyDescent="0.2">
      <c r="A1810" s="5">
        <v>1749</v>
      </c>
      <c r="B1810" s="1821">
        <f>'Tax Sched 23'!E6</f>
        <v>705427</v>
      </c>
      <c r="D1810" s="2" t="str">
        <f t="shared" si="27"/>
        <v>Error?</v>
      </c>
    </row>
    <row r="1811" spans="1:4" x14ac:dyDescent="0.2">
      <c r="A1811" s="5">
        <v>1750</v>
      </c>
      <c r="B1811" s="1821">
        <f>'Tax Sched 23'!E7</f>
        <v>558896</v>
      </c>
      <c r="D1811" s="2" t="str">
        <f t="shared" si="27"/>
        <v>Error?</v>
      </c>
    </row>
    <row r="1812" spans="1:4" x14ac:dyDescent="0.2">
      <c r="A1812" s="5">
        <v>1751</v>
      </c>
      <c r="B1812" s="1821">
        <f>'Tax Sched 23'!E8</f>
        <v>108837</v>
      </c>
      <c r="D1812" s="2" t="str">
        <f t="shared" si="27"/>
        <v>Error?</v>
      </c>
    </row>
    <row r="1813" spans="1:4" x14ac:dyDescent="0.2">
      <c r="A1813" s="5">
        <v>1752</v>
      </c>
      <c r="B1813" s="1821">
        <f>'Tax Sched 23'!E10</f>
        <v>176495</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127471</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11179254</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2350000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114564</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114564</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114564</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81500</v>
      </c>
      <c r="D2008" s="2" t="str">
        <f t="shared" si="30"/>
        <v>Error?</v>
      </c>
    </row>
    <row r="2009" spans="1:4" x14ac:dyDescent="0.2">
      <c r="A2009" s="5">
        <v>1948</v>
      </c>
      <c r="B2009" s="1821">
        <f>'Cap Outlay Deprec 26'!C8</f>
        <v>25403896</v>
      </c>
      <c r="D2009" s="2" t="str">
        <f t="shared" si="30"/>
        <v>Error?</v>
      </c>
    </row>
    <row r="2010" spans="1:4" x14ac:dyDescent="0.2">
      <c r="A2010" s="5">
        <v>1949</v>
      </c>
      <c r="B2010" s="1821">
        <f>'Cap Outlay Deprec 26'!C10</f>
        <v>1548856</v>
      </c>
      <c r="D2010" s="2" t="str">
        <f t="shared" si="30"/>
        <v>Error?</v>
      </c>
    </row>
    <row r="2011" spans="1:4" x14ac:dyDescent="0.2">
      <c r="A2011" s="5">
        <v>1950</v>
      </c>
      <c r="B2011" s="1821">
        <f>'Cap Outlay Deprec 26'!C12</f>
        <v>5166848</v>
      </c>
      <c r="D2011" s="2" t="str">
        <f t="shared" si="30"/>
        <v>Error?</v>
      </c>
    </row>
    <row r="2012" spans="1:4" x14ac:dyDescent="0.2">
      <c r="A2012" s="5">
        <v>1951</v>
      </c>
      <c r="B2012" s="1821">
        <f>'Cap Outlay Deprec 26'!C13</f>
        <v>181510</v>
      </c>
      <c r="D2012" s="2" t="str">
        <f t="shared" si="30"/>
        <v>Error?</v>
      </c>
    </row>
    <row r="2013" spans="1:4" x14ac:dyDescent="0.2">
      <c r="A2013" s="5">
        <v>1952</v>
      </c>
      <c r="B2013" s="1821">
        <f>'Cap Outlay Deprec 26'!C16</f>
        <v>32433918</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95590</v>
      </c>
      <c r="D2015" s="2" t="str">
        <f t="shared" si="30"/>
        <v>Error?</v>
      </c>
    </row>
    <row r="2016" spans="1:4" x14ac:dyDescent="0.2">
      <c r="A2016" s="5">
        <v>1955</v>
      </c>
      <c r="B2016" s="1821">
        <f>'Cap Outlay Deprec 26'!D10</f>
        <v>11500</v>
      </c>
      <c r="D2016" s="2" t="str">
        <f t="shared" si="30"/>
        <v>Error?</v>
      </c>
    </row>
    <row r="2017" spans="1:4" x14ac:dyDescent="0.2">
      <c r="A2017" s="5">
        <v>1956</v>
      </c>
      <c r="B2017" s="1821">
        <f>'Cap Outlay Deprec 26'!D12</f>
        <v>95127</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202217</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51308</v>
      </c>
      <c r="C2025" s="2" t="s">
        <v>569</v>
      </c>
      <c r="D2025" s="2" t="str">
        <f t="shared" si="30"/>
        <v>Error?</v>
      </c>
    </row>
    <row r="2026" spans="1:4" x14ac:dyDescent="0.2">
      <c r="A2026" s="5">
        <v>1965</v>
      </c>
      <c r="B2026" s="1821">
        <f>'Cap Outlay Deprec 26'!F5</f>
        <v>81500</v>
      </c>
      <c r="C2026" s="2" t="s">
        <v>569</v>
      </c>
      <c r="D2026" s="2" t="str">
        <f t="shared" si="30"/>
        <v>Error?</v>
      </c>
    </row>
    <row r="2027" spans="1:4" x14ac:dyDescent="0.2">
      <c r="A2027" s="5">
        <v>1966</v>
      </c>
      <c r="B2027" s="1821">
        <f>'Cap Outlay Deprec 26'!F8</f>
        <v>25499486</v>
      </c>
      <c r="C2027" s="2" t="s">
        <v>569</v>
      </c>
      <c r="D2027" s="2" t="str">
        <f t="shared" si="30"/>
        <v>Error?</v>
      </c>
    </row>
    <row r="2028" spans="1:4" x14ac:dyDescent="0.2">
      <c r="A2028" s="5">
        <v>1967</v>
      </c>
      <c r="B2028" s="1821">
        <f>'Cap Outlay Deprec 26'!F10</f>
        <v>1560356</v>
      </c>
      <c r="C2028" s="2" t="s">
        <v>569</v>
      </c>
      <c r="D2028" s="2" t="str">
        <f t="shared" si="30"/>
        <v>Error?</v>
      </c>
    </row>
    <row r="2029" spans="1:4" x14ac:dyDescent="0.2">
      <c r="A2029" s="5">
        <v>1968</v>
      </c>
      <c r="B2029" s="1821">
        <f>'Cap Outlay Deprec 26'!F12</f>
        <v>5261975</v>
      </c>
      <c r="C2029" s="2" t="s">
        <v>569</v>
      </c>
      <c r="D2029" s="2" t="str">
        <f t="shared" si="30"/>
        <v>Error?</v>
      </c>
    </row>
    <row r="2030" spans="1:4" x14ac:dyDescent="0.2">
      <c r="A2030" s="5">
        <v>1969</v>
      </c>
      <c r="B2030" s="1821">
        <f>'Cap Outlay Deprec 26'!F13</f>
        <v>181510</v>
      </c>
      <c r="C2030" s="2" t="s">
        <v>569</v>
      </c>
      <c r="D2030" s="2" t="str">
        <f t="shared" si="30"/>
        <v>Error?</v>
      </c>
    </row>
    <row r="2031" spans="1:4" x14ac:dyDescent="0.2">
      <c r="A2031" s="5">
        <v>1970</v>
      </c>
      <c r="B2031" s="1821">
        <f>'Cap Outlay Deprec 26'!F16</f>
        <v>32584827</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7713388</v>
      </c>
      <c r="D2033" s="2" t="str">
        <f t="shared" si="30"/>
        <v>Error?</v>
      </c>
    </row>
    <row r="2034" spans="1:4" x14ac:dyDescent="0.2">
      <c r="A2034" s="5">
        <v>1973</v>
      </c>
      <c r="B2034" s="1821">
        <f>'Cap Outlay Deprec 26'!H10</f>
        <v>903067</v>
      </c>
      <c r="D2034" s="2" t="str">
        <f t="shared" si="30"/>
        <v>Error?</v>
      </c>
    </row>
    <row r="2035" spans="1:4" x14ac:dyDescent="0.2">
      <c r="A2035" s="5">
        <v>1974</v>
      </c>
      <c r="B2035" s="1821">
        <f>'Cap Outlay Deprec 26'!H12</f>
        <v>4648499</v>
      </c>
      <c r="D2035" s="2" t="str">
        <f t="shared" si="30"/>
        <v>Error?</v>
      </c>
    </row>
    <row r="2036" spans="1:4" x14ac:dyDescent="0.2">
      <c r="A2036" s="5">
        <v>1975</v>
      </c>
      <c r="B2036" s="1821">
        <f>'Cap Outlay Deprec 26'!H13</f>
        <v>147489</v>
      </c>
      <c r="D2036" s="2" t="str">
        <f t="shared" si="30"/>
        <v>Error?</v>
      </c>
    </row>
    <row r="2037" spans="1:4" x14ac:dyDescent="0.2">
      <c r="A2037" s="5">
        <v>1976</v>
      </c>
      <c r="B2037" s="1821">
        <f>'Cap Outlay Deprec 26'!H16</f>
        <v>13412443</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511166</v>
      </c>
      <c r="D2039" s="2" t="str">
        <f t="shared" si="30"/>
        <v>Error?</v>
      </c>
    </row>
    <row r="2040" spans="1:4" x14ac:dyDescent="0.2">
      <c r="A2040" s="5">
        <v>1979</v>
      </c>
      <c r="B2040" s="1821">
        <f>'Cap Outlay Deprec 26'!I10</f>
        <v>86321</v>
      </c>
      <c r="D2040" s="2" t="str">
        <f t="shared" si="30"/>
        <v>Error?</v>
      </c>
    </row>
    <row r="2041" spans="1:4" x14ac:dyDescent="0.2">
      <c r="A2041" s="5">
        <v>1980</v>
      </c>
      <c r="B2041" s="1821">
        <f>'Cap Outlay Deprec 26'!I12</f>
        <v>152489</v>
      </c>
      <c r="D2041" s="2" t="str">
        <f t="shared" si="30"/>
        <v>Error?</v>
      </c>
    </row>
    <row r="2042" spans="1:4" x14ac:dyDescent="0.2">
      <c r="A2042" s="5">
        <v>1981</v>
      </c>
      <c r="B2042" s="1821">
        <f>'Cap Outlay Deprec 26'!I13</f>
        <v>20564</v>
      </c>
      <c r="D2042" s="2" t="str">
        <f t="shared" si="30"/>
        <v>Error?</v>
      </c>
    </row>
    <row r="2043" spans="1:4" x14ac:dyDescent="0.2">
      <c r="A2043" s="5">
        <v>1982</v>
      </c>
      <c r="B2043" s="1821">
        <f>'Cap Outlay Deprec 26'!I16</f>
        <v>770540</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8224554</v>
      </c>
      <c r="C2051" s="2" t="s">
        <v>569</v>
      </c>
      <c r="D2051" s="2" t="str">
        <f t="shared" si="31"/>
        <v>Error?</v>
      </c>
    </row>
    <row r="2052" spans="1:4" x14ac:dyDescent="0.2">
      <c r="A2052" s="5">
        <v>1991</v>
      </c>
      <c r="B2052" s="1821">
        <f>'Cap Outlay Deprec 26'!K10</f>
        <v>989388</v>
      </c>
      <c r="C2052" s="2" t="s">
        <v>569</v>
      </c>
      <c r="D2052" s="2" t="str">
        <f t="shared" si="31"/>
        <v>Error?</v>
      </c>
    </row>
    <row r="2053" spans="1:4" x14ac:dyDescent="0.2">
      <c r="A2053" s="5">
        <v>1992</v>
      </c>
      <c r="B2053" s="1821">
        <f>'Cap Outlay Deprec 26'!K12</f>
        <v>4800988</v>
      </c>
      <c r="C2053" s="2" t="s">
        <v>569</v>
      </c>
      <c r="D2053" s="2" t="str">
        <f t="shared" si="31"/>
        <v>Error?</v>
      </c>
    </row>
    <row r="2054" spans="1:4" x14ac:dyDescent="0.2">
      <c r="A2054" s="5">
        <v>1993</v>
      </c>
      <c r="B2054" s="1821">
        <f>'Cap Outlay Deprec 26'!K13</f>
        <v>168053</v>
      </c>
      <c r="C2054" s="2" t="s">
        <v>569</v>
      </c>
      <c r="D2054" s="2" t="str">
        <f t="shared" si="31"/>
        <v>Error?</v>
      </c>
    </row>
    <row r="2055" spans="1:4" x14ac:dyDescent="0.2">
      <c r="A2055" s="5">
        <v>1994</v>
      </c>
      <c r="B2055" s="1821">
        <f>'Cap Outlay Deprec 26'!K16</f>
        <v>14182983</v>
      </c>
      <c r="C2055" s="2" t="s">
        <v>569</v>
      </c>
      <c r="D2055" s="2" t="str">
        <f t="shared" si="31"/>
        <v>Error?</v>
      </c>
    </row>
    <row r="2056" spans="1:4" x14ac:dyDescent="0.2">
      <c r="A2056" s="5">
        <v>1995</v>
      </c>
      <c r="B2056" s="1821">
        <f>'Cap Outlay Deprec 26'!L5</f>
        <v>81500</v>
      </c>
      <c r="C2056" s="2" t="s">
        <v>569</v>
      </c>
      <c r="D2056" s="2" t="str">
        <f t="shared" si="31"/>
        <v>Error?</v>
      </c>
    </row>
    <row r="2057" spans="1:4" x14ac:dyDescent="0.2">
      <c r="A2057" s="5">
        <v>1996</v>
      </c>
      <c r="B2057" s="1821">
        <f>'Cap Outlay Deprec 26'!L8</f>
        <v>17274932</v>
      </c>
      <c r="C2057" s="2" t="s">
        <v>569</v>
      </c>
      <c r="D2057" s="2" t="str">
        <f t="shared" si="31"/>
        <v>Error?</v>
      </c>
    </row>
    <row r="2058" spans="1:4" x14ac:dyDescent="0.2">
      <c r="A2058" s="5">
        <v>1997</v>
      </c>
      <c r="B2058" s="1821">
        <f>'Cap Outlay Deprec 26'!L10</f>
        <v>570968</v>
      </c>
      <c r="C2058" s="2" t="s">
        <v>569</v>
      </c>
      <c r="D2058" s="2" t="str">
        <f t="shared" si="31"/>
        <v>Error?</v>
      </c>
    </row>
    <row r="2059" spans="1:4" x14ac:dyDescent="0.2">
      <c r="A2059" s="5">
        <v>1998</v>
      </c>
      <c r="B2059" s="1821">
        <f>'Cap Outlay Deprec 26'!L12</f>
        <v>460987</v>
      </c>
      <c r="C2059" s="2" t="s">
        <v>569</v>
      </c>
      <c r="D2059" s="2" t="str">
        <f t="shared" si="31"/>
        <v>Error?</v>
      </c>
    </row>
    <row r="2060" spans="1:4" x14ac:dyDescent="0.2">
      <c r="A2060" s="5">
        <v>1999</v>
      </c>
      <c r="B2060" s="1821">
        <f>'Cap Outlay Deprec 26'!L13</f>
        <v>13457</v>
      </c>
      <c r="C2060" s="2" t="s">
        <v>569</v>
      </c>
      <c r="D2060" s="2" t="str">
        <f t="shared" si="31"/>
        <v>Error?</v>
      </c>
    </row>
    <row r="2061" spans="1:4" x14ac:dyDescent="0.2">
      <c r="A2061" s="5">
        <v>2000</v>
      </c>
      <c r="B2061" s="1821">
        <f>'Cap Outlay Deprec 26'!L16</f>
        <v>18401844</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136014</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136014</v>
      </c>
      <c r="C2088" s="2" t="s">
        <v>569</v>
      </c>
      <c r="D2088" s="2" t="str">
        <f t="shared" si="31"/>
        <v>Error?</v>
      </c>
    </row>
    <row r="2089" spans="1:4" x14ac:dyDescent="0.2">
      <c r="A2089" s="5">
        <v>2028</v>
      </c>
      <c r="B2089" s="1821">
        <f>'Expenditures 15-22'!K92</f>
        <v>128496</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8084371</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1177618</v>
      </c>
      <c r="C2553" s="2" t="s">
        <v>569</v>
      </c>
      <c r="D2553" s="2" t="str">
        <f t="shared" si="38"/>
        <v>Error?</v>
      </c>
    </row>
    <row r="2554" spans="1:4" x14ac:dyDescent="0.2">
      <c r="A2554" s="5">
        <v>2493</v>
      </c>
      <c r="B2554" s="1821">
        <f>'Acct Summary 7-8'!C7</f>
        <v>157496</v>
      </c>
      <c r="C2554" s="2" t="s">
        <v>569</v>
      </c>
      <c r="D2554" s="2" t="str">
        <f t="shared" si="38"/>
        <v>Error?</v>
      </c>
    </row>
    <row r="2555" spans="1:4" x14ac:dyDescent="0.2">
      <c r="A2555" s="5">
        <v>2494</v>
      </c>
      <c r="B2555" s="1821">
        <f>'Acct Summary 7-8'!C8</f>
        <v>9419485</v>
      </c>
      <c r="C2555" s="2" t="s">
        <v>569</v>
      </c>
      <c r="D2555" s="2" t="str">
        <f t="shared" si="38"/>
        <v>Error?</v>
      </c>
    </row>
    <row r="2556" spans="1:4" x14ac:dyDescent="0.2">
      <c r="A2556" s="5">
        <v>2495</v>
      </c>
      <c r="B2556" s="1821">
        <f>'Acct Summary 7-8'!C12</f>
        <v>5589241</v>
      </c>
      <c r="C2556" s="2" t="s">
        <v>569</v>
      </c>
      <c r="D2556" s="2" t="str">
        <f t="shared" si="38"/>
        <v>Error?</v>
      </c>
    </row>
    <row r="2557" spans="1:4" x14ac:dyDescent="0.2">
      <c r="A2557" s="5">
        <v>2496</v>
      </c>
      <c r="B2557" s="1821">
        <f>'Acct Summary 7-8'!C13</f>
        <v>2686214</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264510</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8539965</v>
      </c>
      <c r="C2561" s="2" t="s">
        <v>569</v>
      </c>
      <c r="D2561" s="2" t="str">
        <f t="shared" si="39"/>
        <v>Error?</v>
      </c>
    </row>
    <row r="2562" spans="1:4" x14ac:dyDescent="0.2">
      <c r="A2562" s="5">
        <v>2501</v>
      </c>
      <c r="B2562" s="1821">
        <f>'Acct Summary 7-8'!C20</f>
        <v>879520</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1634505</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1634505</v>
      </c>
      <c r="C2568" s="2" t="s">
        <v>569</v>
      </c>
      <c r="D2568" s="2" t="str">
        <f t="shared" si="39"/>
        <v>Error?</v>
      </c>
    </row>
    <row r="2569" spans="1:4" x14ac:dyDescent="0.2">
      <c r="A2569" s="5">
        <v>2508</v>
      </c>
      <c r="B2569" s="1821">
        <f>'Acct Summary 7-8'!D13</f>
        <v>1092991</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1092991</v>
      </c>
      <c r="C2573" s="2" t="s">
        <v>569</v>
      </c>
      <c r="D2573" s="2" t="str">
        <f t="shared" si="39"/>
        <v>Error?</v>
      </c>
    </row>
    <row r="2574" spans="1:4" x14ac:dyDescent="0.2">
      <c r="A2574" s="5">
        <v>2513</v>
      </c>
      <c r="B2574" s="1821">
        <f>'Acct Summary 7-8'!D20</f>
        <v>541514</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1018282</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1047561</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2065843</v>
      </c>
      <c r="C2595" s="2" t="s">
        <v>569</v>
      </c>
      <c r="D2595" s="2" t="str">
        <f t="shared" si="39"/>
        <v>Error?</v>
      </c>
    </row>
    <row r="2596" spans="1:4" x14ac:dyDescent="0.2">
      <c r="A2596" s="5">
        <v>2535</v>
      </c>
      <c r="B2596" s="1821">
        <f>'Acct Summary 7-8'!F13</f>
        <v>1230595</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1230595</v>
      </c>
      <c r="C2600" s="2" t="s">
        <v>569</v>
      </c>
      <c r="D2600" s="2" t="str">
        <f t="shared" si="39"/>
        <v>Error?</v>
      </c>
    </row>
    <row r="2601" spans="1:4" x14ac:dyDescent="0.2">
      <c r="A2601" s="5">
        <v>2540</v>
      </c>
      <c r="B2601" s="1821">
        <f>'Acct Summary 7-8'!F20</f>
        <v>835248</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354920</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354920</v>
      </c>
      <c r="C2606" s="2" t="s">
        <v>569</v>
      </c>
      <c r="D2606" s="2" t="str">
        <f t="shared" si="39"/>
        <v>Error?</v>
      </c>
    </row>
    <row r="2607" spans="1:4" x14ac:dyDescent="0.2">
      <c r="A2607" s="5">
        <v>2546</v>
      </c>
      <c r="B2607" s="1821">
        <f>'Acct Summary 7-8'!G12</f>
        <v>110214</v>
      </c>
      <c r="C2607" s="2" t="s">
        <v>569</v>
      </c>
      <c r="D2607" s="2" t="str">
        <f t="shared" si="39"/>
        <v>Error?</v>
      </c>
    </row>
    <row r="2608" spans="1:4" x14ac:dyDescent="0.2">
      <c r="A2608" s="5">
        <v>2547</v>
      </c>
      <c r="B2608" s="1821">
        <f>'Acct Summary 7-8'!G13</f>
        <v>247520</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357734</v>
      </c>
      <c r="C2612" s="2" t="s">
        <v>569</v>
      </c>
      <c r="D2612" s="2" t="str">
        <f t="shared" si="39"/>
        <v>Error?</v>
      </c>
    </row>
    <row r="2613" spans="1:4" x14ac:dyDescent="0.2">
      <c r="A2613" s="5">
        <v>2552</v>
      </c>
      <c r="B2613" s="1821">
        <f>'Acct Summary 7-8'!G20</f>
        <v>-2814</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1153880</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1153880</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1701060</v>
      </c>
      <c r="C2634" s="2" t="s">
        <v>569</v>
      </c>
      <c r="D2634" s="2" t="str">
        <f t="shared" si="40"/>
        <v>Error?</v>
      </c>
    </row>
    <row r="2635" spans="1:4" x14ac:dyDescent="0.2">
      <c r="A2635" s="5">
        <v>2574</v>
      </c>
      <c r="B2635" s="1821">
        <f>'Acct Summary 7-8'!E17</f>
        <v>1701060</v>
      </c>
      <c r="C2635" s="2" t="s">
        <v>569</v>
      </c>
      <c r="D2635" s="2" t="str">
        <f t="shared" si="40"/>
        <v>Error?</v>
      </c>
    </row>
    <row r="2636" spans="1:4" x14ac:dyDescent="0.2">
      <c r="A2636" s="5">
        <v>2575</v>
      </c>
      <c r="B2636" s="1821">
        <f>'Acct Summary 7-8'!E20</f>
        <v>-547180</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8024</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8024</v>
      </c>
      <c r="C2658" s="2" t="s">
        <v>569</v>
      </c>
      <c r="D2658" s="2" t="str">
        <f t="shared" si="40"/>
        <v>Error?</v>
      </c>
    </row>
    <row r="2659" spans="1:4" x14ac:dyDescent="0.2">
      <c r="A2659" s="5">
        <v>2598</v>
      </c>
      <c r="B2659" s="1821">
        <f>'Acct Summary 7-8'!H13</f>
        <v>0</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0</v>
      </c>
      <c r="C2661" s="2" t="s">
        <v>569</v>
      </c>
      <c r="D2661" s="2" t="str">
        <f t="shared" si="40"/>
        <v>Error?</v>
      </c>
    </row>
    <row r="2662" spans="1:4" x14ac:dyDescent="0.2">
      <c r="A2662" s="5">
        <v>2601</v>
      </c>
      <c r="B2662" s="1821">
        <f>'Acct Summary 7-8'!H20</f>
        <v>8024</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0</v>
      </c>
      <c r="C2789" s="2" t="s">
        <v>569</v>
      </c>
      <c r="D2789" s="2" t="str">
        <f t="shared" si="42"/>
        <v>Error?</v>
      </c>
    </row>
    <row r="2790" spans="1:4" x14ac:dyDescent="0.2">
      <c r="A2790" s="5">
        <v>2729</v>
      </c>
      <c r="B2790" s="1821">
        <f>'Expenditures 15-22'!E102</f>
        <v>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206210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1398748</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95692</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1398748</v>
      </c>
      <c r="D2912" s="2" t="str">
        <f t="shared" si="44"/>
        <v>Error?</v>
      </c>
    </row>
    <row r="2913" spans="1:4" x14ac:dyDescent="0.2">
      <c r="A2913" s="5">
        <v>2852</v>
      </c>
      <c r="B2913" s="1821">
        <f>'Assets-Liab 5-6'!I41</f>
        <v>1398748</v>
      </c>
      <c r="C2913" s="2" t="s">
        <v>569</v>
      </c>
      <c r="D2913" s="2" t="str">
        <f t="shared" si="44"/>
        <v>Error?</v>
      </c>
    </row>
    <row r="2914" spans="1:4" x14ac:dyDescent="0.2">
      <c r="A2914" s="5">
        <v>2853</v>
      </c>
      <c r="B2914" s="1821">
        <f>'Assets-Liab 5-6'!L33</f>
        <v>95692</v>
      </c>
      <c r="D2914" s="2" t="str">
        <f t="shared" si="44"/>
        <v>Error?</v>
      </c>
    </row>
    <row r="2915" spans="1:4" x14ac:dyDescent="0.2">
      <c r="A2915" s="10">
        <v>2854</v>
      </c>
      <c r="B2915" s="1821"/>
      <c r="D2915" s="2" t="str">
        <f t="shared" si="44"/>
        <v>OK</v>
      </c>
    </row>
    <row r="2916" spans="1:4" x14ac:dyDescent="0.2">
      <c r="A2916" s="5">
        <v>2855</v>
      </c>
      <c r="B2916" s="1821">
        <f>'Assets-Liab 5-6'!L34</f>
        <v>95692</v>
      </c>
      <c r="C2916" s="2" t="s">
        <v>569</v>
      </c>
      <c r="D2916" s="2" t="str">
        <f t="shared" si="44"/>
        <v>Error?</v>
      </c>
    </row>
    <row r="2917" spans="1:4" x14ac:dyDescent="0.2">
      <c r="A2917" s="5">
        <v>2856</v>
      </c>
      <c r="B2917" s="1821">
        <f>'Assets-Liab 5-6'!L41</f>
        <v>95692</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135040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974</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135040</v>
      </c>
      <c r="C2973" s="2" t="s">
        <v>569</v>
      </c>
      <c r="D2973" s="2" t="str">
        <f t="shared" si="45"/>
        <v>Error?</v>
      </c>
    </row>
    <row r="2974" spans="1:4" x14ac:dyDescent="0.2">
      <c r="A2974" s="5">
        <v>2913</v>
      </c>
      <c r="B2974" s="1821">
        <f>'Expenditures 15-22'!K79</f>
        <v>0</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974</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172153</v>
      </c>
      <c r="C3225" s="2" t="s">
        <v>569</v>
      </c>
      <c r="D3225" s="2" t="str">
        <f t="shared" si="49"/>
        <v>Error?</v>
      </c>
    </row>
    <row r="3226" spans="1:4" x14ac:dyDescent="0.2">
      <c r="A3226" s="5">
        <v>3165</v>
      </c>
      <c r="B3226" s="1821">
        <f>'Acct Summary 7-8'!I8</f>
        <v>172153</v>
      </c>
      <c r="C3226" s="2" t="s">
        <v>569</v>
      </c>
      <c r="D3226" s="2" t="str">
        <f t="shared" si="49"/>
        <v>Error?</v>
      </c>
    </row>
    <row r="3227" spans="1:4" x14ac:dyDescent="0.2">
      <c r="A3227" s="5">
        <v>3166</v>
      </c>
      <c r="B3227" s="1821">
        <f>'Acct Summary 7-8'!I20</f>
        <v>172153</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0</v>
      </c>
      <c r="C3231" s="2" t="s">
        <v>569</v>
      </c>
      <c r="D3231" s="2" t="str">
        <f t="shared" si="49"/>
        <v>Error?</v>
      </c>
    </row>
    <row r="3232" spans="1:4" x14ac:dyDescent="0.2">
      <c r="A3232" s="5">
        <v>3171</v>
      </c>
      <c r="B3232" s="1821">
        <f>'Acct Summary 7-8'!C77</f>
        <v>0</v>
      </c>
      <c r="C3232" s="2" t="s">
        <v>569</v>
      </c>
      <c r="D3232" s="2" t="str">
        <f t="shared" si="49"/>
        <v>Error?</v>
      </c>
    </row>
    <row r="3233" spans="1:4" x14ac:dyDescent="0.2">
      <c r="A3233" s="5">
        <v>3172</v>
      </c>
      <c r="B3233" s="1821">
        <f>'Acct Summary 7-8'!C78</f>
        <v>879520</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525000</v>
      </c>
      <c r="D3236" s="2" t="str">
        <f t="shared" si="49"/>
        <v>Error?</v>
      </c>
    </row>
    <row r="3237" spans="1:4" x14ac:dyDescent="0.2">
      <c r="A3237" s="5">
        <v>3176</v>
      </c>
      <c r="B3237" s="1821">
        <f>'Acct Summary 7-8'!D76</f>
        <v>525000</v>
      </c>
      <c r="C3237" s="2" t="s">
        <v>569</v>
      </c>
      <c r="D3237" s="2" t="str">
        <f t="shared" si="49"/>
        <v>Error?</v>
      </c>
    </row>
    <row r="3238" spans="1:4" x14ac:dyDescent="0.2">
      <c r="A3238" s="5">
        <v>3177</v>
      </c>
      <c r="B3238" s="1821">
        <f>'Acct Summary 7-8'!D77</f>
        <v>-525000</v>
      </c>
      <c r="C3238" s="2" t="s">
        <v>569</v>
      </c>
      <c r="D3238" s="2" t="str">
        <f t="shared" si="49"/>
        <v>Error?</v>
      </c>
    </row>
    <row r="3239" spans="1:4" x14ac:dyDescent="0.2">
      <c r="A3239" s="5">
        <v>3178</v>
      </c>
      <c r="B3239" s="1821">
        <f>'Acct Summary 7-8'!D78</f>
        <v>16514</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835248</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-2814</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525000</v>
      </c>
      <c r="D3273" s="2" t="str">
        <f t="shared" si="50"/>
        <v>Error?</v>
      </c>
    </row>
    <row r="3274" spans="1:4" x14ac:dyDescent="0.2">
      <c r="A3274" s="5">
        <v>3213</v>
      </c>
      <c r="B3274" s="1821">
        <f>'Acct Summary 7-8'!E44</f>
        <v>525000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525000</v>
      </c>
      <c r="C3277" s="2" t="s">
        <v>569</v>
      </c>
      <c r="D3277" s="2" t="str">
        <f t="shared" si="50"/>
        <v>Error?</v>
      </c>
    </row>
    <row r="3278" spans="1:4" x14ac:dyDescent="0.2">
      <c r="A3278" s="5">
        <v>3217</v>
      </c>
      <c r="B3278" s="1821">
        <f>'Acct Summary 7-8'!E78</f>
        <v>-22180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8024</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172153</v>
      </c>
      <c r="C3320" s="2" t="s">
        <v>569</v>
      </c>
      <c r="D3320" s="2" t="str">
        <f t="shared" si="50"/>
        <v>Error?</v>
      </c>
    </row>
    <row r="3321" spans="1:4" x14ac:dyDescent="0.2">
      <c r="A3321" s="5">
        <v>3260</v>
      </c>
      <c r="B3321" s="1821">
        <f>'Acct Summary 7-8'!I79</f>
        <v>1226595</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1398748</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689819</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158724</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106165</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9229</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7024</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2865</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973826</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42902</v>
      </c>
      <c r="D3387" s="2" t="str">
        <f t="shared" si="51"/>
        <v>Error?</v>
      </c>
    </row>
    <row r="3388" spans="1:4" x14ac:dyDescent="0.2">
      <c r="A3388" s="5">
        <v>3327</v>
      </c>
      <c r="B3388" s="1821">
        <f>'Expenditures 15-22'!D217</f>
        <v>42438</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42902</v>
      </c>
      <c r="C3390" s="2" t="s">
        <v>569</v>
      </c>
      <c r="D3390" s="2" t="str">
        <f t="shared" si="51"/>
        <v>Error?</v>
      </c>
    </row>
    <row r="3391" spans="1:4" x14ac:dyDescent="0.2">
      <c r="A3391" s="5">
        <v>3330</v>
      </c>
      <c r="B3391" s="1821">
        <f>'Expenditures 15-22'!K217</f>
        <v>42438</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13600902</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1506666</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19567</v>
      </c>
      <c r="D3417" s="2" t="str">
        <f t="shared" si="52"/>
        <v>Error?</v>
      </c>
    </row>
    <row r="3418" spans="1:4" x14ac:dyDescent="0.2">
      <c r="A3418" s="10">
        <v>3357</v>
      </c>
      <c r="B3418" s="1821"/>
      <c r="D3418" s="2" t="str">
        <f t="shared" si="52"/>
        <v>OK</v>
      </c>
    </row>
    <row r="3419" spans="1:4" x14ac:dyDescent="0.2">
      <c r="A3419" s="5">
        <v>3358</v>
      </c>
      <c r="B3419" s="1821">
        <f>'Assets-Liab 5-6'!F4</f>
        <v>838383</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558772</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173743</v>
      </c>
      <c r="D3425" s="2" t="str">
        <f t="shared" si="52"/>
        <v>Error?</v>
      </c>
    </row>
    <row r="3426" spans="1:4" x14ac:dyDescent="0.2">
      <c r="A3426" s="10">
        <v>3365</v>
      </c>
      <c r="B3426" s="1821"/>
      <c r="D3426" s="2" t="str">
        <f t="shared" si="52"/>
        <v>OK</v>
      </c>
    </row>
    <row r="3427" spans="1:4" x14ac:dyDescent="0.2">
      <c r="A3427" s="5">
        <v>3366</v>
      </c>
      <c r="B3427" s="1821">
        <f>'Assets-Liab 5-6'!I4</f>
        <v>1192538</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95692</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98080</v>
      </c>
      <c r="C3446" s="2" t="s">
        <v>569</v>
      </c>
      <c r="D3446" s="2" t="str">
        <f t="shared" si="52"/>
        <v>Error?</v>
      </c>
    </row>
    <row r="3447" spans="1:4" x14ac:dyDescent="0.2">
      <c r="A3447" s="5">
        <v>3386</v>
      </c>
      <c r="B3447" s="1821">
        <f>'Tax Sched 23'!D16</f>
        <v>46557</v>
      </c>
      <c r="C3447" s="2" t="s">
        <v>569</v>
      </c>
      <c r="D3447" s="2" t="str">
        <f t="shared" si="52"/>
        <v>Error?</v>
      </c>
    </row>
    <row r="3448" spans="1:4" x14ac:dyDescent="0.2">
      <c r="A3448" s="5">
        <v>3387</v>
      </c>
      <c r="B3448" s="1821">
        <f>'Tax Sched 23'!C16</f>
        <v>51523</v>
      </c>
      <c r="D3448" s="2" t="str">
        <f t="shared" si="52"/>
        <v>Error?</v>
      </c>
    </row>
    <row r="3449" spans="1:4" x14ac:dyDescent="0.2">
      <c r="A3449" s="5">
        <v>3388</v>
      </c>
      <c r="B3449" s="1821">
        <f>'Tax Sched 23'!F16</f>
        <v>57314</v>
      </c>
      <c r="C3449" s="2" t="s">
        <v>569</v>
      </c>
      <c r="D3449" s="2" t="str">
        <f t="shared" si="52"/>
        <v>Error?</v>
      </c>
    </row>
    <row r="3450" spans="1:4" x14ac:dyDescent="0.2">
      <c r="A3450" s="5">
        <v>3389</v>
      </c>
      <c r="B3450" s="1821">
        <f>'Tax Sched 23'!E16</f>
        <v>108837</v>
      </c>
      <c r="D3450" s="2" t="str">
        <f t="shared" si="52"/>
        <v>Error?</v>
      </c>
    </row>
    <row r="3451" spans="1:4" x14ac:dyDescent="0.2">
      <c r="A3451" s="5">
        <v>3390</v>
      </c>
      <c r="B3451" s="1821">
        <f>'Cap Outlay Deprec 26'!C15</f>
        <v>51308</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51308</v>
      </c>
      <c r="D3453" s="2" t="str">
        <f t="shared" si="52"/>
        <v>Error?</v>
      </c>
    </row>
    <row r="3454" spans="1:4" x14ac:dyDescent="0.2">
      <c r="A3454" s="5">
        <v>3393</v>
      </c>
      <c r="B3454" s="1821">
        <f>'Cap Outlay Deprec 26'!F15</f>
        <v>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3920961</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13340446</v>
      </c>
      <c r="C4122" s="2" t="s">
        <v>569</v>
      </c>
      <c r="D4122" s="2" t="str">
        <f t="shared" si="63"/>
        <v>Error?</v>
      </c>
    </row>
    <row r="4123" spans="1:4" x14ac:dyDescent="0.2">
      <c r="A4123" s="5">
        <v>4062</v>
      </c>
      <c r="B4123" s="1821">
        <f>'Acct Summary 7-8'!D10</f>
        <v>1634505</v>
      </c>
      <c r="C4123" s="2" t="s">
        <v>569</v>
      </c>
      <c r="D4123" s="2" t="str">
        <f t="shared" si="63"/>
        <v>Error?</v>
      </c>
    </row>
    <row r="4124" spans="1:4" x14ac:dyDescent="0.2">
      <c r="A4124" s="5">
        <v>4063</v>
      </c>
      <c r="B4124" s="1821">
        <f>'Acct Summary 7-8'!E10</f>
        <v>1153880</v>
      </c>
      <c r="C4124" s="2" t="s">
        <v>569</v>
      </c>
      <c r="D4124" s="2" t="str">
        <f t="shared" si="63"/>
        <v>Error?</v>
      </c>
    </row>
    <row r="4125" spans="1:4" x14ac:dyDescent="0.2">
      <c r="A4125" s="5">
        <v>4064</v>
      </c>
      <c r="B4125" s="1821">
        <f>'Acct Summary 7-8'!F10</f>
        <v>2065843</v>
      </c>
      <c r="C4125" s="2" t="s">
        <v>569</v>
      </c>
      <c r="D4125" s="2" t="str">
        <f t="shared" si="63"/>
        <v>Error?</v>
      </c>
    </row>
    <row r="4126" spans="1:4" x14ac:dyDescent="0.2">
      <c r="A4126" s="5">
        <v>4065</v>
      </c>
      <c r="B4126" s="1821">
        <f>'Acct Summary 7-8'!G10</f>
        <v>354920</v>
      </c>
      <c r="C4126" s="2" t="s">
        <v>569</v>
      </c>
      <c r="D4126" s="2" t="str">
        <f t="shared" si="63"/>
        <v>Error?</v>
      </c>
    </row>
    <row r="4127" spans="1:4" x14ac:dyDescent="0.2">
      <c r="A4127" s="5">
        <v>4066</v>
      </c>
      <c r="B4127" s="1821">
        <f>'Acct Summary 7-8'!H10</f>
        <v>8024</v>
      </c>
      <c r="C4127" s="2" t="s">
        <v>569</v>
      </c>
      <c r="D4127" s="2" t="str">
        <f t="shared" si="63"/>
        <v>Error?</v>
      </c>
    </row>
    <row r="4128" spans="1:4" x14ac:dyDescent="0.2">
      <c r="A4128" s="5">
        <v>4067</v>
      </c>
      <c r="B4128" s="1821">
        <f>'Acct Summary 7-8'!I10</f>
        <v>172153</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3920961</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12460926</v>
      </c>
      <c r="C4136" s="2" t="s">
        <v>569</v>
      </c>
      <c r="D4136" s="2" t="str">
        <f t="shared" si="63"/>
        <v>Error?</v>
      </c>
    </row>
    <row r="4137" spans="1:4" x14ac:dyDescent="0.2">
      <c r="A4137" s="5">
        <v>4076</v>
      </c>
      <c r="B4137" s="1821">
        <f>'Acct Summary 7-8'!D19</f>
        <v>1092991</v>
      </c>
      <c r="C4137" s="2" t="s">
        <v>569</v>
      </c>
      <c r="D4137" s="2" t="str">
        <f t="shared" si="63"/>
        <v>Error?</v>
      </c>
    </row>
    <row r="4138" spans="1:4" x14ac:dyDescent="0.2">
      <c r="A4138" s="5">
        <v>4077</v>
      </c>
      <c r="B4138" s="1821">
        <f>'Acct Summary 7-8'!E19</f>
        <v>1701060</v>
      </c>
      <c r="C4138" s="2" t="s">
        <v>569</v>
      </c>
      <c r="D4138" s="2" t="str">
        <f t="shared" si="63"/>
        <v>Error?</v>
      </c>
    </row>
    <row r="4139" spans="1:4" x14ac:dyDescent="0.2">
      <c r="A4139" s="5">
        <v>4078</v>
      </c>
      <c r="B4139" s="1821">
        <f>'Acct Summary 7-8'!F19</f>
        <v>1230595</v>
      </c>
      <c r="C4139" s="2" t="s">
        <v>569</v>
      </c>
      <c r="D4139" s="2" t="str">
        <f t="shared" si="63"/>
        <v>Error?</v>
      </c>
    </row>
    <row r="4140" spans="1:4" x14ac:dyDescent="0.2">
      <c r="A4140" s="5">
        <v>4079</v>
      </c>
      <c r="B4140" s="1821">
        <f>'Acct Summary 7-8'!G19</f>
        <v>357734</v>
      </c>
      <c r="C4140" s="2" t="s">
        <v>569</v>
      </c>
      <c r="D4140" s="2" t="str">
        <f t="shared" si="63"/>
        <v>Error?</v>
      </c>
    </row>
    <row r="4141" spans="1:4" x14ac:dyDescent="0.2">
      <c r="A4141" s="5">
        <v>4080</v>
      </c>
      <c r="B4141" s="1821">
        <f>'Acct Summary 7-8'!H19</f>
        <v>0</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695000</v>
      </c>
      <c r="C4171" s="2" t="s">
        <v>569</v>
      </c>
      <c r="D4171" s="2" t="str">
        <f t="shared" si="64"/>
        <v>Error?</v>
      </c>
    </row>
    <row r="4172" spans="1:4" x14ac:dyDescent="0.2">
      <c r="A4172" s="5">
        <v>4111</v>
      </c>
      <c r="B4172" s="1821">
        <f>'Short-Term Long-Term Debt 24'!J49</f>
        <v>672050</v>
      </c>
      <c r="C4172" s="2" t="s">
        <v>569</v>
      </c>
      <c r="D4172" s="2" t="str">
        <f t="shared" si="64"/>
        <v>Error?</v>
      </c>
    </row>
    <row r="4173" spans="1:4" x14ac:dyDescent="0.2">
      <c r="A4173" s="5">
        <v>4112</v>
      </c>
      <c r="B4173" s="1821">
        <f>'Short-Term Long-Term Debt 24'!H49</f>
        <v>1655000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1997.3000000000002</v>
      </c>
      <c r="C4265" s="2" t="s">
        <v>569</v>
      </c>
      <c r="D4265" s="2" t="str">
        <f t="shared" si="65"/>
        <v>Error?</v>
      </c>
      <c r="E4265" s="125"/>
    </row>
    <row r="4266" spans="1:5" x14ac:dyDescent="0.2">
      <c r="A4266" s="12">
        <v>4205</v>
      </c>
      <c r="B4266" s="1821">
        <f>('FP Info 3'!F10)*100000</f>
        <v>451.1</v>
      </c>
      <c r="C4266" s="2" t="s">
        <v>569</v>
      </c>
      <c r="D4266" s="2" t="str">
        <f t="shared" si="65"/>
        <v>Error?</v>
      </c>
      <c r="E4266" s="125"/>
    </row>
    <row r="4267" spans="1:5" x14ac:dyDescent="0.2">
      <c r="A4267" s="12">
        <v>4206</v>
      </c>
      <c r="B4267" s="1821">
        <f>('FP Info 3'!H10)*100000</f>
        <v>145.69999999999999</v>
      </c>
      <c r="C4267" s="2" t="s">
        <v>569</v>
      </c>
      <c r="D4267" s="2" t="str">
        <f t="shared" si="65"/>
        <v>Error?</v>
      </c>
      <c r="E4267" s="125"/>
    </row>
    <row r="4268" spans="1:5" x14ac:dyDescent="0.2">
      <c r="A4268" s="12">
        <v>4207</v>
      </c>
      <c r="B4268" s="1821">
        <f>('FP Info 3'!J10)*100000</f>
        <v>2594</v>
      </c>
      <c r="C4268" s="2" t="s">
        <v>569</v>
      </c>
      <c r="D4268" s="2" t="str">
        <f t="shared" si="65"/>
        <v>Error?</v>
      </c>
    </row>
    <row r="4269" spans="1:5" x14ac:dyDescent="0.2">
      <c r="A4269" s="12">
        <v>4208</v>
      </c>
      <c r="B4269" s="1821">
        <f>'FP Info 3'!J16</f>
        <v>20099828</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2241</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0</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10000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7878</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46</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750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383659467</v>
      </c>
      <c r="D4995" s="2" t="str">
        <f t="shared" si="77"/>
        <v>Error?</v>
      </c>
    </row>
    <row r="4996" spans="1:4" x14ac:dyDescent="0.2">
      <c r="A4996" s="12">
        <v>4935</v>
      </c>
      <c r="B4996" s="1821">
        <f>'FP Info 3'!H31</f>
        <v>26472503.223000001</v>
      </c>
      <c r="D4996" s="2" t="str">
        <f t="shared" si="77"/>
        <v>Error?</v>
      </c>
    </row>
    <row r="4997" spans="1:4" x14ac:dyDescent="0.2">
      <c r="A4997" s="12">
        <v>4936</v>
      </c>
      <c r="B4997" s="1821">
        <f>'FP Info 3'!H37</f>
        <v>695000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7260093</v>
      </c>
      <c r="D5061" s="2" t="str">
        <f t="shared" si="78"/>
        <v>Error?</v>
      </c>
    </row>
    <row r="5062" spans="1:4" x14ac:dyDescent="0.2">
      <c r="A5062" s="10">
        <v>5001</v>
      </c>
      <c r="B5062" s="1821"/>
      <c r="D5062" s="2" t="str">
        <f t="shared" si="78"/>
        <v>OK</v>
      </c>
    </row>
    <row r="5063" spans="1:4" x14ac:dyDescent="0.2">
      <c r="A5063" s="5">
        <v>5002</v>
      </c>
      <c r="B5063" s="1821">
        <f>'Revenues 9-14'!C7</f>
        <v>114564</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7374657</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0</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26155</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26155</v>
      </c>
      <c r="C5087" s="2" t="s">
        <v>569</v>
      </c>
      <c r="D5087" s="2" t="str">
        <f t="shared" si="78"/>
        <v>Error?</v>
      </c>
    </row>
    <row r="5088" spans="1:4" x14ac:dyDescent="0.2">
      <c r="A5088" s="5">
        <v>5027</v>
      </c>
      <c r="B5088" s="1821">
        <f>'Revenues 9-14'!C65</f>
        <v>150075</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150075</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162705</v>
      </c>
      <c r="C5096" s="2" t="s">
        <v>569</v>
      </c>
      <c r="D5096" s="2" t="str">
        <f t="shared" si="78"/>
        <v>Error?</v>
      </c>
    </row>
    <row r="5097" spans="1:4" x14ac:dyDescent="0.2">
      <c r="A5097" s="5">
        <v>5036</v>
      </c>
      <c r="B5097" s="1821">
        <f>'Revenues 9-14'!C77</f>
        <v>52665</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123126</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100836</v>
      </c>
      <c r="D5101" s="2" t="str">
        <f t="shared" si="78"/>
        <v>Error?</v>
      </c>
    </row>
    <row r="5102" spans="1:4" x14ac:dyDescent="0.2">
      <c r="A5102" s="5">
        <v>5041</v>
      </c>
      <c r="B5102" s="1821">
        <f>'Revenues 9-14'!C82</f>
        <v>276627</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0</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0</v>
      </c>
      <c r="D5114" s="2" t="str">
        <f t="shared" si="78"/>
        <v>Error?</v>
      </c>
    </row>
    <row r="5115" spans="1:4" x14ac:dyDescent="0.2">
      <c r="A5115" s="5">
        <v>5054</v>
      </c>
      <c r="B5115" s="1821">
        <f>'Revenues 9-14'!C98</f>
        <v>29399</v>
      </c>
      <c r="D5115" s="2" t="str">
        <f t="shared" si="78"/>
        <v>Error?</v>
      </c>
    </row>
    <row r="5116" spans="1:4" x14ac:dyDescent="0.2">
      <c r="A5116" s="5">
        <v>5055</v>
      </c>
      <c r="B5116" s="1821">
        <f>'Revenues 9-14'!C99</f>
        <v>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60053</v>
      </c>
      <c r="D5119" s="2" t="str">
        <f t="shared" ref="D5119:D5182" si="79">IF(ISBLANK(B5119),"OK",IF(A5119-B5119=0,"OK","Error?"))</f>
        <v>Error?</v>
      </c>
    </row>
    <row r="5120" spans="1:4" x14ac:dyDescent="0.2">
      <c r="A5120" s="5">
        <v>5059</v>
      </c>
      <c r="B5120" s="1821">
        <f>'Revenues 9-14'!C108</f>
        <v>94152</v>
      </c>
      <c r="C5120" s="2" t="s">
        <v>569</v>
      </c>
      <c r="D5120" s="2" t="str">
        <f t="shared" si="79"/>
        <v>Error?</v>
      </c>
    </row>
    <row r="5121" spans="1:4" x14ac:dyDescent="0.2">
      <c r="A5121" s="5">
        <v>5060</v>
      </c>
      <c r="B5121" s="1821">
        <f>'Revenues 9-14'!C109</f>
        <v>8084371</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1139214</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1139964</v>
      </c>
      <c r="C5132" s="2" t="s">
        <v>569</v>
      </c>
      <c r="D5132" s="2" t="str">
        <f t="shared" si="79"/>
        <v>Error?</v>
      </c>
    </row>
    <row r="5133" spans="1:4" x14ac:dyDescent="0.2">
      <c r="A5133" s="5">
        <v>5072</v>
      </c>
      <c r="B5133" s="1821">
        <f>'Revenues 9-14'!C125</f>
        <v>18086</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18086</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5590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5590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0</v>
      </c>
      <c r="D5167" s="2" t="str">
        <f t="shared" si="79"/>
        <v>Error?</v>
      </c>
    </row>
    <row r="5168" spans="1:4" x14ac:dyDescent="0.2">
      <c r="A5168" s="5">
        <v>5107</v>
      </c>
      <c r="B5168" s="1821">
        <f>'Revenues 9-14'!C148</f>
        <v>13978</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37654</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1177618</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0</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0</v>
      </c>
      <c r="C5246" s="2" t="s">
        <v>569</v>
      </c>
      <c r="D5246" s="2" t="str">
        <f t="shared" si="80"/>
        <v>Error?</v>
      </c>
    </row>
    <row r="5247" spans="1:4" x14ac:dyDescent="0.2">
      <c r="A5247" s="5">
        <v>5186</v>
      </c>
      <c r="B5247" s="1821">
        <f>'Revenues 9-14'!C200</f>
        <v>14355</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10000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14355</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111210</v>
      </c>
      <c r="D5278" s="2" t="str">
        <f t="shared" si="81"/>
        <v>Error?</v>
      </c>
    </row>
    <row r="5279" spans="1:4" x14ac:dyDescent="0.2">
      <c r="A5279" s="5">
        <v>5218</v>
      </c>
      <c r="B5279" s="1821">
        <f>'Revenues 9-14'!C214</f>
        <v>1301</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112511</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10511</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10511</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157496</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157496</v>
      </c>
      <c r="C5326" s="2" t="s">
        <v>569</v>
      </c>
      <c r="D5326" s="2" t="str">
        <f t="shared" si="82"/>
        <v>Error?</v>
      </c>
    </row>
    <row r="5327" spans="1:5" x14ac:dyDescent="0.2">
      <c r="A5327" s="5">
        <v>5266</v>
      </c>
      <c r="B5327" s="1821">
        <f>'Revenues 9-14'!C268</f>
        <v>9419485</v>
      </c>
      <c r="C5327" s="2" t="s">
        <v>569</v>
      </c>
      <c r="D5327" s="2" t="str">
        <f t="shared" si="82"/>
        <v>Error?</v>
      </c>
    </row>
    <row r="5328" spans="1:5" x14ac:dyDescent="0.2">
      <c r="A5328" s="5">
        <v>5267</v>
      </c>
      <c r="B5328" s="1821">
        <f>'Revenues 9-14'!D5</f>
        <v>1616031</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1616031</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18474</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18474</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0</v>
      </c>
      <c r="D5354" s="2" t="str">
        <f t="shared" si="82"/>
        <v>Error?</v>
      </c>
    </row>
    <row r="5355" spans="1:4" x14ac:dyDescent="0.2">
      <c r="A5355" s="5">
        <v>5294</v>
      </c>
      <c r="B5355" s="1821">
        <f>'Revenues 9-14'!D108</f>
        <v>0</v>
      </c>
      <c r="C5355" s="2" t="s">
        <v>569</v>
      </c>
      <c r="D5355" s="2" t="str">
        <f t="shared" si="82"/>
        <v>Error?</v>
      </c>
    </row>
    <row r="5356" spans="1:4" x14ac:dyDescent="0.2">
      <c r="A5356" s="5">
        <v>5295</v>
      </c>
      <c r="B5356" s="1821">
        <f>'Revenues 9-14'!D109</f>
        <v>1634505</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1634505</v>
      </c>
      <c r="C5508" s="2" t="s">
        <v>569</v>
      </c>
      <c r="D5508" s="2" t="str">
        <f t="shared" si="85"/>
        <v>Error?</v>
      </c>
    </row>
    <row r="5509" spans="1:4" x14ac:dyDescent="0.2">
      <c r="A5509" s="5">
        <v>5448</v>
      </c>
      <c r="B5509" s="1821">
        <f>'Revenues 9-14'!E5</f>
        <v>1152120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1152120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1760</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1760</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1153880</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1153880</v>
      </c>
      <c r="C5552" s="2" t="s">
        <v>569</v>
      </c>
      <c r="D5552" s="2" t="str">
        <f t="shared" si="85"/>
        <v>Error?</v>
      </c>
    </row>
    <row r="5553" spans="1:4" x14ac:dyDescent="0.2">
      <c r="A5553" s="5">
        <v>5492</v>
      </c>
      <c r="B5553" s="1821">
        <f>'Revenues 9-14'!F5</f>
        <v>509743</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509743</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464390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464390</v>
      </c>
      <c r="C5579" s="2" t="s">
        <v>569</v>
      </c>
      <c r="D5579" s="2" t="str">
        <f t="shared" si="86"/>
        <v>Error?</v>
      </c>
    </row>
    <row r="5580" spans="1:4" x14ac:dyDescent="0.2">
      <c r="A5580" s="5">
        <v>5519</v>
      </c>
      <c r="B5580" s="1821">
        <f>'Revenues 9-14'!F65</f>
        <v>3479</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3479</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40670</v>
      </c>
      <c r="D5586" s="2" t="str">
        <f t="shared" si="86"/>
        <v>Error?</v>
      </c>
    </row>
    <row r="5587" spans="1:4" x14ac:dyDescent="0.2">
      <c r="A5587" s="5">
        <v>5526</v>
      </c>
      <c r="B5587" s="1821">
        <f>'Revenues 9-14'!F108</f>
        <v>40670</v>
      </c>
      <c r="C5587" s="2" t="s">
        <v>569</v>
      </c>
      <c r="D5587" s="2" t="str">
        <f t="shared" si="86"/>
        <v>Error?</v>
      </c>
    </row>
    <row r="5588" spans="1:4" x14ac:dyDescent="0.2">
      <c r="A5588" s="5">
        <v>5527</v>
      </c>
      <c r="B5588" s="1821">
        <f>'Revenues 9-14'!F109</f>
        <v>1018282</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300000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300000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355100</v>
      </c>
      <c r="D5615" s="2" t="str">
        <f t="shared" si="86"/>
        <v>Error?</v>
      </c>
    </row>
    <row r="5616" spans="1:4" x14ac:dyDescent="0.2">
      <c r="A5616" s="10">
        <v>5555</v>
      </c>
      <c r="B5616" s="1821"/>
      <c r="D5616" s="2" t="str">
        <f t="shared" si="86"/>
        <v>OK</v>
      </c>
    </row>
    <row r="5617" spans="1:5" x14ac:dyDescent="0.2">
      <c r="A5617" s="5">
        <v>5556</v>
      </c>
      <c r="B5617" s="1821">
        <f>'Revenues 9-14'!F153</f>
        <v>392461</v>
      </c>
      <c r="D5617" s="2" t="str">
        <f t="shared" si="86"/>
        <v>Error?</v>
      </c>
    </row>
    <row r="5618" spans="1:5" x14ac:dyDescent="0.2">
      <c r="A5618" s="5">
        <v>5557</v>
      </c>
      <c r="B5618" s="1821">
        <f>'Revenues 9-14'!F155</f>
        <v>747561</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747561</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1047561</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2065843</v>
      </c>
      <c r="C5720" s="2" t="s">
        <v>569</v>
      </c>
      <c r="D5720" s="2" t="str">
        <f t="shared" si="88"/>
        <v>Error?</v>
      </c>
    </row>
    <row r="5721" spans="1:4" x14ac:dyDescent="0.2">
      <c r="A5721" s="5">
        <v>5660</v>
      </c>
      <c r="B5721" s="1821">
        <f>'Revenues 9-14'!G5</f>
        <v>98079</v>
      </c>
      <c r="D5721" s="2" t="str">
        <f t="shared" si="88"/>
        <v>Error?</v>
      </c>
    </row>
    <row r="5722" spans="1:4" x14ac:dyDescent="0.2">
      <c r="A5722" s="5">
        <v>5661</v>
      </c>
      <c r="B5722" s="1821">
        <f>'Revenues 9-14'!G7</f>
        <v>0</v>
      </c>
      <c r="D5722" s="2" t="str">
        <f t="shared" si="88"/>
        <v>Error?</v>
      </c>
    </row>
    <row r="5723" spans="1:4" x14ac:dyDescent="0.2">
      <c r="A5723" s="5">
        <v>5662</v>
      </c>
      <c r="B5723" s="1821">
        <f>'Revenues 9-14'!G8</f>
        <v>98080</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196159</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150087</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150087</v>
      </c>
      <c r="C5730" s="2" t="s">
        <v>569</v>
      </c>
      <c r="D5730" s="2" t="str">
        <f t="shared" si="88"/>
        <v>Error?</v>
      </c>
    </row>
    <row r="5731" spans="1:4" x14ac:dyDescent="0.2">
      <c r="A5731" s="5">
        <v>5670</v>
      </c>
      <c r="B5731" s="1821">
        <f>'Revenues 9-14'!G65</f>
        <v>6696</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6696</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1978</v>
      </c>
      <c r="D5736" s="2" t="str">
        <f t="shared" si="88"/>
        <v>Error?</v>
      </c>
    </row>
    <row r="5737" spans="1:4" x14ac:dyDescent="0.2">
      <c r="A5737" s="5">
        <v>5676</v>
      </c>
      <c r="B5737" s="1821">
        <f>'Revenues 9-14'!G108</f>
        <v>1978</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354920</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3899</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3899</v>
      </c>
      <c r="C5881" s="2" t="s">
        <v>569</v>
      </c>
      <c r="D5881" s="2" t="str">
        <f t="shared" si="90"/>
        <v>Error?</v>
      </c>
    </row>
    <row r="5882" spans="1:4" x14ac:dyDescent="0.2">
      <c r="A5882" s="5">
        <v>5821</v>
      </c>
      <c r="B5882" s="1821">
        <f>'Revenues 9-14'!H96</f>
        <v>4125</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4125</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8024</v>
      </c>
      <c r="C5915" s="2" t="s">
        <v>569</v>
      </c>
      <c r="D5915" s="2" t="str">
        <f t="shared" si="91"/>
        <v>Error?</v>
      </c>
    </row>
    <row r="5916" spans="1:4" x14ac:dyDescent="0.2">
      <c r="A5916" s="5">
        <v>5855</v>
      </c>
      <c r="B5916" s="1821">
        <f>'Revenues 9-14'!I5</f>
        <v>161345</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161345</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10808</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10808</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172153</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354920</v>
      </c>
      <c r="C6024" s="2" t="s">
        <v>569</v>
      </c>
      <c r="D6024" s="2" t="str">
        <f t="shared" si="93"/>
        <v>Error?</v>
      </c>
    </row>
    <row r="6025" spans="1:5" x14ac:dyDescent="0.2">
      <c r="A6025" s="5">
        <v>5964</v>
      </c>
      <c r="B6025" s="1821">
        <f>'Revenues 9-14'!H109</f>
        <v>8024</v>
      </c>
      <c r="C6025" s="2" t="s">
        <v>569</v>
      </c>
      <c r="D6025" s="2" t="str">
        <f t="shared" si="93"/>
        <v>Error?</v>
      </c>
    </row>
    <row r="6026" spans="1:5" x14ac:dyDescent="0.2">
      <c r="A6026" s="5">
        <v>5965</v>
      </c>
      <c r="B6026" s="1821">
        <f>'Revenues 9-14'!I109</f>
        <v>172153</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162705</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592.1</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0</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0</v>
      </c>
      <c r="D6215" s="2" t="str">
        <f t="shared" si="96"/>
        <v>Error?</v>
      </c>
      <c r="E6215" s="2" t="s">
        <v>189</v>
      </c>
    </row>
    <row r="6216" spans="1:5" x14ac:dyDescent="0.2">
      <c r="A6216">
        <v>6155</v>
      </c>
      <c r="B6216" s="1821">
        <f>'Assets-Liab 5-6'!J41</f>
        <v>0</v>
      </c>
      <c r="D6216" s="2" t="str">
        <f t="shared" si="96"/>
        <v>Error?</v>
      </c>
      <c r="E6216" s="2" t="s">
        <v>189</v>
      </c>
    </row>
    <row r="6217" spans="1:5" x14ac:dyDescent="0.2">
      <c r="A6217">
        <v>6156</v>
      </c>
      <c r="B6217" s="1821">
        <f>'Assets-Liab 5-6'!J4</f>
        <v>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0</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0</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0</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0</v>
      </c>
      <c r="D6229" s="2" t="str">
        <f t="shared" si="96"/>
        <v>Error?</v>
      </c>
      <c r="E6229" s="2" t="s">
        <v>189</v>
      </c>
    </row>
    <row r="6230" spans="1:5" x14ac:dyDescent="0.2">
      <c r="A6230">
        <v>6169</v>
      </c>
      <c r="B6230" s="1821">
        <f>'Acct Summary 7-8'!J20</f>
        <v>0</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0</v>
      </c>
      <c r="D6263" s="2" t="str">
        <f t="shared" si="96"/>
        <v>Error?</v>
      </c>
      <c r="E6263" s="2" t="s">
        <v>189</v>
      </c>
    </row>
    <row r="6264" spans="1:5" x14ac:dyDescent="0.2">
      <c r="A6264">
        <v>6203</v>
      </c>
      <c r="B6264" s="1821">
        <f>'Acct Summary 7-8'!J79</f>
        <v>0</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0</v>
      </c>
      <c r="D6266" s="2" t="str">
        <f t="shared" si="96"/>
        <v>Error?</v>
      </c>
      <c r="E6266" s="2" t="s">
        <v>189</v>
      </c>
    </row>
    <row r="6267" spans="1:5" x14ac:dyDescent="0.2">
      <c r="A6267">
        <v>6206</v>
      </c>
      <c r="B6267" s="1821">
        <f>'Acct Summary 7-8'!C82</f>
        <v>879520</v>
      </c>
      <c r="D6267" s="2" t="str">
        <f t="shared" si="96"/>
        <v>Error?</v>
      </c>
      <c r="E6267" s="2" t="s">
        <v>189</v>
      </c>
    </row>
    <row r="6268" spans="1:5" x14ac:dyDescent="0.2">
      <c r="A6268">
        <v>6207</v>
      </c>
      <c r="B6268" s="1821">
        <f>'Acct Summary 7-8'!D82</f>
        <v>16514</v>
      </c>
      <c r="D6268" s="2" t="str">
        <f t="shared" si="96"/>
        <v>Error?</v>
      </c>
      <c r="E6268" s="2" t="s">
        <v>189</v>
      </c>
    </row>
    <row r="6269" spans="1:5" x14ac:dyDescent="0.2">
      <c r="A6269">
        <v>6208</v>
      </c>
      <c r="B6269" s="1821">
        <f>'Acct Summary 7-8'!E82</f>
        <v>-22180</v>
      </c>
      <c r="D6269" s="2" t="str">
        <f t="shared" si="96"/>
        <v>Error?</v>
      </c>
      <c r="E6269" s="2" t="s">
        <v>189</v>
      </c>
    </row>
    <row r="6270" spans="1:5" x14ac:dyDescent="0.2">
      <c r="A6270">
        <v>6209</v>
      </c>
      <c r="B6270" s="1821">
        <f>'Acct Summary 7-8'!F82</f>
        <v>835248</v>
      </c>
      <c r="D6270" s="2" t="str">
        <f t="shared" si="96"/>
        <v>Error?</v>
      </c>
      <c r="E6270" s="2" t="s">
        <v>189</v>
      </c>
    </row>
    <row r="6271" spans="1:5" x14ac:dyDescent="0.2">
      <c r="A6271">
        <v>6210</v>
      </c>
      <c r="B6271" s="1821">
        <f>'Acct Summary 7-8'!G82</f>
        <v>-2814</v>
      </c>
      <c r="D6271" s="2" t="str">
        <f t="shared" ref="D6271:D6334" si="97">IF(ISBLANK(B6271),"OK",IF(A6271-B6271=0,"OK","Error?"))</f>
        <v>Error?</v>
      </c>
      <c r="E6271" s="2" t="s">
        <v>189</v>
      </c>
    </row>
    <row r="6272" spans="1:5" x14ac:dyDescent="0.2">
      <c r="A6272">
        <v>6211</v>
      </c>
      <c r="B6272" s="1821">
        <f>'Acct Summary 7-8'!H82</f>
        <v>8024</v>
      </c>
      <c r="D6272" s="2" t="str">
        <f t="shared" si="97"/>
        <v>Error?</v>
      </c>
      <c r="E6272" s="2" t="s">
        <v>189</v>
      </c>
    </row>
    <row r="6273" spans="1:5" x14ac:dyDescent="0.2">
      <c r="A6273">
        <v>6212</v>
      </c>
      <c r="B6273" s="1821">
        <f>'Acct Summary 7-8'!I82</f>
        <v>172153</v>
      </c>
      <c r="D6273" s="2" t="str">
        <f t="shared" si="97"/>
        <v>Error?</v>
      </c>
      <c r="E6273" s="2" t="s">
        <v>189</v>
      </c>
    </row>
    <row r="6274" spans="1:5" x14ac:dyDescent="0.2">
      <c r="A6274">
        <v>6213</v>
      </c>
      <c r="B6274" s="1821">
        <f>'Acct Summary 7-8'!J82</f>
        <v>0</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5.5140477123867895E-2</v>
      </c>
      <c r="D6276" s="2" t="str">
        <f t="shared" si="97"/>
        <v>Error?</v>
      </c>
      <c r="E6276" s="2" t="s">
        <v>189</v>
      </c>
    </row>
    <row r="6277" spans="1:5" x14ac:dyDescent="0.2">
      <c r="A6277">
        <v>6216</v>
      </c>
      <c r="B6277" s="1821">
        <f>'Acct Summary 7-8'!D83</f>
        <v>9.3447578477518604E-3</v>
      </c>
      <c r="D6277" s="2" t="str">
        <f t="shared" si="97"/>
        <v>Error?</v>
      </c>
      <c r="E6277" s="2" t="s">
        <v>189</v>
      </c>
    </row>
    <row r="6278" spans="1:5" x14ac:dyDescent="0.2">
      <c r="A6278">
        <v>6217</v>
      </c>
      <c r="B6278" s="1821">
        <f>'Acct Summary 7-8'!E83</f>
        <v>-0.96644880174291936</v>
      </c>
      <c r="D6278" s="2" t="str">
        <f t="shared" si="97"/>
        <v>Error?</v>
      </c>
      <c r="E6278" s="2" t="s">
        <v>189</v>
      </c>
    </row>
    <row r="6279" spans="1:5" x14ac:dyDescent="0.2">
      <c r="A6279">
        <v>6218</v>
      </c>
      <c r="B6279" s="1821">
        <f>'Acct Summary 7-8'!F83</f>
        <v>0.84938775800755173</v>
      </c>
      <c r="D6279" s="2" t="str">
        <f t="shared" si="97"/>
        <v>Error?</v>
      </c>
      <c r="E6279" s="2" t="s">
        <v>189</v>
      </c>
    </row>
    <row r="6280" spans="1:5" x14ac:dyDescent="0.2">
      <c r="A6280">
        <v>6219</v>
      </c>
      <c r="B6280" s="1821">
        <f>'Acct Summary 7-8'!G83</f>
        <v>-4.2928603355875681E-3</v>
      </c>
      <c r="D6280" s="2" t="str">
        <f t="shared" si="97"/>
        <v>Error?</v>
      </c>
      <c r="E6280" s="2" t="s">
        <v>189</v>
      </c>
    </row>
    <row r="6281" spans="1:5" x14ac:dyDescent="0.2">
      <c r="A6281">
        <v>6220</v>
      </c>
      <c r="B6281" s="1821">
        <f>'Acct Summary 7-8'!H83</f>
        <v>3.937463810075275E-2</v>
      </c>
      <c r="D6281" s="2" t="str">
        <f t="shared" si="97"/>
        <v>Error?</v>
      </c>
      <c r="E6281" s="2" t="s">
        <v>189</v>
      </c>
    </row>
    <row r="6282" spans="1:5" x14ac:dyDescent="0.2">
      <c r="A6282">
        <v>6221</v>
      </c>
      <c r="B6282" s="1821">
        <f>'Acct Summary 7-8'!I83</f>
        <v>0.12307649412188615</v>
      </c>
      <c r="D6282" s="2" t="str">
        <f t="shared" si="97"/>
        <v>Error?</v>
      </c>
      <c r="E6282" s="2" t="s">
        <v>189</v>
      </c>
    </row>
    <row r="6283" spans="1:5" x14ac:dyDescent="0.2">
      <c r="A6283">
        <v>6222</v>
      </c>
      <c r="B6283" s="1821" t="e">
        <f>'Acct Summary 7-8'!J83</f>
        <v>#DIV/0!</v>
      </c>
      <c r="D6283" s="2" t="e">
        <f t="shared" si="97"/>
        <v>#DIV/0!</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0</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0</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4700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0</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101311</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6683</v>
      </c>
      <c r="D6878" s="2" t="str">
        <f t="shared" si="106"/>
        <v>Error?</v>
      </c>
    </row>
    <row r="6879" spans="1:4" x14ac:dyDescent="0.2">
      <c r="A6879">
        <v>6818</v>
      </c>
      <c r="B6879" s="1821">
        <f>'Expenditures 15-22'!K21</f>
        <v>6683</v>
      </c>
      <c r="D6879" s="2" t="str">
        <f t="shared" si="106"/>
        <v>Error?</v>
      </c>
    </row>
    <row r="6880" spans="1:4" x14ac:dyDescent="0.2">
      <c r="A6880">
        <v>6819</v>
      </c>
      <c r="B6880" s="1821">
        <f>'Expenditures 15-22'!H22</f>
        <v>85749</v>
      </c>
      <c r="D6880" s="2" t="str">
        <f t="shared" si="106"/>
        <v>Error?</v>
      </c>
    </row>
    <row r="6881" spans="1:4" x14ac:dyDescent="0.2">
      <c r="A6881">
        <v>6820</v>
      </c>
      <c r="B6881" s="1821">
        <f>'Expenditures 15-22'!K22</f>
        <v>85749</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456</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456</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0</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124045</v>
      </c>
      <c r="D6983" s="2" t="str">
        <f t="shared" si="108"/>
        <v>Error?</v>
      </c>
    </row>
    <row r="6984" spans="1:4" x14ac:dyDescent="0.2">
      <c r="A6984">
        <v>6923</v>
      </c>
      <c r="B6984" s="1821">
        <f>'Expenditures 15-22'!K86</f>
        <v>124045</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4451</v>
      </c>
      <c r="D6987" s="2" t="str">
        <f t="shared" si="108"/>
        <v>Error?</v>
      </c>
    </row>
    <row r="6988" spans="1:4" x14ac:dyDescent="0.2">
      <c r="A6988">
        <v>6927</v>
      </c>
      <c r="B6988" s="1821">
        <f>'Expenditures 15-22'!K88</f>
        <v>4451</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128496</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0</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0</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1285</v>
      </c>
      <c r="D7079" s="2" t="str">
        <f t="shared" si="109"/>
        <v>Error?</v>
      </c>
    </row>
    <row r="7080" spans="1:4" x14ac:dyDescent="0.2">
      <c r="A7080">
        <v>7019</v>
      </c>
      <c r="B7080" s="1821">
        <f>'Expenditures 15-22'!K226</f>
        <v>1285</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0</v>
      </c>
      <c r="D7224" s="2" t="str">
        <f t="shared" si="111"/>
        <v>Error?</v>
      </c>
    </row>
    <row r="7225" spans="1:4" x14ac:dyDescent="0.2">
      <c r="A7225">
        <v>7164</v>
      </c>
      <c r="B7225" s="1821">
        <f>'Expenditures 15-22'!K343</f>
        <v>0</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88595</v>
      </c>
      <c r="D7263" s="2" t="str">
        <f t="shared" si="112"/>
        <v>Error?</v>
      </c>
    </row>
    <row r="7264" spans="1:4" x14ac:dyDescent="0.2">
      <c r="A7264">
        <f t="shared" si="113"/>
        <v>7203</v>
      </c>
      <c r="B7264" s="1821">
        <f>'Expenditures 15-22'!D17</f>
        <v>12518</v>
      </c>
      <c r="D7264" s="2" t="str">
        <f t="shared" si="112"/>
        <v>Error?</v>
      </c>
    </row>
    <row r="7265" spans="1:5" x14ac:dyDescent="0.2">
      <c r="A7265">
        <f t="shared" si="113"/>
        <v>7204</v>
      </c>
      <c r="B7265" s="1821">
        <f>'Expenditures 15-22'!E17</f>
        <v>198</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0</v>
      </c>
      <c r="D7624" s="2" t="str">
        <f t="shared" si="124"/>
        <v>Error?</v>
      </c>
      <c r="E7624" s="2" t="s">
        <v>19</v>
      </c>
    </row>
    <row r="7625" spans="1:5" x14ac:dyDescent="0.2">
      <c r="A7625">
        <f t="shared" si="123"/>
        <v>7564</v>
      </c>
      <c r="B7625" s="1821">
        <f>'Cap Outlay Deprec 26'!I17</f>
        <v>0</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770540</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4700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13978</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18678</v>
      </c>
      <c r="D7719" s="2" t="str">
        <f t="shared" si="126"/>
        <v>Error?</v>
      </c>
      <c r="E7719" s="2" t="s">
        <v>821</v>
      </c>
    </row>
    <row r="7720" spans="1:6" x14ac:dyDescent="0.2">
      <c r="A7720">
        <v>7659</v>
      </c>
      <c r="B7720" s="1821">
        <f>'Rest Tax Levies-Tort Im 25'!H14</f>
        <v>114564</v>
      </c>
      <c r="D7720" s="2" t="str">
        <f t="shared" si="126"/>
        <v>Error?</v>
      </c>
      <c r="E7720" s="2" t="s">
        <v>821</v>
      </c>
    </row>
    <row r="7721" spans="1:6" x14ac:dyDescent="0.2">
      <c r="A7721">
        <v>7660</v>
      </c>
      <c r="B7721" s="1821">
        <f>'Rest Tax Levies-Tort Im 25'!K14</f>
        <v>18678</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18678</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3955000</v>
      </c>
      <c r="D7817" s="2" t="str">
        <f t="shared" si="128"/>
        <v>Error?</v>
      </c>
      <c r="E7817" s="4" t="s">
        <v>1963</v>
      </c>
    </row>
    <row r="7818" spans="1:5" x14ac:dyDescent="0.2">
      <c r="A7818">
        <v>7757</v>
      </c>
      <c r="B7818" s="1821">
        <f>'PCTC-OEPP 27-28'!F172</f>
        <v>235667</v>
      </c>
      <c r="D7818" s="2" t="str">
        <f t="shared" si="128"/>
        <v>Error?</v>
      </c>
      <c r="E7818" s="4" t="s">
        <v>1977</v>
      </c>
    </row>
    <row r="7819" spans="1:5" x14ac:dyDescent="0.2">
      <c r="A7819">
        <v>7758</v>
      </c>
      <c r="B7819" s="1821">
        <f>'PCTC-OEPP 27-28'!F173</f>
        <v>0</v>
      </c>
      <c r="D7819" s="2" t="str">
        <f t="shared" si="128"/>
        <v>Error?</v>
      </c>
      <c r="E7819" s="4" t="s">
        <v>1977</v>
      </c>
    </row>
    <row r="7820" spans="1:5" x14ac:dyDescent="0.2">
      <c r="A7820">
        <v>7759</v>
      </c>
      <c r="B7820" s="1821">
        <f>'ICR Computation 30'!E40</f>
        <v>-972716</v>
      </c>
      <c r="D7820" s="2" t="str">
        <f t="shared" si="128"/>
        <v>Error?</v>
      </c>
    </row>
    <row r="7821" spans="1:5" x14ac:dyDescent="0.2">
      <c r="A7821">
        <v>7760</v>
      </c>
      <c r="B7821" s="1821">
        <f>'ICR Computation 30'!G40</f>
        <v>-972716</v>
      </c>
      <c r="D7821" s="2" t="str">
        <f t="shared" si="128"/>
        <v>Error?</v>
      </c>
    </row>
    <row r="7822" spans="1:5" x14ac:dyDescent="0.2">
      <c r="A7822" s="1">
        <v>7761</v>
      </c>
      <c r="B7822" s="1821">
        <f>'PCTC-OEPP 27-28'!F14</f>
        <v>12922345</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0</v>
      </c>
      <c r="D7830" s="2" t="str">
        <f t="shared" si="129"/>
        <v>Error?</v>
      </c>
      <c r="E7830" s="4" t="s">
        <v>1995</v>
      </c>
    </row>
    <row r="7831" spans="1:5" x14ac:dyDescent="0.2">
      <c r="A7831">
        <v>7770</v>
      </c>
      <c r="B7831" s="1821">
        <f>'PCTC-OEPP 27-28'!F52</f>
        <v>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2627241</v>
      </c>
      <c r="D7834" s="2" t="str">
        <f t="shared" si="129"/>
        <v>Error?</v>
      </c>
      <c r="E7834" s="4" t="s">
        <v>1995</v>
      </c>
    </row>
    <row r="7835" spans="1:5" x14ac:dyDescent="0.2">
      <c r="A7835">
        <v>7774</v>
      </c>
      <c r="B7835" s="1821">
        <f>'PCTC-OEPP 27-28'!F78</f>
        <v>10295104</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17387.441310589427</v>
      </c>
      <c r="D7837" s="2" t="str">
        <f t="shared" si="129"/>
        <v>Error?</v>
      </c>
      <c r="E7837" s="4" t="s">
        <v>1995</v>
      </c>
    </row>
    <row r="7838" spans="1:5" x14ac:dyDescent="0.2">
      <c r="A7838">
        <v>7777</v>
      </c>
      <c r="B7838" s="1821">
        <f>'PCTC-OEPP 27-28'!F96</f>
        <v>276627</v>
      </c>
      <c r="D7838" s="2" t="str">
        <f t="shared" si="129"/>
        <v>Error?</v>
      </c>
      <c r="E7838" s="4" t="s">
        <v>1995</v>
      </c>
    </row>
    <row r="7839" spans="1:5" x14ac:dyDescent="0.2">
      <c r="A7839">
        <v>7778</v>
      </c>
      <c r="B7839" s="1821">
        <f>'PCTC-OEPP 27-28'!F102</f>
        <v>0</v>
      </c>
      <c r="D7839" s="2" t="str">
        <f t="shared" si="129"/>
        <v>Error?</v>
      </c>
      <c r="E7839" s="4" t="s">
        <v>1995</v>
      </c>
    </row>
    <row r="7840" spans="1:5" x14ac:dyDescent="0.2">
      <c r="A7840">
        <v>7779</v>
      </c>
      <c r="B7840" s="1821">
        <f>'PCTC-OEPP 27-28'!F103</f>
        <v>29399</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18086</v>
      </c>
      <c r="D7842" s="2" t="str">
        <f t="shared" si="129"/>
        <v>Error?</v>
      </c>
      <c r="E7842" s="4" t="s">
        <v>1995</v>
      </c>
    </row>
    <row r="7843" spans="1:5" x14ac:dyDescent="0.2">
      <c r="A7843">
        <v>7782</v>
      </c>
      <c r="B7843" s="1821">
        <f>'PCTC-OEPP 27-28'!F107</f>
        <v>5590</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13978</v>
      </c>
      <c r="D7846" s="2" t="str">
        <f t="shared" si="129"/>
        <v>Error?</v>
      </c>
      <c r="E7846" s="4" t="s">
        <v>1995</v>
      </c>
    </row>
    <row r="7847" spans="1:5" x14ac:dyDescent="0.2">
      <c r="A7847">
        <v>7786</v>
      </c>
      <c r="B7847" s="1821">
        <f>'PCTC-OEPP 27-28'!F112</f>
        <v>747561</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0</v>
      </c>
      <c r="D7858" s="2" t="str">
        <f t="shared" si="129"/>
        <v>Error?</v>
      </c>
      <c r="E7858" s="4" t="s">
        <v>1995</v>
      </c>
    </row>
    <row r="7859" spans="1:5" x14ac:dyDescent="0.2">
      <c r="A7859">
        <v>7798</v>
      </c>
      <c r="B7859" s="1821">
        <f>'PCTC-OEPP 27-28'!F127</f>
        <v>14355</v>
      </c>
      <c r="D7859" s="2" t="str">
        <f t="shared" si="129"/>
        <v>Error?</v>
      </c>
      <c r="E7859" s="4" t="s">
        <v>1995</v>
      </c>
    </row>
    <row r="7860" spans="1:5" x14ac:dyDescent="0.2">
      <c r="A7860">
        <v>7799</v>
      </c>
      <c r="B7860" s="1821">
        <f>'PCTC-OEPP 27-28'!F128</f>
        <v>10000</v>
      </c>
      <c r="D7860" s="2" t="str">
        <f t="shared" si="129"/>
        <v>Error?</v>
      </c>
      <c r="E7860" s="4" t="s">
        <v>1995</v>
      </c>
    </row>
    <row r="7861" spans="1:5" x14ac:dyDescent="0.2">
      <c r="A7861">
        <v>7800</v>
      </c>
      <c r="B7861" s="1821">
        <f>'PCTC-OEPP 27-28'!F129</f>
        <v>111210</v>
      </c>
      <c r="D7861" s="2" t="str">
        <f t="shared" si="129"/>
        <v>Error?</v>
      </c>
      <c r="E7861" s="4" t="s">
        <v>1995</v>
      </c>
    </row>
    <row r="7862" spans="1:5" x14ac:dyDescent="0.2">
      <c r="A7862">
        <v>7801</v>
      </c>
      <c r="B7862" s="1821">
        <f>'PCTC-OEPP 27-28'!F130</f>
        <v>1301</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10511</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7878</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2241</v>
      </c>
      <c r="D7874" s="2" t="str">
        <f t="shared" si="129"/>
        <v>Error?</v>
      </c>
      <c r="E7874" s="4" t="s">
        <v>1995</v>
      </c>
    </row>
    <row r="7875" spans="1:5" x14ac:dyDescent="0.2">
      <c r="A7875">
        <v>7814</v>
      </c>
      <c r="B7875" s="1821">
        <f>'PCTC-OEPP 27-28'!F170</f>
        <v>0</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1647109</v>
      </c>
      <c r="D7877" s="2" t="str">
        <f t="shared" si="129"/>
        <v>Error?</v>
      </c>
      <c r="E7877" s="4" t="s">
        <v>1995</v>
      </c>
    </row>
    <row r="7878" spans="1:5" x14ac:dyDescent="0.2">
      <c r="A7878">
        <v>7817</v>
      </c>
      <c r="B7878" s="1821">
        <f>'PCTC-OEPP 27-28'!F176</f>
        <v>8647995</v>
      </c>
      <c r="D7878" s="2" t="str">
        <f t="shared" si="129"/>
        <v>Error?</v>
      </c>
      <c r="E7878" s="4" t="s">
        <v>1995</v>
      </c>
    </row>
    <row r="7879" spans="1:5" x14ac:dyDescent="0.2">
      <c r="A7879">
        <v>7818</v>
      </c>
      <c r="B7879" s="1821">
        <f>'PCTC-OEPP 27-28'!F178</f>
        <v>9418535</v>
      </c>
      <c r="D7879" s="2" t="str">
        <f t="shared" si="129"/>
        <v>Error?</v>
      </c>
      <c r="E7879" s="4" t="s">
        <v>1995</v>
      </c>
    </row>
    <row r="7880" spans="1:5" x14ac:dyDescent="0.2">
      <c r="A7880">
        <v>7819</v>
      </c>
      <c r="B7880" s="1821">
        <f>'PCTC-OEPP 27-28'!F180</f>
        <v>15907.000506671169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2" t="s">
        <v>1180</v>
      </c>
      <c r="B2" s="2522"/>
      <c r="C2" s="2522"/>
      <c r="D2" s="2522"/>
      <c r="E2" s="2522"/>
      <c r="F2" s="2522"/>
      <c r="G2" s="2522"/>
      <c r="H2" s="2522"/>
      <c r="I2" s="2522"/>
      <c r="J2" s="2522"/>
      <c r="K2" s="2522"/>
      <c r="L2" s="2522"/>
    </row>
    <row r="3" spans="1:29" ht="13.5" customHeight="1" x14ac:dyDescent="0.2">
      <c r="A3" s="2554" t="s">
        <v>1179</v>
      </c>
      <c r="B3" s="2554"/>
      <c r="C3" s="2554"/>
      <c r="D3" s="2554"/>
      <c r="E3" s="2554"/>
      <c r="F3" s="2554"/>
      <c r="G3" s="2554"/>
      <c r="H3" s="2554"/>
      <c r="I3" s="2554"/>
      <c r="J3" s="2554"/>
      <c r="K3" s="2554"/>
      <c r="L3" s="2554"/>
    </row>
    <row r="4" spans="1:29" ht="13.5" customHeight="1" x14ac:dyDescent="0.2">
      <c r="A4" s="2543" t="str">
        <f>"Year Ending June 30, "&amp;'AFR20'!E2</f>
        <v>Year Ending June 30, 2020</v>
      </c>
      <c r="B4" s="2544"/>
      <c r="C4" s="2544"/>
      <c r="D4" s="2544"/>
      <c r="E4" s="2544"/>
      <c r="F4" s="2544"/>
      <c r="G4" s="2544"/>
      <c r="H4" s="2544"/>
      <c r="I4" s="2544"/>
      <c r="J4" s="2544"/>
      <c r="K4" s="2544"/>
      <c r="L4" s="2544"/>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5" t="str">
        <f>COVER!A17</f>
        <v>Richmond-Burton CHSD 157</v>
      </c>
      <c r="B7" s="2546"/>
      <c r="C7" s="2546"/>
      <c r="D7" s="2547"/>
      <c r="E7" s="2548">
        <f>COVER!A13</f>
        <v>44063157016</v>
      </c>
      <c r="F7" s="2549"/>
      <c r="G7" s="2555" t="str">
        <f>COVER!T23</f>
        <v>066-005142</v>
      </c>
      <c r="H7" s="2556"/>
      <c r="I7" s="2556"/>
      <c r="J7" s="2556"/>
      <c r="K7" s="2556"/>
      <c r="L7" s="2557"/>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58"/>
      <c r="B9" s="2559"/>
      <c r="C9" s="2559"/>
      <c r="D9" s="2559"/>
      <c r="E9" s="2559"/>
      <c r="F9" s="2560"/>
      <c r="G9" s="2528" t="str">
        <f>COVER!T13</f>
        <v>EDER, CASELLA &amp; CO.</v>
      </c>
      <c r="H9" s="2561"/>
      <c r="I9" s="2561"/>
      <c r="J9" s="2561"/>
      <c r="K9" s="2561"/>
      <c r="L9" s="2562"/>
    </row>
    <row r="10" spans="1:29" ht="13.5" customHeight="1" x14ac:dyDescent="0.2">
      <c r="A10" s="2534">
        <f>COVER!A38</f>
        <v>0</v>
      </c>
      <c r="B10" s="2535"/>
      <c r="C10" s="2535"/>
      <c r="D10" s="2535"/>
      <c r="E10" s="2535"/>
      <c r="F10" s="2536"/>
      <c r="G10" s="2528" t="str">
        <f>COVER!T17</f>
        <v>5400 WEST ELM STREET, SUITE 203</v>
      </c>
      <c r="H10" s="2529"/>
      <c r="I10" s="2529"/>
      <c r="J10" s="2529"/>
      <c r="K10" s="2529"/>
      <c r="L10" s="2530"/>
    </row>
    <row r="11" spans="1:29" ht="13.5" customHeight="1" x14ac:dyDescent="0.2">
      <c r="A11" s="956" t="s">
        <v>1499</v>
      </c>
      <c r="B11" s="957"/>
      <c r="C11" s="958"/>
      <c r="D11" s="963"/>
      <c r="E11" s="958"/>
      <c r="F11" s="962"/>
      <c r="G11" s="2528" t="str">
        <f>COVER!T19</f>
        <v>MCHENRY</v>
      </c>
      <c r="H11" s="2529"/>
      <c r="I11" s="2529"/>
      <c r="J11" s="2529"/>
      <c r="K11" s="2529"/>
      <c r="L11" s="2530"/>
    </row>
    <row r="12" spans="1:29" ht="13.5" customHeight="1" x14ac:dyDescent="0.2">
      <c r="A12" s="2537" t="s">
        <v>1498</v>
      </c>
      <c r="B12" s="2538"/>
      <c r="C12" s="2538"/>
      <c r="D12" s="2538"/>
      <c r="E12" s="2538"/>
      <c r="F12" s="2539"/>
      <c r="G12" s="2531"/>
      <c r="H12" s="2532"/>
      <c r="I12" s="2532"/>
      <c r="J12" s="2532"/>
      <c r="K12" s="2532"/>
      <c r="L12" s="2533"/>
    </row>
    <row r="13" spans="1:29" ht="13.5" customHeight="1" x14ac:dyDescent="0.2">
      <c r="A13" s="2528"/>
      <c r="B13" s="2529"/>
      <c r="C13" s="2529"/>
      <c r="D13" s="2529"/>
      <c r="E13" s="2529"/>
      <c r="F13" s="2530"/>
      <c r="G13" s="2523" t="s">
        <v>1500</v>
      </c>
      <c r="H13" s="2524"/>
      <c r="I13" s="2540" t="str">
        <f>COVER!T25</f>
        <v>CPAS@EDERCASELLA.COM</v>
      </c>
      <c r="J13" s="2541"/>
      <c r="K13" s="2541"/>
      <c r="L13" s="2542"/>
    </row>
    <row r="14" spans="1:29" ht="13.5" customHeight="1" x14ac:dyDescent="0.2">
      <c r="A14" s="2528" t="str">
        <f>COVER!A19</f>
        <v>4213 ROUTE 12</v>
      </c>
      <c r="B14" s="2529"/>
      <c r="C14" s="2529"/>
      <c r="D14" s="2529"/>
      <c r="E14" s="2529"/>
      <c r="F14" s="2530"/>
      <c r="G14" s="967" t="s">
        <v>1174</v>
      </c>
      <c r="H14" s="965"/>
      <c r="I14" s="965"/>
      <c r="J14" s="965"/>
      <c r="K14" s="965"/>
      <c r="L14" s="966"/>
    </row>
    <row r="15" spans="1:29" ht="13.5" customHeight="1" x14ac:dyDescent="0.2">
      <c r="A15" s="2528" t="str">
        <f>COVER!A21</f>
        <v>RICHMOND</v>
      </c>
      <c r="B15" s="2529"/>
      <c r="C15" s="2529"/>
      <c r="D15" s="2529"/>
      <c r="E15" s="2529"/>
      <c r="F15" s="2530"/>
      <c r="G15" s="2525" t="str">
        <f>COVER!T15</f>
        <v>KEVIN SMITH</v>
      </c>
      <c r="H15" s="2526"/>
      <c r="I15" s="2526"/>
      <c r="J15" s="2526"/>
      <c r="K15" s="2526"/>
      <c r="L15" s="2527"/>
    </row>
    <row r="16" spans="1:29" ht="12.2" customHeight="1" x14ac:dyDescent="0.2">
      <c r="A16" s="2551">
        <f>COVER!A25</f>
        <v>60071</v>
      </c>
      <c r="B16" s="2552"/>
      <c r="C16" s="2552"/>
      <c r="D16" s="2552"/>
      <c r="E16" s="2552"/>
      <c r="F16" s="2553"/>
      <c r="G16" s="2563"/>
      <c r="H16" s="2564"/>
      <c r="I16" s="2564"/>
      <c r="J16" s="2564"/>
      <c r="K16" s="2564"/>
      <c r="L16" s="2565"/>
    </row>
    <row r="17" spans="1:13" ht="12.2" customHeight="1" x14ac:dyDescent="0.2">
      <c r="A17" s="2566"/>
      <c r="B17" s="2552"/>
      <c r="C17" s="2552"/>
      <c r="D17" s="2552"/>
      <c r="E17" s="2552"/>
      <c r="F17" s="2553"/>
      <c r="G17" s="967" t="s">
        <v>1173</v>
      </c>
      <c r="H17" s="965"/>
      <c r="I17" s="965"/>
      <c r="J17" s="965"/>
      <c r="K17" s="969" t="s">
        <v>1172</v>
      </c>
      <c r="L17" s="962"/>
      <c r="M17" s="955"/>
    </row>
    <row r="18" spans="1:13" ht="12.2" customHeight="1" x14ac:dyDescent="0.2">
      <c r="A18" s="2534"/>
      <c r="B18" s="2535"/>
      <c r="C18" s="2535"/>
      <c r="D18" s="2535"/>
      <c r="E18" s="2535"/>
      <c r="F18" s="2536"/>
      <c r="G18" s="2545" t="str">
        <f>COVER!T21</f>
        <v>815-344-1300</v>
      </c>
      <c r="H18" s="2546"/>
      <c r="I18" s="2546"/>
      <c r="J18" s="2546"/>
      <c r="K18" s="2545" t="str">
        <f>COVER!X21</f>
        <v>815-344-1320</v>
      </c>
      <c r="L18" s="2550"/>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7" t="str">
        <f>'Single Audit Cover'!A7</f>
        <v>Richmond-Burton CHSD 157</v>
      </c>
      <c r="B1" s="2568"/>
      <c r="C1" s="2568"/>
      <c r="D1" s="2568"/>
    </row>
    <row r="2" spans="1:11" s="984" customFormat="1" ht="12.75" x14ac:dyDescent="0.2">
      <c r="A2" s="2569">
        <f>'Single Audit Cover'!E7</f>
        <v>44063157016</v>
      </c>
      <c r="B2" s="2570"/>
      <c r="C2" s="2570"/>
      <c r="D2" s="2570"/>
    </row>
    <row r="3" spans="1:11" s="984" customFormat="1" ht="12.75" x14ac:dyDescent="0.2">
      <c r="A3" s="2567" t="s">
        <v>1493</v>
      </c>
      <c r="B3" s="2568"/>
      <c r="C3" s="2568"/>
      <c r="D3" s="2568"/>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2" t="str">
        <f>'Single Audit Cover'!A7</f>
        <v>Richmond-Burton CHSD 157</v>
      </c>
      <c r="B1" s="2572"/>
      <c r="C1" s="2572"/>
      <c r="D1" s="2572"/>
      <c r="E1" s="2572"/>
    </row>
    <row r="2" spans="1:5" x14ac:dyDescent="0.2">
      <c r="A2" s="2573">
        <f>'Single Audit Cover'!E7</f>
        <v>44063157016</v>
      </c>
      <c r="B2" s="2573"/>
      <c r="C2" s="2573"/>
      <c r="D2" s="2573"/>
      <c r="E2" s="2573"/>
    </row>
    <row r="3" spans="1:5" ht="4.5" customHeight="1" x14ac:dyDescent="0.2"/>
    <row r="4" spans="1:5" x14ac:dyDescent="0.2">
      <c r="A4" s="2572" t="s">
        <v>1233</v>
      </c>
      <c r="B4" s="2572"/>
      <c r="C4" s="2572"/>
      <c r="D4" s="2572"/>
      <c r="E4" s="2572"/>
    </row>
    <row r="5" spans="1:5" x14ac:dyDescent="0.2">
      <c r="A5" s="2575" t="str">
        <f>'Single Audit Cover'!A4</f>
        <v>Year Ending June 30, 2020</v>
      </c>
      <c r="B5" s="2575"/>
      <c r="C5" s="2575"/>
      <c r="D5" s="2575"/>
      <c r="E5" s="2575"/>
    </row>
    <row r="6" spans="1:5" x14ac:dyDescent="0.2">
      <c r="A6" s="2572" t="s">
        <v>1232</v>
      </c>
      <c r="B6" s="2572"/>
      <c r="C6" s="2572"/>
      <c r="D6" s="2572"/>
      <c r="E6" s="2572"/>
    </row>
    <row r="8" spans="1:5" x14ac:dyDescent="0.2">
      <c r="A8" s="1029" t="s">
        <v>1231</v>
      </c>
    </row>
    <row r="10" spans="1:5" x14ac:dyDescent="0.2">
      <c r="A10" s="1030" t="s">
        <v>1230</v>
      </c>
      <c r="B10" s="1031" t="s">
        <v>1229</v>
      </c>
      <c r="C10" s="1031"/>
      <c r="D10" s="1032">
        <f>SUM('Acct Summary 7-8'!C7:K7)</f>
        <v>157496</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0</v>
      </c>
    </row>
    <row r="19" spans="1:4" ht="13.5" thickBot="1" x14ac:dyDescent="0.25">
      <c r="A19" s="1034" t="s">
        <v>1223</v>
      </c>
      <c r="D19" s="1035">
        <f>SUM(D10:D17)</f>
        <v>157496</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4"/>
      <c r="B24" s="2574"/>
      <c r="D24" s="1037"/>
    </row>
    <row r="25" spans="1:4" x14ac:dyDescent="0.2">
      <c r="A25" s="2571"/>
      <c r="B25" s="2571"/>
      <c r="D25" s="1037"/>
    </row>
    <row r="26" spans="1:4" x14ac:dyDescent="0.2">
      <c r="A26" s="2571"/>
      <c r="B26" s="2571"/>
      <c r="D26" s="1037"/>
    </row>
    <row r="27" spans="1:4" x14ac:dyDescent="0.2">
      <c r="A27" s="2571"/>
      <c r="B27" s="2571"/>
      <c r="D27" s="1037"/>
    </row>
    <row r="28" spans="1:4" x14ac:dyDescent="0.2">
      <c r="A28" s="2571"/>
      <c r="B28" s="2571"/>
      <c r="D28" s="1037"/>
    </row>
    <row r="29" spans="1:4" x14ac:dyDescent="0.2">
      <c r="A29" s="2571"/>
      <c r="B29" s="2571"/>
      <c r="D29" s="1037"/>
    </row>
    <row r="30" spans="1:4" x14ac:dyDescent="0.2">
      <c r="A30" s="2571"/>
      <c r="B30" s="2571"/>
      <c r="D30" s="1037"/>
    </row>
    <row r="32" spans="1:4" x14ac:dyDescent="0.2">
      <c r="A32" s="1029" t="s">
        <v>1221</v>
      </c>
      <c r="D32" s="1032">
        <f>SUM(D19:D30)</f>
        <v>157496</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1"/>
      <c r="B40" s="2571"/>
      <c r="D40" s="1037"/>
    </row>
    <row r="41" spans="1:4" x14ac:dyDescent="0.2">
      <c r="A41" s="2571"/>
      <c r="B41" s="2571"/>
      <c r="D41" s="1040"/>
    </row>
    <row r="42" spans="1:4" x14ac:dyDescent="0.2">
      <c r="A42" s="2571"/>
      <c r="B42" s="2571"/>
      <c r="D42" s="1040"/>
    </row>
    <row r="43" spans="1:4" x14ac:dyDescent="0.2">
      <c r="A43" s="2571"/>
      <c r="B43" s="2571"/>
      <c r="D43" s="1040"/>
    </row>
    <row r="44" spans="1:4" x14ac:dyDescent="0.2">
      <c r="A44" s="2571"/>
      <c r="B44" s="2571"/>
      <c r="D44" s="1040"/>
    </row>
    <row r="45" spans="1:4" x14ac:dyDescent="0.2">
      <c r="A45" s="2571"/>
      <c r="B45" s="2571"/>
      <c r="D45" s="1040"/>
    </row>
    <row r="47" spans="1:4" x14ac:dyDescent="0.2">
      <c r="B47" s="1041" t="s">
        <v>1215</v>
      </c>
      <c r="C47" s="1041"/>
      <c r="D47" s="1042">
        <f>SUM(D35:D45)</f>
        <v>0</v>
      </c>
    </row>
    <row r="49" spans="2:4" x14ac:dyDescent="0.2">
      <c r="B49" s="1041" t="s">
        <v>1214</v>
      </c>
      <c r="C49" s="1041"/>
      <c r="D49" s="1042">
        <f>D32-D47</f>
        <v>157496</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4" t="str">
        <f>'Single Audit Cover'!A7</f>
        <v>Richmond-Burton CHSD 157</v>
      </c>
      <c r="C1" s="2576"/>
      <c r="D1" s="2576"/>
      <c r="E1" s="2576"/>
      <c r="F1" s="2576"/>
      <c r="G1" s="2576"/>
      <c r="H1" s="2576"/>
      <c r="I1" s="2576"/>
      <c r="J1" s="2576"/>
      <c r="K1" s="2576"/>
      <c r="L1" s="2576"/>
      <c r="M1" s="2576"/>
    </row>
    <row r="2" spans="2:14" ht="15" x14ac:dyDescent="0.2">
      <c r="B2" s="2577">
        <f>'Single Audit Cover'!E7</f>
        <v>44063157016</v>
      </c>
      <c r="C2" s="2577"/>
      <c r="D2" s="2577"/>
      <c r="E2" s="2577"/>
      <c r="F2" s="2577"/>
      <c r="G2" s="2577"/>
      <c r="H2" s="2577"/>
      <c r="I2" s="2577"/>
      <c r="J2" s="2577"/>
      <c r="K2" s="2577"/>
      <c r="L2" s="2577"/>
      <c r="M2" s="2577"/>
      <c r="N2" s="1071"/>
    </row>
    <row r="3" spans="2:14" ht="15" x14ac:dyDescent="0.2">
      <c r="B3" s="2578" t="s">
        <v>1207</v>
      </c>
      <c r="C3" s="2578"/>
      <c r="D3" s="2578"/>
      <c r="E3" s="2578"/>
      <c r="F3" s="2578"/>
      <c r="G3" s="2578"/>
      <c r="H3" s="2578"/>
      <c r="I3" s="2578"/>
      <c r="J3" s="2578"/>
      <c r="K3" s="2578"/>
      <c r="L3" s="2578"/>
      <c r="M3" s="2578"/>
      <c r="N3" s="1071"/>
    </row>
    <row r="4" spans="2:14" ht="15" x14ac:dyDescent="0.2">
      <c r="B4" s="2579" t="str">
        <f>'Single Audit Cover'!A4</f>
        <v>Year Ending June 30, 2020</v>
      </c>
      <c r="C4" s="2579"/>
      <c r="D4" s="2579"/>
      <c r="E4" s="2579"/>
      <c r="F4" s="2579"/>
      <c r="G4" s="2579"/>
      <c r="H4" s="2579"/>
      <c r="I4" s="2579"/>
      <c r="J4" s="2579"/>
      <c r="K4" s="2579"/>
      <c r="L4" s="2579"/>
      <c r="M4" s="2579"/>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O8" sqref="O8"/>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9" t="str">
        <f>'Single Audit Cover'!A7</f>
        <v>Richmond-Burton CHSD 157</v>
      </c>
      <c r="B1" s="2589"/>
      <c r="C1" s="2589"/>
      <c r="D1" s="2589"/>
      <c r="E1" s="2589"/>
      <c r="F1" s="2589"/>
    </row>
    <row r="2" spans="1:7" ht="13.5" customHeight="1" x14ac:dyDescent="0.2">
      <c r="A2" s="2577">
        <f>'Single Audit Cover'!E7</f>
        <v>44063157016</v>
      </c>
      <c r="B2" s="2577"/>
      <c r="C2" s="2577"/>
      <c r="D2" s="2577"/>
      <c r="E2" s="2577"/>
      <c r="F2" s="2577"/>
      <c r="G2" s="1044"/>
    </row>
    <row r="3" spans="1:7" ht="15.75" customHeight="1" x14ac:dyDescent="0.2">
      <c r="A3" s="2590" t="s">
        <v>1259</v>
      </c>
      <c r="B3" s="2590"/>
      <c r="C3" s="2590"/>
      <c r="D3" s="2590"/>
      <c r="E3" s="2590"/>
      <c r="F3" s="2590"/>
    </row>
    <row r="4" spans="1:7" ht="13.5" customHeight="1" x14ac:dyDescent="0.2">
      <c r="A4" s="2591" t="str">
        <f>'Single Audit Cover'!A4</f>
        <v>Year Ending June 30, 2020</v>
      </c>
      <c r="B4" s="2591"/>
      <c r="C4" s="2591"/>
      <c r="D4" s="2591"/>
      <c r="E4" s="2591"/>
      <c r="F4" s="2591"/>
    </row>
    <row r="5" spans="1:7" ht="8.25" customHeight="1" x14ac:dyDescent="0.2">
      <c r="C5" s="295"/>
      <c r="D5" s="295"/>
    </row>
    <row r="6" spans="1:7" ht="13.5" customHeight="1" x14ac:dyDescent="0.2">
      <c r="A6" s="1045" t="s">
        <v>1702</v>
      </c>
      <c r="C6" s="295"/>
      <c r="D6" s="295"/>
    </row>
    <row r="7" spans="1:7" ht="60.95" customHeight="1" x14ac:dyDescent="0.2">
      <c r="A7" s="2588" t="s">
        <v>1703</v>
      </c>
      <c r="B7" s="2588"/>
      <c r="C7" s="2588"/>
      <c r="D7" s="2588"/>
      <c r="E7" s="2588"/>
      <c r="F7" s="2588"/>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8" t="s">
        <v>1705</v>
      </c>
      <c r="B13" s="2588"/>
      <c r="C13" s="2588"/>
      <c r="D13" s="2588"/>
      <c r="E13" s="2588"/>
      <c r="F13" s="2588"/>
    </row>
    <row r="14" spans="1:7" ht="9.75" customHeight="1" x14ac:dyDescent="0.2">
      <c r="C14" s="1029"/>
      <c r="D14" s="1029"/>
    </row>
    <row r="15" spans="1:7" ht="13.5" customHeight="1" x14ac:dyDescent="0.2">
      <c r="C15" s="1469" t="s">
        <v>1258</v>
      </c>
      <c r="D15" s="2586" t="s">
        <v>1257</v>
      </c>
      <c r="E15" s="2586"/>
      <c r="F15" s="2586"/>
    </row>
    <row r="16" spans="1:7" ht="13.5" customHeight="1" x14ac:dyDescent="0.2">
      <c r="A16" s="1051"/>
      <c r="B16" s="1045" t="s">
        <v>1256</v>
      </c>
      <c r="C16" s="1469" t="s">
        <v>1255</v>
      </c>
      <c r="D16" s="2587" t="s">
        <v>1568</v>
      </c>
      <c r="E16" s="2587"/>
      <c r="F16" s="2587"/>
    </row>
    <row r="17" spans="1:6" ht="20.45" customHeight="1" x14ac:dyDescent="0.2">
      <c r="A17" s="1052"/>
      <c r="B17" s="1053"/>
      <c r="C17" s="1054"/>
      <c r="D17" s="2581"/>
      <c r="E17" s="2581"/>
      <c r="F17" s="2581"/>
    </row>
    <row r="18" spans="1:6" ht="20.65" customHeight="1" x14ac:dyDescent="0.2">
      <c r="A18" s="1052"/>
      <c r="B18" s="1053"/>
      <c r="C18" s="1054"/>
      <c r="D18" s="2581"/>
      <c r="E18" s="2581"/>
      <c r="F18" s="2581"/>
    </row>
    <row r="19" spans="1:6" ht="20.65" customHeight="1" x14ac:dyDescent="0.2">
      <c r="A19" s="1052"/>
      <c r="B19" s="1053"/>
      <c r="C19" s="1054"/>
      <c r="D19" s="2581"/>
      <c r="E19" s="2581"/>
      <c r="F19" s="2581"/>
    </row>
    <row r="20" spans="1:6" ht="20.65" customHeight="1" x14ac:dyDescent="0.2">
      <c r="A20" s="1052"/>
      <c r="B20" s="1053"/>
      <c r="C20" s="1054"/>
      <c r="D20" s="2581"/>
      <c r="E20" s="2581"/>
      <c r="F20" s="2581"/>
    </row>
    <row r="21" spans="1:6" ht="20.65" customHeight="1" x14ac:dyDescent="0.2">
      <c r="A21" s="1052"/>
      <c r="B21" s="1053"/>
      <c r="C21" s="1054"/>
      <c r="D21" s="2581"/>
      <c r="E21" s="2581"/>
      <c r="F21" s="2581"/>
    </row>
    <row r="22" spans="1:6" ht="20.65" customHeight="1" x14ac:dyDescent="0.2">
      <c r="A22" s="1052"/>
      <c r="B22" s="1053"/>
      <c r="C22" s="1054"/>
      <c r="D22" s="2581"/>
      <c r="E22" s="2581"/>
      <c r="F22" s="2581"/>
    </row>
    <row r="23" spans="1:6" ht="20.65" customHeight="1" x14ac:dyDescent="0.2">
      <c r="A23" s="1052"/>
      <c r="B23" s="1053"/>
      <c r="C23" s="1054"/>
      <c r="D23" s="2581"/>
      <c r="E23" s="2581"/>
      <c r="F23" s="2581"/>
    </row>
    <row r="24" spans="1:6" ht="20.65" customHeight="1" x14ac:dyDescent="0.2">
      <c r="A24" s="1052"/>
      <c r="B24" s="1053"/>
      <c r="C24" s="1054"/>
      <c r="D24" s="2581"/>
      <c r="E24" s="2581"/>
      <c r="F24" s="2581"/>
    </row>
    <row r="25" spans="1:6" ht="20.65" customHeight="1" x14ac:dyDescent="0.2">
      <c r="A25" s="1052"/>
      <c r="B25" s="1053"/>
      <c r="C25" s="1054"/>
      <c r="D25" s="2581"/>
      <c r="E25" s="2581"/>
      <c r="F25" s="2581"/>
    </row>
    <row r="26" spans="1:6" ht="20.65" customHeight="1" x14ac:dyDescent="0.2">
      <c r="A26" s="1052"/>
      <c r="B26" s="1053"/>
      <c r="C26" s="1054"/>
      <c r="D26" s="2581"/>
      <c r="E26" s="2581"/>
      <c r="F26" s="2581"/>
    </row>
    <row r="27" spans="1:6" ht="20.65" customHeight="1" x14ac:dyDescent="0.2">
      <c r="A27" s="1052"/>
      <c r="B27" s="1053"/>
      <c r="C27" s="1054"/>
      <c r="D27" s="2581"/>
      <c r="E27" s="2581"/>
      <c r="F27" s="2581"/>
    </row>
    <row r="28" spans="1:6" ht="20.65" customHeight="1" x14ac:dyDescent="0.2">
      <c r="A28" s="1052"/>
      <c r="B28" s="1053"/>
      <c r="C28" s="1054"/>
      <c r="D28" s="2581"/>
      <c r="E28" s="2581"/>
      <c r="F28" s="2581"/>
    </row>
    <row r="29" spans="1:6" ht="20.65" customHeight="1" x14ac:dyDescent="0.2">
      <c r="A29" s="1052"/>
      <c r="B29" s="1053"/>
      <c r="C29" s="1054"/>
      <c r="D29" s="2581"/>
      <c r="E29" s="2581"/>
      <c r="F29" s="2581"/>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2" t="s">
        <v>1706</v>
      </c>
      <c r="B32" s="2582"/>
      <c r="C32" s="2582"/>
      <c r="D32" s="2582"/>
      <c r="E32" s="2582"/>
      <c r="F32" s="2582"/>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83">
        <f>+C33+C34</f>
        <v>0</v>
      </c>
      <c r="F34" s="2584"/>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5" t="s">
        <v>1570</v>
      </c>
      <c r="C49" s="2585"/>
      <c r="D49" s="2585"/>
      <c r="E49" s="1161"/>
    </row>
    <row r="50" spans="1:5" s="1069" customFormat="1" ht="3.75" customHeight="1" x14ac:dyDescent="0.2">
      <c r="A50" s="1068"/>
      <c r="B50" s="1468"/>
      <c r="C50" s="1468"/>
      <c r="D50" s="1468"/>
      <c r="E50" s="1161"/>
    </row>
    <row r="51" spans="1:5" s="1069" customFormat="1" ht="20.25" customHeight="1" x14ac:dyDescent="0.2">
      <c r="A51" s="1070">
        <v>6</v>
      </c>
      <c r="B51" s="2580" t="s">
        <v>1531</v>
      </c>
      <c r="C51" s="2580"/>
      <c r="D51" s="2580"/>
    </row>
    <row r="52" spans="1:5" ht="14.25" customHeight="1" x14ac:dyDescent="0.2">
      <c r="A52" s="1070"/>
      <c r="B52" s="2580"/>
      <c r="C52" s="2580"/>
      <c r="D52" s="258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9"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1157</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t="s">
        <v>2066</v>
      </c>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3" t="s">
        <v>1613</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2066</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2066</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t="s">
        <v>2068</v>
      </c>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1311</v>
      </c>
      <c r="B70" s="2176"/>
      <c r="C70" s="2176"/>
      <c r="D70" s="2176"/>
      <c r="E70" s="2177"/>
      <c r="F70" s="2177"/>
      <c r="G70" s="2177"/>
      <c r="H70" s="2177"/>
      <c r="I70" s="217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1308</v>
      </c>
      <c r="B83" s="2178"/>
      <c r="C83" s="2178"/>
      <c r="D83" s="2179"/>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9" t="s">
        <v>1986</v>
      </c>
      <c r="B85" s="2189"/>
      <c r="C85" s="2189"/>
      <c r="D85" s="2190"/>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1" t="s">
        <v>1986</v>
      </c>
      <c r="B88" s="2192"/>
      <c r="C88" s="2192"/>
      <c r="D88" s="2193"/>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2015</v>
      </c>
      <c r="D114" s="216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1318</v>
      </c>
      <c r="D117" s="2171"/>
      <c r="E117" s="2172"/>
      <c r="F117" s="2172"/>
      <c r="G117" s="2172"/>
      <c r="H117" s="2172"/>
      <c r="I117" s="282"/>
    </row>
    <row r="118" spans="1:9" s="176" customFormat="1" ht="24" customHeight="1" x14ac:dyDescent="0.2">
      <c r="A118" s="294"/>
      <c r="B118" s="294"/>
      <c r="C118" s="294"/>
      <c r="D118" s="301" t="s">
        <v>2098</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election activeCell="O8" sqref="O8"/>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3" t="str">
        <f>'Single Audit Cover'!A7</f>
        <v>Richmond-Burton CHSD 157</v>
      </c>
      <c r="C1" s="2604"/>
      <c r="D1" s="2604"/>
      <c r="E1" s="2604"/>
      <c r="F1" s="2604"/>
      <c r="G1" s="2604"/>
      <c r="H1" s="2604"/>
      <c r="I1" s="2604"/>
      <c r="J1" s="1171"/>
    </row>
    <row r="2" spans="2:10" s="295" customFormat="1" ht="12.75" customHeight="1" x14ac:dyDescent="0.2">
      <c r="B2" s="2605">
        <f>'Single Audit Cover'!E7</f>
        <v>44063157016</v>
      </c>
      <c r="C2" s="2606"/>
      <c r="D2" s="2606"/>
      <c r="E2" s="2606"/>
      <c r="F2" s="2606"/>
      <c r="G2" s="2606"/>
      <c r="H2" s="2606"/>
      <c r="I2" s="2606"/>
      <c r="J2" s="1171"/>
    </row>
    <row r="3" spans="2:10" s="295" customFormat="1" ht="12.75" customHeight="1" x14ac:dyDescent="0.2">
      <c r="B3" s="2607" t="s">
        <v>1273</v>
      </c>
      <c r="C3" s="2608"/>
      <c r="D3" s="2608"/>
      <c r="E3" s="2608"/>
      <c r="F3" s="2608"/>
      <c r="G3" s="2608"/>
      <c r="H3" s="2608"/>
      <c r="I3" s="2608"/>
      <c r="J3" s="1172"/>
    </row>
    <row r="4" spans="2:10" s="295" customFormat="1" ht="12.75" customHeight="1" x14ac:dyDescent="0.2">
      <c r="B4" s="2607" t="str">
        <f>'Single Audit Cover'!A4</f>
        <v>Year Ending June 30, 2020</v>
      </c>
      <c r="C4" s="2608"/>
      <c r="D4" s="2608"/>
      <c r="E4" s="2608"/>
      <c r="F4" s="2608"/>
      <c r="G4" s="2608"/>
      <c r="H4" s="2608"/>
      <c r="I4" s="2608"/>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7" t="s">
        <v>1272</v>
      </c>
      <c r="C7" s="2608"/>
      <c r="D7" s="2608"/>
      <c r="E7" s="2608"/>
      <c r="F7" s="2608"/>
      <c r="G7" s="2608"/>
      <c r="H7" s="2608"/>
      <c r="I7" s="2608"/>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09"/>
      <c r="D11" s="2609"/>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0"/>
      <c r="E29" s="2610"/>
      <c r="F29" s="2610"/>
      <c r="G29" s="2610"/>
      <c r="H29" s="2610"/>
      <c r="I29" s="2610"/>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11" t="s">
        <v>1725</v>
      </c>
      <c r="D37" s="2612"/>
      <c r="E37" s="2612"/>
      <c r="F37" s="2613"/>
      <c r="G37" s="2611" t="s">
        <v>1572</v>
      </c>
      <c r="H37" s="2612"/>
      <c r="I37" s="2613"/>
    </row>
    <row r="38" spans="2:9" ht="16.5" customHeight="1" x14ac:dyDescent="0.2">
      <c r="B38" s="1193"/>
      <c r="C38" s="2599"/>
      <c r="D38" s="2600"/>
      <c r="E38" s="2600"/>
      <c r="F38" s="2601"/>
      <c r="G38" s="2614"/>
      <c r="H38" s="2615"/>
      <c r="I38" s="2616"/>
    </row>
    <row r="39" spans="2:9" ht="16.5" customHeight="1" x14ac:dyDescent="0.2">
      <c r="B39" s="1193"/>
      <c r="C39" s="2599"/>
      <c r="D39" s="2600"/>
      <c r="E39" s="2600"/>
      <c r="F39" s="2601"/>
      <c r="G39" s="2602"/>
      <c r="H39" s="2602"/>
      <c r="I39" s="2602"/>
    </row>
    <row r="40" spans="2:9" ht="16.5" customHeight="1" x14ac:dyDescent="0.2">
      <c r="B40" s="1193"/>
      <c r="C40" s="2599"/>
      <c r="D40" s="2600"/>
      <c r="E40" s="2600"/>
      <c r="F40" s="2601"/>
      <c r="G40" s="2602"/>
      <c r="H40" s="2602"/>
      <c r="I40" s="2602"/>
    </row>
    <row r="41" spans="2:9" ht="16.5" customHeight="1" x14ac:dyDescent="0.2">
      <c r="B41" s="1193"/>
      <c r="C41" s="2599"/>
      <c r="D41" s="2600"/>
      <c r="E41" s="2600"/>
      <c r="F41" s="2601"/>
      <c r="G41" s="2602"/>
      <c r="H41" s="2602"/>
      <c r="I41" s="2602"/>
    </row>
    <row r="42" spans="2:9" ht="16.5" customHeight="1" x14ac:dyDescent="0.2">
      <c r="B42" s="1193"/>
      <c r="C42" s="2599"/>
      <c r="D42" s="2600"/>
      <c r="E42" s="2600"/>
      <c r="F42" s="2601"/>
      <c r="G42" s="2602"/>
      <c r="H42" s="2602"/>
      <c r="I42" s="2602"/>
    </row>
    <row r="43" spans="2:9" ht="16.5" customHeight="1" x14ac:dyDescent="0.2">
      <c r="B43" s="1193"/>
      <c r="C43" s="2592" t="s">
        <v>1573</v>
      </c>
      <c r="D43" s="2593"/>
      <c r="E43" s="2593"/>
      <c r="F43" s="2594"/>
      <c r="G43" s="2595">
        <f>SUM(G38:I42)</f>
        <v>0</v>
      </c>
      <c r="H43" s="2595"/>
      <c r="I43" s="2595"/>
    </row>
    <row r="44" spans="2:9" ht="12.75" customHeight="1" x14ac:dyDescent="0.2"/>
    <row r="45" spans="2:9" ht="12.75" customHeight="1" x14ac:dyDescent="0.2">
      <c r="B45" s="1903" t="str">
        <f>"Total Federal Expenditures for 7/1/"&amp;MID('AFR20'!E2,3,2)-1&amp;"-6/30/"&amp;MID('AFR20'!E2,3,2)</f>
        <v>Total Federal Expenditures for 7/1/19-6/30/20</v>
      </c>
      <c r="C45" s="1904"/>
      <c r="D45" s="2596">
        <v>0</v>
      </c>
      <c r="E45" s="2597"/>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598"/>
      <c r="F49" s="2598"/>
      <c r="G49" s="2598"/>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O8" sqref="O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Richmond-Burton CHSD 157</v>
      </c>
      <c r="C1" s="2603"/>
      <c r="D1" s="2603"/>
      <c r="E1" s="2603"/>
      <c r="F1" s="2603"/>
      <c r="G1" s="2603"/>
      <c r="H1" s="2603"/>
      <c r="I1" s="2603"/>
      <c r="J1" s="2603"/>
      <c r="K1" s="2603"/>
      <c r="L1" s="1137"/>
      <c r="M1" s="1137"/>
    </row>
    <row r="2" spans="1:13" ht="12" customHeight="1" x14ac:dyDescent="0.2">
      <c r="B2" s="2605">
        <f>'Single Audit Cover'!E7</f>
        <v>44063157016</v>
      </c>
      <c r="C2" s="2605"/>
      <c r="D2" s="2605"/>
      <c r="E2" s="2605"/>
      <c r="F2" s="2605"/>
      <c r="G2" s="2605"/>
      <c r="H2" s="2605"/>
      <c r="I2" s="2605"/>
      <c r="J2" s="2605"/>
      <c r="K2" s="2605"/>
      <c r="L2" s="1138"/>
      <c r="M2" s="1139"/>
    </row>
    <row r="3" spans="1:13" ht="10.35" customHeight="1" x14ac:dyDescent="0.2">
      <c r="B3" s="2619" t="s">
        <v>1273</v>
      </c>
      <c r="C3" s="2619"/>
      <c r="D3" s="2619"/>
      <c r="E3" s="2619"/>
      <c r="F3" s="2619"/>
      <c r="G3" s="2619"/>
      <c r="H3" s="2619"/>
      <c r="I3" s="2619"/>
      <c r="J3" s="2619"/>
      <c r="K3" s="2619"/>
      <c r="L3" s="1140"/>
      <c r="M3" s="1140"/>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0" t="s">
        <v>1284</v>
      </c>
      <c r="C7" s="2620"/>
      <c r="D7" s="2621"/>
      <c r="E7" s="2621"/>
      <c r="F7" s="2621"/>
      <c r="G7" s="2621"/>
      <c r="H7" s="2621"/>
      <c r="I7" s="2621"/>
      <c r="J7" s="2621"/>
      <c r="K7" s="262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8"/>
      <c r="C14" s="2618"/>
      <c r="D14" s="2618"/>
      <c r="E14" s="2618"/>
      <c r="F14" s="2618"/>
      <c r="G14" s="2618"/>
      <c r="H14" s="2618"/>
      <c r="I14" s="2618"/>
      <c r="J14" s="2618"/>
      <c r="K14" s="261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8"/>
      <c r="C17" s="2618"/>
      <c r="D17" s="2618"/>
      <c r="E17" s="2618"/>
      <c r="F17" s="2618"/>
      <c r="G17" s="2618"/>
      <c r="H17" s="2618"/>
      <c r="I17" s="2618"/>
      <c r="J17" s="2618"/>
      <c r="K17" s="2618"/>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2"/>
      <c r="C20" s="2622"/>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8"/>
      <c r="C23" s="2618"/>
      <c r="D23" s="2618"/>
      <c r="E23" s="2618"/>
      <c r="F23" s="2618"/>
      <c r="G23" s="2618"/>
      <c r="H23" s="2618"/>
      <c r="I23" s="2618"/>
      <c r="J23" s="2618"/>
      <c r="K23" s="2618"/>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8"/>
      <c r="C26" s="2618"/>
      <c r="D26" s="2618"/>
      <c r="E26" s="2618"/>
      <c r="F26" s="2618"/>
      <c r="G26" s="2618"/>
      <c r="H26" s="2618"/>
      <c r="I26" s="2618"/>
      <c r="J26" s="2618"/>
      <c r="K26" s="2618"/>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7"/>
      <c r="C29" s="2617"/>
      <c r="D29" s="2618"/>
      <c r="E29" s="2618"/>
      <c r="F29" s="2618"/>
      <c r="G29" s="2618"/>
      <c r="H29" s="2618"/>
      <c r="I29" s="2618"/>
      <c r="J29" s="2618"/>
      <c r="K29" s="261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17"/>
      <c r="C32" s="2617"/>
      <c r="D32" s="2618"/>
      <c r="E32" s="2618"/>
      <c r="F32" s="2618"/>
      <c r="G32" s="2618"/>
      <c r="H32" s="2618"/>
      <c r="I32" s="2618"/>
      <c r="J32" s="2618"/>
      <c r="K32" s="261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O8" sqref="O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6" t="str">
        <f>'Single Audit Cover'!A7</f>
        <v>Richmond-Burton CHSD 157</v>
      </c>
      <c r="C1" s="2626"/>
      <c r="D1" s="2626"/>
      <c r="E1" s="2626"/>
      <c r="F1" s="2626"/>
      <c r="G1" s="2626"/>
      <c r="H1" s="2626"/>
      <c r="I1" s="2626"/>
      <c r="J1" s="2626"/>
      <c r="K1" s="2626"/>
      <c r="L1" s="1214"/>
    </row>
    <row r="2" spans="1:12" ht="12.75" customHeight="1" x14ac:dyDescent="0.2">
      <c r="B2" s="2627">
        <f>'Single Audit Cover'!E7</f>
        <v>44063157016</v>
      </c>
      <c r="C2" s="2627"/>
      <c r="D2" s="2627"/>
      <c r="E2" s="2627"/>
      <c r="F2" s="2627"/>
      <c r="G2" s="2627"/>
      <c r="H2" s="2627"/>
      <c r="I2" s="2627"/>
      <c r="J2" s="2627"/>
      <c r="K2" s="2627"/>
      <c r="L2" s="1215"/>
    </row>
    <row r="3" spans="1:12" ht="12.75" customHeight="1" x14ac:dyDescent="0.2">
      <c r="B3" s="2619" t="s">
        <v>1273</v>
      </c>
      <c r="C3" s="2619"/>
      <c r="D3" s="2619"/>
      <c r="E3" s="2619"/>
      <c r="F3" s="2619"/>
      <c r="G3" s="2619"/>
      <c r="H3" s="2619"/>
      <c r="I3" s="2619"/>
      <c r="J3" s="2619"/>
      <c r="K3" s="2619"/>
      <c r="L3" s="1140"/>
    </row>
    <row r="4" spans="1:12" ht="12.75" customHeight="1" x14ac:dyDescent="0.2">
      <c r="B4" s="2619" t="str">
        <f>'Single Audit Cover'!A4</f>
        <v>Year Ending June 30, 2020</v>
      </c>
      <c r="C4" s="2619"/>
      <c r="D4" s="2619"/>
      <c r="E4" s="2619"/>
      <c r="F4" s="2619"/>
      <c r="G4" s="2619"/>
      <c r="H4" s="2619"/>
      <c r="I4" s="2619"/>
      <c r="J4" s="2619"/>
      <c r="K4" s="2619"/>
      <c r="L4" s="1140"/>
    </row>
    <row r="5" spans="1:12" ht="5.25" customHeight="1" x14ac:dyDescent="0.2">
      <c r="B5" s="1029" t="s">
        <v>1158</v>
      </c>
      <c r="C5" s="1029"/>
      <c r="L5" s="300"/>
    </row>
    <row r="6" spans="1:12" ht="30.75" customHeight="1" x14ac:dyDescent="0.2">
      <c r="A6" s="300"/>
      <c r="B6" s="2628" t="s">
        <v>1296</v>
      </c>
      <c r="C6" s="2628"/>
      <c r="D6" s="2628"/>
      <c r="E6" s="2628"/>
      <c r="F6" s="2628"/>
      <c r="G6" s="2628"/>
      <c r="H6" s="2628"/>
      <c r="I6" s="2628"/>
      <c r="J6" s="2628"/>
      <c r="K6" s="2628"/>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0"/>
      <c r="G12" s="2610"/>
      <c r="H12" s="2610"/>
      <c r="I12" s="2610"/>
      <c r="J12" s="2610"/>
      <c r="K12" s="2610"/>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3"/>
      <c r="E14" s="2623"/>
      <c r="F14" s="2623"/>
      <c r="H14" s="1223" t="s">
        <v>1291</v>
      </c>
      <c r="I14" s="2624"/>
      <c r="J14" s="2624"/>
      <c r="K14" s="2624"/>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4"/>
      <c r="E16" s="2624"/>
      <c r="F16" s="2624"/>
      <c r="G16" s="2624"/>
      <c r="H16" s="2624"/>
      <c r="I16" s="2624"/>
      <c r="J16" s="2624"/>
      <c r="K16" s="2624"/>
      <c r="L16" s="300"/>
    </row>
    <row r="17" spans="2:12" ht="13.5" customHeight="1" x14ac:dyDescent="0.2">
      <c r="B17" s="1149" t="s">
        <v>1289</v>
      </c>
      <c r="C17" s="1149"/>
      <c r="D17" s="2625"/>
      <c r="E17" s="2625"/>
      <c r="F17" s="2625"/>
      <c r="G17" s="2625"/>
      <c r="H17" s="2625"/>
      <c r="I17" s="2625"/>
      <c r="J17" s="2625"/>
      <c r="K17" s="2625"/>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8"/>
      <c r="C20" s="2618"/>
      <c r="D20" s="2618"/>
      <c r="E20" s="2618"/>
      <c r="F20" s="2618"/>
      <c r="G20" s="2618"/>
      <c r="H20" s="2618"/>
      <c r="I20" s="2618"/>
      <c r="J20" s="2618"/>
      <c r="K20" s="2618"/>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O8" sqref="O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3" t="str">
        <f>'Single Audit Cover'!A7</f>
        <v>Richmond-Burton CHSD 157</v>
      </c>
      <c r="C1" s="2603"/>
      <c r="D1" s="2603"/>
      <c r="E1" s="1233"/>
    </row>
    <row r="2" spans="2:5" s="1051" customFormat="1" ht="12.75" customHeight="1" x14ac:dyDescent="0.2">
      <c r="B2" s="2605">
        <f>'Single Audit Cover'!E7</f>
        <v>44063157016</v>
      </c>
      <c r="C2" s="2605"/>
      <c r="D2" s="2605"/>
      <c r="E2" s="1234"/>
    </row>
    <row r="3" spans="2:5" ht="12.75" customHeight="1" x14ac:dyDescent="0.2">
      <c r="B3" s="2619" t="s">
        <v>1740</v>
      </c>
      <c r="C3" s="2619"/>
      <c r="D3" s="2619"/>
      <c r="E3" s="1043"/>
    </row>
    <row r="4" spans="2:5" s="1051" customFormat="1" ht="12.75" customHeight="1" x14ac:dyDescent="0.2">
      <c r="B4" s="2629" t="str">
        <f>'Single Audit Cover'!A4</f>
        <v>Year Ending June 30, 2020</v>
      </c>
      <c r="C4" s="2629"/>
      <c r="D4" s="2629"/>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B31" sqref="B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383659467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1.9973000000000001E-2</v>
      </c>
      <c r="E10" s="333" t="s">
        <v>997</v>
      </c>
      <c r="F10" s="332">
        <v>4.5110000000000003E-3</v>
      </c>
      <c r="G10" s="333" t="s">
        <v>997</v>
      </c>
      <c r="H10" s="332">
        <v>1.457E-3</v>
      </c>
      <c r="I10" s="333" t="s">
        <v>998</v>
      </c>
      <c r="J10" s="1417">
        <f>ROUND(D10+F10+H10,5)</f>
        <v>2.5940000000000001E-2</v>
      </c>
      <c r="K10" s="217"/>
      <c r="L10" s="332">
        <v>4.6000000000000001E-4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13291986</v>
      </c>
      <c r="E16" s="1540"/>
      <c r="F16" s="1539">
        <f>SUM('Acct Summary 7-8'!C17,'Acct Summary 7-8'!D17,'Acct Summary 7-8'!F17)</f>
        <v>10863551</v>
      </c>
      <c r="G16" s="1540"/>
      <c r="H16" s="1539">
        <f>SUM(D16-F16)</f>
        <v>2428435</v>
      </c>
      <c r="I16" s="1541"/>
      <c r="J16" s="1539">
        <f>SUM('Acct Summary 7-8'!C81,'Acct Summary 7-8'!D81,'Acct Summary 7-8'!F81,'Acct Summary 7-8'!I81)</f>
        <v>20099828</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2062</v>
      </c>
      <c r="C31" s="344" t="s">
        <v>582</v>
      </c>
      <c r="D31" s="232" t="s">
        <v>1062</v>
      </c>
      <c r="E31" s="217"/>
      <c r="F31" s="217"/>
      <c r="G31" s="340"/>
      <c r="H31" s="1418">
        <f>IF(B31="X",(J7*0.069),IF(B32="X",(J7*0.138),"Enter x in a.or b."))</f>
        <v>26472503.223000001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695000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29" sqref="H2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1393</v>
      </c>
      <c r="B3" s="2214"/>
      <c r="C3" s="2214"/>
      <c r="D3" s="2214"/>
      <c r="E3" s="2214"/>
      <c r="F3" s="2214"/>
      <c r="G3" s="2214"/>
      <c r="H3" s="2214"/>
      <c r="I3" s="2214"/>
      <c r="J3" s="2214"/>
      <c r="K3" s="2214"/>
      <c r="L3" s="2214"/>
      <c r="M3" s="2214"/>
      <c r="N3" s="2214"/>
      <c r="O3" s="2214"/>
      <c r="P3" s="2214"/>
      <c r="Q3" s="2214"/>
      <c r="R3" s="2214"/>
    </row>
    <row r="4" spans="1:18" x14ac:dyDescent="0.2">
      <c r="A4" s="2215" t="s">
        <v>1534</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Richmond-Burton CHSD 157</v>
      </c>
      <c r="E7" s="368"/>
      <c r="G7" s="247"/>
      <c r="H7" s="364"/>
      <c r="I7" s="364"/>
      <c r="J7" s="364"/>
      <c r="K7" s="364"/>
      <c r="L7" s="307"/>
      <c r="M7" s="307"/>
      <c r="N7" s="307"/>
      <c r="O7" s="307"/>
      <c r="P7" s="307"/>
    </row>
    <row r="8" spans="1:18" ht="12.75" x14ac:dyDescent="0.2">
      <c r="A8" s="307"/>
      <c r="B8" s="307"/>
      <c r="C8" s="366" t="s">
        <v>1114</v>
      </c>
      <c r="D8" s="369">
        <f>COVER!A13</f>
        <v>44063157016</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20099828</v>
      </c>
      <c r="I12" s="380"/>
      <c r="J12" s="380"/>
      <c r="K12" s="1552">
        <f>TRUNC((H12/H13*100000),5)/100000</f>
        <v>1.5121764347000002</v>
      </c>
      <c r="L12" s="381"/>
      <c r="M12" s="337" t="s">
        <v>1133</v>
      </c>
      <c r="N12" s="337"/>
      <c r="O12" s="1555">
        <v>0.35</v>
      </c>
      <c r="P12" s="213"/>
      <c r="Q12" s="213"/>
    </row>
    <row r="13" spans="1:18" s="382" customFormat="1" ht="12.75" x14ac:dyDescent="0.2">
      <c r="A13" s="213"/>
      <c r="B13" s="377"/>
      <c r="C13" s="2211" t="s">
        <v>1312</v>
      </c>
      <c r="D13" s="2212"/>
      <c r="E13" s="213"/>
      <c r="F13" s="383" t="s">
        <v>787</v>
      </c>
      <c r="G13" s="378"/>
      <c r="H13" s="1544">
        <f>SUM('Acct Summary 7-8'!C8+'Acct Summary 7-8'!D8+'Acct Summary 7-8'!F8+'Acct Summary 7-8'!I8)+H14</f>
        <v>13291986</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10863551</v>
      </c>
      <c r="I17" s="380"/>
      <c r="J17" s="389"/>
      <c r="K17" s="1552">
        <f>TRUNC((H17/H18*100000),5)/100000</f>
        <v>0.81730081560000001</v>
      </c>
      <c r="L17" s="381"/>
      <c r="M17" s="390" t="s">
        <v>1160</v>
      </c>
      <c r="O17" s="1558" t="str">
        <f>IF(AND(O16="2", J20 &gt; 2),"1",IF(AND(O16 = "1", J20 &gt; 2),"2",IF(AND(O16="1", J20 &gt;1),"1","0")))</f>
        <v>0</v>
      </c>
      <c r="P17" s="213"/>
    </row>
    <row r="18" spans="1:18" s="382" customFormat="1" ht="11.25" x14ac:dyDescent="0.2">
      <c r="A18" s="213"/>
      <c r="B18" s="377"/>
      <c r="C18" s="2211" t="s">
        <v>1305</v>
      </c>
      <c r="D18" s="2212"/>
      <c r="E18" s="213"/>
      <c r="F18" s="391" t="s">
        <v>788</v>
      </c>
      <c r="G18" s="378"/>
      <c r="H18" s="1544">
        <f>SUM('Acct Summary 7-8'!C8+'Acct Summary 7-8'!D8+'Acct Summary 7-8'!F8+'Acct Summary 7-8'!I8)+H19</f>
        <v>13291986</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08" t="s">
        <v>1392</v>
      </c>
      <c r="D24" s="2208"/>
      <c r="E24" s="213"/>
      <c r="F24" s="213" t="s">
        <v>442</v>
      </c>
      <c r="G24" s="378"/>
      <c r="H24" s="1544">
        <f>SUM('Assets-Liab 5-6'!C4+'Assets-Liab 5-6'!D4+'Assets-Liab 5-6'!F4+'Assets-Liab 5-6'!I4+'Assets-Liab 5-6'!C5+'Assets-Liab 5-6'!D5+'Assets-Liab 5-6'!F5+'Assets-Liab 5-6'!I5)</f>
        <v>20099828</v>
      </c>
      <c r="I24" s="394"/>
      <c r="J24" s="394"/>
      <c r="K24" s="1548">
        <f>TRUNC(((H24/H25*100000)/100000),2)</f>
        <v>666.07</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30176.530559999999</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8459307.5878800005</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695000</v>
      </c>
      <c r="I32" s="392"/>
      <c r="J32" s="392"/>
      <c r="K32" s="1548">
        <f>TRUNC(100-((((H32/H33*100))*100)/100),2)</f>
        <v>97.37</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26472503.223000001</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5" zoomScaleNormal="85" workbookViewId="0">
      <pane ySplit="2" topLeftCell="A3" activePane="bottomLeft" state="frozen"/>
      <selection activeCell="K3" sqref="K3"/>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7"/>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8" t="s">
        <v>966</v>
      </c>
      <c r="B3" s="2219"/>
      <c r="C3" s="1299"/>
      <c r="D3" s="1300"/>
      <c r="E3" s="1300"/>
      <c r="F3" s="1300"/>
      <c r="G3" s="1300"/>
      <c r="H3" s="1300"/>
      <c r="I3" s="1300"/>
      <c r="J3" s="1300"/>
      <c r="K3" s="1300"/>
      <c r="L3" s="1300"/>
      <c r="M3" s="1301"/>
      <c r="N3" s="1302"/>
    </row>
    <row r="4" spans="1:14" ht="13.5" customHeight="1" x14ac:dyDescent="0.2">
      <c r="A4" s="427" t="s">
        <v>1629</v>
      </c>
      <c r="B4" s="428"/>
      <c r="C4" s="1912">
        <v>13600902</v>
      </c>
      <c r="D4" s="1907">
        <v>1506666</v>
      </c>
      <c r="E4" s="1907">
        <v>19567</v>
      </c>
      <c r="F4" s="1907">
        <v>838383</v>
      </c>
      <c r="G4" s="1907">
        <v>558772</v>
      </c>
      <c r="H4" s="1907">
        <v>173743</v>
      </c>
      <c r="I4" s="1907">
        <v>1192538</v>
      </c>
      <c r="J4" s="1908">
        <v>0</v>
      </c>
      <c r="K4" s="1913">
        <v>0</v>
      </c>
      <c r="L4" s="1906">
        <v>95692</v>
      </c>
      <c r="M4" s="1567"/>
      <c r="N4" s="1568"/>
    </row>
    <row r="5" spans="1:14" x14ac:dyDescent="0.2">
      <c r="A5" s="427" t="s">
        <v>984</v>
      </c>
      <c r="B5" s="429">
        <v>120</v>
      </c>
      <c r="C5" s="1912">
        <v>2349631</v>
      </c>
      <c r="D5" s="1907">
        <v>260528</v>
      </c>
      <c r="E5" s="1907">
        <v>3383</v>
      </c>
      <c r="F5" s="1907">
        <v>144970</v>
      </c>
      <c r="G5" s="1907">
        <v>96735</v>
      </c>
      <c r="H5" s="1907">
        <v>30043</v>
      </c>
      <c r="I5" s="1907">
        <v>206210</v>
      </c>
      <c r="J5" s="1908"/>
      <c r="K5" s="1913"/>
      <c r="L5" s="1570"/>
      <c r="M5" s="1567"/>
      <c r="N5" s="1568"/>
    </row>
    <row r="6" spans="1:14" ht="13.5" customHeight="1" x14ac:dyDescent="0.2">
      <c r="A6" s="430" t="s">
        <v>414</v>
      </c>
      <c r="B6" s="429">
        <v>130</v>
      </c>
      <c r="C6" s="1912">
        <v>0</v>
      </c>
      <c r="D6" s="1907">
        <v>0</v>
      </c>
      <c r="E6" s="1907">
        <v>0</v>
      </c>
      <c r="F6" s="1907">
        <v>0</v>
      </c>
      <c r="G6" s="1913">
        <v>0</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0</v>
      </c>
      <c r="D8" s="1908">
        <v>0</v>
      </c>
      <c r="E8" s="1915">
        <v>0</v>
      </c>
      <c r="F8" s="1908">
        <v>0</v>
      </c>
      <c r="G8" s="1909">
        <v>0</v>
      </c>
      <c r="H8" s="1908">
        <v>0</v>
      </c>
      <c r="I8" s="1914">
        <v>0</v>
      </c>
      <c r="J8" s="1914">
        <v>0</v>
      </c>
      <c r="K8" s="1910">
        <v>0</v>
      </c>
      <c r="L8" s="1576"/>
      <c r="M8" s="1567"/>
      <c r="N8" s="1568"/>
    </row>
    <row r="9" spans="1:14" ht="13.5" customHeight="1" x14ac:dyDescent="0.2">
      <c r="A9" s="430" t="s">
        <v>268</v>
      </c>
      <c r="B9" s="429">
        <v>160</v>
      </c>
      <c r="C9" s="1915">
        <v>0</v>
      </c>
      <c r="D9" s="1908">
        <v>0</v>
      </c>
      <c r="E9" s="1915">
        <v>0</v>
      </c>
      <c r="F9" s="1908">
        <v>0</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15950533</v>
      </c>
      <c r="D13" s="1578">
        <f t="shared" ref="D13:L13" si="0">SUM(D4:D12)</f>
        <v>1767194</v>
      </c>
      <c r="E13" s="1578">
        <f t="shared" si="0"/>
        <v>22950</v>
      </c>
      <c r="F13" s="1578">
        <f t="shared" si="0"/>
        <v>983353</v>
      </c>
      <c r="G13" s="1578">
        <f t="shared" si="0"/>
        <v>655507</v>
      </c>
      <c r="H13" s="1578">
        <f t="shared" si="0"/>
        <v>203786</v>
      </c>
      <c r="I13" s="1578">
        <f t="shared" si="0"/>
        <v>1398748</v>
      </c>
      <c r="J13" s="1578">
        <f t="shared" si="0"/>
        <v>0</v>
      </c>
      <c r="K13" s="1578">
        <f t="shared" si="0"/>
        <v>0</v>
      </c>
      <c r="L13" s="1578">
        <f t="shared" si="0"/>
        <v>95692</v>
      </c>
      <c r="M13" s="1567"/>
      <c r="N13" s="1568"/>
    </row>
    <row r="14" spans="1:14" ht="18" customHeight="1" thickTop="1" x14ac:dyDescent="0.2">
      <c r="A14" s="2220" t="s">
        <v>146</v>
      </c>
      <c r="B14" s="2221"/>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81500</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25499486</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1560356</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5443485</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22950</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672050</v>
      </c>
    </row>
    <row r="23" spans="1:14" ht="13.5" customHeight="1" thickBot="1" x14ac:dyDescent="0.25">
      <c r="A23" s="1419" t="s">
        <v>638</v>
      </c>
      <c r="B23" s="1422"/>
      <c r="C23" s="1567"/>
      <c r="D23" s="1567"/>
      <c r="E23" s="1567"/>
      <c r="F23" s="1567"/>
      <c r="G23" s="1567"/>
      <c r="H23" s="1567"/>
      <c r="I23" s="1567"/>
      <c r="J23" s="1567"/>
      <c r="K23" s="1567"/>
      <c r="L23" s="1567"/>
      <c r="M23" s="1585">
        <f>SUM(M15:M22)</f>
        <v>32584827</v>
      </c>
      <c r="N23" s="1585">
        <f>SUM(N21:N22)</f>
        <v>695000</v>
      </c>
    </row>
    <row r="24" spans="1:14" ht="18" customHeight="1" thickTop="1" x14ac:dyDescent="0.2">
      <c r="A24" s="2222" t="s">
        <v>594</v>
      </c>
      <c r="B24" s="2223"/>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0</v>
      </c>
      <c r="D27" s="1908">
        <v>0</v>
      </c>
      <c r="E27" s="1908">
        <v>0</v>
      </c>
      <c r="F27" s="1908">
        <v>0</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0</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0</v>
      </c>
      <c r="D32" s="1918">
        <v>0</v>
      </c>
      <c r="E32" s="1914">
        <v>0</v>
      </c>
      <c r="F32" s="1914">
        <v>0</v>
      </c>
      <c r="G32" s="1914">
        <v>0</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95692</v>
      </c>
      <c r="M33" s="1567"/>
      <c r="N33" s="1568"/>
    </row>
    <row r="34" spans="1:14" ht="13.5" customHeight="1" thickBot="1" x14ac:dyDescent="0.25">
      <c r="A34" s="1420" t="s">
        <v>649</v>
      </c>
      <c r="B34" s="1421"/>
      <c r="C34" s="1590">
        <f>SUM(C25:C33)</f>
        <v>0</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95692</v>
      </c>
      <c r="M34" s="1567"/>
      <c r="N34" s="1576"/>
    </row>
    <row r="35" spans="1:14" ht="18" customHeight="1" thickTop="1" x14ac:dyDescent="0.2">
      <c r="A35" s="2224" t="s">
        <v>526</v>
      </c>
      <c r="B35" s="2225"/>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695000</v>
      </c>
    </row>
    <row r="37" spans="1:14" ht="13.5" thickBot="1" x14ac:dyDescent="0.25">
      <c r="A37" s="1419" t="s">
        <v>648</v>
      </c>
      <c r="B37" s="1422"/>
      <c r="C37" s="1573"/>
      <c r="D37" s="1573"/>
      <c r="E37" s="1573"/>
      <c r="F37" s="1573"/>
      <c r="G37" s="1573"/>
      <c r="H37" s="1573"/>
      <c r="I37" s="1573"/>
      <c r="J37" s="1573"/>
      <c r="K37" s="1573"/>
      <c r="L37" s="1576"/>
      <c r="M37" s="1567"/>
      <c r="N37" s="1585">
        <f>SUM(N36:N36)</f>
        <v>695000</v>
      </c>
    </row>
    <row r="38" spans="1:14" s="307" customFormat="1" ht="13.5" customHeight="1" thickTop="1" x14ac:dyDescent="0.2">
      <c r="A38" s="438" t="s">
        <v>417</v>
      </c>
      <c r="B38" s="432">
        <v>714</v>
      </c>
      <c r="C38" s="1565"/>
      <c r="D38" s="1565"/>
      <c r="E38" s="1565"/>
      <c r="F38" s="1565"/>
      <c r="G38" s="1565"/>
      <c r="H38" s="1565"/>
      <c r="I38" s="1565"/>
      <c r="J38" s="1566"/>
      <c r="K38" s="1565"/>
      <c r="L38" s="1577"/>
      <c r="M38" s="1594"/>
      <c r="N38" s="1594"/>
    </row>
    <row r="39" spans="1:14" s="307" customFormat="1" ht="13.5" customHeight="1" x14ac:dyDescent="0.2">
      <c r="A39" s="438" t="s">
        <v>339</v>
      </c>
      <c r="B39" s="432">
        <v>730</v>
      </c>
      <c r="C39" s="1565">
        <v>15950533</v>
      </c>
      <c r="D39" s="1565">
        <v>1767194</v>
      </c>
      <c r="E39" s="1565">
        <v>22950</v>
      </c>
      <c r="F39" s="1565">
        <v>983353</v>
      </c>
      <c r="G39" s="1565">
        <v>655507</v>
      </c>
      <c r="H39" s="1565">
        <v>203786</v>
      </c>
      <c r="I39" s="1565">
        <v>1398748</v>
      </c>
      <c r="J39" s="1566">
        <v>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32584827</v>
      </c>
      <c r="N40" s="1594"/>
    </row>
    <row r="41" spans="1:14" ht="13.5" customHeight="1" thickBot="1" x14ac:dyDescent="0.25">
      <c r="A41" s="1419" t="s">
        <v>650</v>
      </c>
      <c r="B41" s="1398"/>
      <c r="C41" s="1585">
        <f>(SUM(C34,C37,C38,C39))</f>
        <v>15950533</v>
      </c>
      <c r="D41" s="1585">
        <f t="shared" ref="D41:L41" si="2">SUM(D34,D37,D38:D39)</f>
        <v>1767194</v>
      </c>
      <c r="E41" s="1585">
        <f t="shared" si="2"/>
        <v>22950</v>
      </c>
      <c r="F41" s="1585">
        <f t="shared" si="2"/>
        <v>983353</v>
      </c>
      <c r="G41" s="1585">
        <f t="shared" si="2"/>
        <v>655507</v>
      </c>
      <c r="H41" s="1585">
        <f t="shared" si="2"/>
        <v>203786</v>
      </c>
      <c r="I41" s="1585">
        <f t="shared" si="2"/>
        <v>1398748</v>
      </c>
      <c r="J41" s="1585">
        <f t="shared" si="2"/>
        <v>0</v>
      </c>
      <c r="K41" s="1585">
        <f t="shared" si="2"/>
        <v>0</v>
      </c>
      <c r="L41" s="1585">
        <f t="shared" si="2"/>
        <v>95692</v>
      </c>
      <c r="M41" s="1585">
        <f>SUM(M40)</f>
        <v>32584827</v>
      </c>
      <c r="N41" s="1585">
        <f>SUM(N37)</f>
        <v>695000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3" activePane="bottomLeft" state="frozen"/>
      <selection activeCell="C44" sqref="C44"/>
      <selection pane="bottomLeft" activeCell="P74" sqref="P7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5"/>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6" t="s">
        <v>1164</v>
      </c>
      <c r="B3" s="2247"/>
      <c r="C3" s="1304"/>
      <c r="D3" s="1305"/>
      <c r="E3" s="1305"/>
      <c r="F3" s="1305"/>
      <c r="G3" s="1305"/>
      <c r="H3" s="1305"/>
      <c r="I3" s="1305"/>
      <c r="J3" s="1305"/>
      <c r="K3" s="1306"/>
      <c r="L3" s="446"/>
    </row>
    <row r="4" spans="1:13" ht="15.75" customHeight="1" x14ac:dyDescent="0.2">
      <c r="A4" s="1530" t="s">
        <v>1479</v>
      </c>
      <c r="B4" s="1531">
        <v>1000</v>
      </c>
      <c r="C4" s="1596">
        <f>'Revenues 9-14'!C109</f>
        <v>8084371</v>
      </c>
      <c r="D4" s="1596">
        <f>'Revenues 9-14'!D109</f>
        <v>1634505</v>
      </c>
      <c r="E4" s="1596">
        <f>'Revenues 9-14'!E109</f>
        <v>1153880</v>
      </c>
      <c r="F4" s="1596">
        <f>'Revenues 9-14'!F109</f>
        <v>1018282</v>
      </c>
      <c r="G4" s="1596">
        <f>'Revenues 9-14'!G109</f>
        <v>354920</v>
      </c>
      <c r="H4" s="1596">
        <f>'Revenues 9-14'!H109</f>
        <v>8024</v>
      </c>
      <c r="I4" s="1596">
        <f>'Revenues 9-14'!I109</f>
        <v>172153</v>
      </c>
      <c r="J4" s="1596">
        <f>'Revenues 9-14'!J109</f>
        <v>0</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1177618</v>
      </c>
      <c r="D6" s="1597">
        <f>'Revenues 9-14'!D170</f>
        <v>0</v>
      </c>
      <c r="E6" s="1597">
        <f>'Revenues 9-14'!E170</f>
        <v>0</v>
      </c>
      <c r="F6" s="1597">
        <f>'Revenues 9-14'!F170</f>
        <v>1047561</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157496</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9419485</v>
      </c>
      <c r="D8" s="1585">
        <f t="shared" ref="D8:K8" si="0">SUM(D4:D7)</f>
        <v>1634505</v>
      </c>
      <c r="E8" s="1585">
        <f t="shared" si="0"/>
        <v>1153880</v>
      </c>
      <c r="F8" s="1585">
        <f t="shared" si="0"/>
        <v>2065843</v>
      </c>
      <c r="G8" s="1585">
        <f t="shared" si="0"/>
        <v>354920</v>
      </c>
      <c r="H8" s="1585">
        <f t="shared" si="0"/>
        <v>8024</v>
      </c>
      <c r="I8" s="1585">
        <f t="shared" si="0"/>
        <v>172153</v>
      </c>
      <c r="J8" s="1585">
        <f t="shared" si="0"/>
        <v>0</v>
      </c>
      <c r="K8" s="1585">
        <f t="shared" si="0"/>
        <v>0</v>
      </c>
      <c r="L8" s="325"/>
    </row>
    <row r="9" spans="1:13" ht="15.75" thickTop="1" x14ac:dyDescent="0.2">
      <c r="A9" s="449" t="s">
        <v>1631</v>
      </c>
      <c r="B9" s="450">
        <v>3998</v>
      </c>
      <c r="C9" s="1577">
        <v>3920961</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13340446</v>
      </c>
      <c r="D10" s="1585">
        <f t="shared" ref="D10:K10" si="1">SUM(D8:D9)</f>
        <v>1634505</v>
      </c>
      <c r="E10" s="1585">
        <f t="shared" si="1"/>
        <v>1153880</v>
      </c>
      <c r="F10" s="1585">
        <f t="shared" si="1"/>
        <v>2065843</v>
      </c>
      <c r="G10" s="1585">
        <f t="shared" si="1"/>
        <v>354920</v>
      </c>
      <c r="H10" s="1585">
        <f t="shared" si="1"/>
        <v>8024</v>
      </c>
      <c r="I10" s="1585">
        <f t="shared" si="1"/>
        <v>172153</v>
      </c>
      <c r="J10" s="1585">
        <f t="shared" si="1"/>
        <v>0</v>
      </c>
      <c r="K10" s="1585">
        <f t="shared" si="1"/>
        <v>0</v>
      </c>
      <c r="L10" s="451"/>
    </row>
    <row r="11" spans="1:13" s="452" customFormat="1" ht="16.7" customHeight="1" thickTop="1" x14ac:dyDescent="0.2">
      <c r="A11" s="2220" t="s">
        <v>1165</v>
      </c>
      <c r="B11" s="2221"/>
      <c r="C11" s="1592"/>
      <c r="D11" s="1593"/>
      <c r="E11" s="1593"/>
      <c r="F11" s="1593"/>
      <c r="G11" s="1593"/>
      <c r="H11" s="1593"/>
      <c r="I11" s="1593"/>
      <c r="J11" s="1593"/>
      <c r="K11" s="1605"/>
      <c r="L11" s="451"/>
    </row>
    <row r="12" spans="1:13" ht="15.75" customHeight="1" x14ac:dyDescent="0.2">
      <c r="A12" s="1307" t="s">
        <v>453</v>
      </c>
      <c r="B12" s="1309">
        <v>1000</v>
      </c>
      <c r="C12" s="1596">
        <f>'Expenditures 15-22'!K33</f>
        <v>5589241</v>
      </c>
      <c r="D12" s="1606" t="s">
        <v>1158</v>
      </c>
      <c r="E12" s="1567" t="s">
        <v>1158</v>
      </c>
      <c r="F12" s="1567" t="s">
        <v>1158</v>
      </c>
      <c r="G12" s="1596">
        <f>'Expenditures 15-22'!K229</f>
        <v>110214</v>
      </c>
      <c r="H12" s="1607"/>
      <c r="I12" s="1567" t="s">
        <v>1158</v>
      </c>
      <c r="J12" s="1567" t="s">
        <v>1158</v>
      </c>
      <c r="K12" s="1607" t="s">
        <v>1158</v>
      </c>
      <c r="L12" s="325"/>
    </row>
    <row r="13" spans="1:13" ht="15.75" customHeight="1" x14ac:dyDescent="0.2">
      <c r="A13" s="1307" t="s">
        <v>454</v>
      </c>
      <c r="B13" s="1309">
        <v>2000</v>
      </c>
      <c r="C13" s="1597">
        <f>'Expenditures 15-22'!K74</f>
        <v>2686214</v>
      </c>
      <c r="D13" s="1597">
        <f>'Expenditures 15-22'!K129</f>
        <v>1092991</v>
      </c>
      <c r="E13" s="1568" t="s">
        <v>1158</v>
      </c>
      <c r="F13" s="1597">
        <f>'Expenditures 15-22'!K184</f>
        <v>1230595</v>
      </c>
      <c r="G13" s="1597">
        <f>'Expenditures 15-22'!K279</f>
        <v>247520</v>
      </c>
      <c r="H13" s="1597">
        <f>'Expenditures 15-22'!K303</f>
        <v>0</v>
      </c>
      <c r="I13" s="1567" t="s">
        <v>1158</v>
      </c>
      <c r="J13" s="1597">
        <f>'Expenditures 15-22'!K330</f>
        <v>0</v>
      </c>
      <c r="K13" s="1608">
        <f>'Expenditures 15-22'!K352</f>
        <v>0</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264510</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1701060</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8539965</v>
      </c>
      <c r="D17" s="1585">
        <f t="shared" si="2"/>
        <v>1092991</v>
      </c>
      <c r="E17" s="1585">
        <f t="shared" si="2"/>
        <v>1701060</v>
      </c>
      <c r="F17" s="1585">
        <f t="shared" si="2"/>
        <v>1230595</v>
      </c>
      <c r="G17" s="1585">
        <f t="shared" si="2"/>
        <v>357734</v>
      </c>
      <c r="H17" s="1585">
        <f t="shared" si="2"/>
        <v>0</v>
      </c>
      <c r="I17" s="1567"/>
      <c r="J17" s="1585">
        <f>SUM(J12:J16)</f>
        <v>0</v>
      </c>
      <c r="K17" s="1585">
        <f>SUM(K12:K16)</f>
        <v>0</v>
      </c>
      <c r="L17" s="325"/>
    </row>
    <row r="18" spans="1:12" ht="15" customHeight="1" thickTop="1" x14ac:dyDescent="0.2">
      <c r="A18" s="1423" t="s">
        <v>1632</v>
      </c>
      <c r="B18" s="1424">
        <v>4180</v>
      </c>
      <c r="C18" s="1596">
        <f t="shared" ref="C18:H18" si="3">C9</f>
        <v>3920961</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12460926</v>
      </c>
      <c r="D19" s="1585">
        <f t="shared" si="4"/>
        <v>1092991</v>
      </c>
      <c r="E19" s="1585">
        <f t="shared" si="4"/>
        <v>1701060</v>
      </c>
      <c r="F19" s="1585">
        <f t="shared" si="4"/>
        <v>1230595</v>
      </c>
      <c r="G19" s="1585">
        <f t="shared" si="4"/>
        <v>357734</v>
      </c>
      <c r="H19" s="1585">
        <f t="shared" si="4"/>
        <v>0</v>
      </c>
      <c r="I19" s="1567"/>
      <c r="J19" s="1585">
        <f>SUM(J17:J18)</f>
        <v>0</v>
      </c>
      <c r="K19" s="1585">
        <f>SUM(K17:K18)</f>
        <v>0</v>
      </c>
      <c r="L19" s="325"/>
    </row>
    <row r="20" spans="1:12" ht="16.5" thickTop="1" thickBot="1" x14ac:dyDescent="0.25">
      <c r="A20" s="2236" t="s">
        <v>1633</v>
      </c>
      <c r="B20" s="2237"/>
      <c r="C20" s="1612">
        <f>C8-C17</f>
        <v>879520</v>
      </c>
      <c r="D20" s="1612">
        <f t="shared" ref="D20:K20" si="5">D8-D17</f>
        <v>541514</v>
      </c>
      <c r="E20" s="1612">
        <f t="shared" si="5"/>
        <v>-547180</v>
      </c>
      <c r="F20" s="1612">
        <f t="shared" si="5"/>
        <v>835248</v>
      </c>
      <c r="G20" s="1612">
        <f t="shared" si="5"/>
        <v>-2814</v>
      </c>
      <c r="H20" s="1612">
        <f t="shared" si="5"/>
        <v>8024</v>
      </c>
      <c r="I20" s="1612">
        <f t="shared" si="5"/>
        <v>172153</v>
      </c>
      <c r="J20" s="1612">
        <f t="shared" si="5"/>
        <v>0</v>
      </c>
      <c r="K20" s="1612">
        <f t="shared" si="5"/>
        <v>0</v>
      </c>
      <c r="L20" s="325"/>
    </row>
    <row r="21" spans="1:12" ht="16.7" customHeight="1" thickTop="1" x14ac:dyDescent="0.2">
      <c r="A21" s="2248" t="s">
        <v>591</v>
      </c>
      <c r="B21" s="2249"/>
      <c r="C21" s="1592"/>
      <c r="D21" s="1593"/>
      <c r="E21" s="1593"/>
      <c r="F21" s="1593"/>
      <c r="G21" s="1593"/>
      <c r="H21" s="1593"/>
      <c r="I21" s="1593"/>
      <c r="J21" s="1593"/>
      <c r="K21" s="1605"/>
      <c r="L21" s="453"/>
    </row>
    <row r="22" spans="1:12" ht="15.75" customHeight="1" collapsed="1" x14ac:dyDescent="0.2">
      <c r="A22" s="2244" t="s">
        <v>592</v>
      </c>
      <c r="B22" s="2245"/>
      <c r="C22" s="1573"/>
      <c r="D22" s="1573"/>
      <c r="E22" s="1573"/>
      <c r="F22" s="1573"/>
      <c r="G22" s="1573"/>
      <c r="H22" s="1573"/>
      <c r="I22" s="1573"/>
      <c r="J22" s="1573"/>
      <c r="K22" s="1573"/>
      <c r="L22" s="325"/>
    </row>
    <row r="23" spans="1:12" s="433" customFormat="1" ht="15.75" customHeight="1" x14ac:dyDescent="0.2">
      <c r="A23" s="2240" t="s">
        <v>290</v>
      </c>
      <c r="B23" s="2241"/>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2" t="s">
        <v>973</v>
      </c>
      <c r="B32" s="2243"/>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525000</v>
      </c>
      <c r="F43" s="1566">
        <v>0</v>
      </c>
      <c r="G43" s="1566">
        <v>0</v>
      </c>
      <c r="H43" s="1566">
        <v>0</v>
      </c>
      <c r="I43" s="1566">
        <v>0</v>
      </c>
      <c r="J43" s="1566">
        <v>0</v>
      </c>
      <c r="K43" s="1566">
        <v>0</v>
      </c>
      <c r="L43" s="453"/>
    </row>
    <row r="44" spans="1:12" s="433" customFormat="1" ht="13.5" customHeight="1" thickBot="1" x14ac:dyDescent="0.25">
      <c r="A44" s="2250" t="s">
        <v>371</v>
      </c>
      <c r="B44" s="2251"/>
      <c r="C44" s="1614">
        <f>SUM(C24:C43)</f>
        <v>0</v>
      </c>
      <c r="D44" s="1614">
        <f t="shared" ref="D44:K44" si="6">SUM(D24:D43)</f>
        <v>0</v>
      </c>
      <c r="E44" s="1614">
        <f t="shared" si="6"/>
        <v>525000</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44" t="s">
        <v>108</v>
      </c>
      <c r="B45" s="2245"/>
      <c r="C45" s="1615"/>
      <c r="D45" s="1615"/>
      <c r="E45" s="1615"/>
      <c r="F45" s="1615"/>
      <c r="G45" s="1615"/>
      <c r="H45" s="1615"/>
      <c r="I45" s="1615"/>
      <c r="J45" s="1615"/>
      <c r="K45" s="1615"/>
      <c r="L45" s="325"/>
    </row>
    <row r="46" spans="1:12" s="433" customFormat="1" ht="15.75" customHeight="1" x14ac:dyDescent="0.2">
      <c r="A46" s="2252" t="s">
        <v>109</v>
      </c>
      <c r="B46" s="2253"/>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525000</v>
      </c>
      <c r="E75" s="1616">
        <v>0</v>
      </c>
      <c r="F75" s="1618">
        <v>0</v>
      </c>
      <c r="G75" s="1618">
        <v>0</v>
      </c>
      <c r="H75" s="1618">
        <v>0</v>
      </c>
      <c r="I75" s="1616">
        <v>0</v>
      </c>
      <c r="J75" s="1616">
        <v>0</v>
      </c>
      <c r="K75" s="1618">
        <v>0</v>
      </c>
      <c r="L75" s="453"/>
    </row>
    <row r="76" spans="1:12" s="433" customFormat="1" ht="14.25" thickTop="1" thickBot="1" x14ac:dyDescent="0.25">
      <c r="A76" s="2226" t="s">
        <v>437</v>
      </c>
      <c r="B76" s="2227"/>
      <c r="C76" s="1614">
        <f t="shared" ref="C76:K76" si="7">SUM(C47:C75)</f>
        <v>0</v>
      </c>
      <c r="D76" s="1614">
        <f t="shared" si="7"/>
        <v>525000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28" t="s">
        <v>1166</v>
      </c>
      <c r="B77" s="2229"/>
      <c r="C77" s="1614">
        <f t="shared" ref="C77:K77" si="8">C44-C76</f>
        <v>0</v>
      </c>
      <c r="D77" s="1614">
        <f t="shared" si="8"/>
        <v>-525000</v>
      </c>
      <c r="E77" s="1614">
        <f t="shared" si="8"/>
        <v>525000</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32" t="s">
        <v>593</v>
      </c>
      <c r="B78" s="2233"/>
      <c r="C78" s="1619">
        <f t="shared" ref="C78:K78" si="9">C20+C77</f>
        <v>879520</v>
      </c>
      <c r="D78" s="1619">
        <f t="shared" si="9"/>
        <v>16514</v>
      </c>
      <c r="E78" s="1619">
        <f t="shared" si="9"/>
        <v>-22180</v>
      </c>
      <c r="F78" s="1619">
        <f t="shared" si="9"/>
        <v>835248</v>
      </c>
      <c r="G78" s="1619">
        <f t="shared" si="9"/>
        <v>-2814</v>
      </c>
      <c r="H78" s="1619">
        <f t="shared" si="9"/>
        <v>8024</v>
      </c>
      <c r="I78" s="1619">
        <f t="shared" si="9"/>
        <v>172153</v>
      </c>
      <c r="J78" s="1619">
        <f t="shared" si="9"/>
        <v>0</v>
      </c>
      <c r="K78" s="1619">
        <f t="shared" si="9"/>
        <v>0</v>
      </c>
      <c r="L78" s="457"/>
    </row>
    <row r="79" spans="1:12" ht="13.5" thickTop="1" x14ac:dyDescent="0.2">
      <c r="A79" s="1833" t="str">
        <f>"Fund Balances - July 1, "&amp;'AFR20'!E2-1</f>
        <v>Fund Balances - July 1, 2019</v>
      </c>
      <c r="B79" s="458"/>
      <c r="C79" s="1574">
        <v>15071013</v>
      </c>
      <c r="D79" s="1620">
        <v>1750680</v>
      </c>
      <c r="E79" s="1620">
        <v>45130</v>
      </c>
      <c r="F79" s="1620">
        <v>148105</v>
      </c>
      <c r="G79" s="1620">
        <v>658321</v>
      </c>
      <c r="H79" s="1620">
        <v>195762</v>
      </c>
      <c r="I79" s="1620">
        <v>1226595</v>
      </c>
      <c r="J79" s="1620"/>
      <c r="K79" s="1620"/>
      <c r="L79" s="325"/>
    </row>
    <row r="80" spans="1:12" x14ac:dyDescent="0.2">
      <c r="A80" s="2238" t="s">
        <v>1769</v>
      </c>
      <c r="B80" s="2239"/>
      <c r="C80" s="1566"/>
      <c r="D80" s="1566"/>
      <c r="E80" s="1566"/>
      <c r="F80" s="1566"/>
      <c r="G80" s="1566"/>
      <c r="H80" s="1566"/>
      <c r="I80" s="1566"/>
      <c r="J80" s="1566"/>
      <c r="K80" s="1566"/>
      <c r="L80" s="325"/>
    </row>
    <row r="81" spans="1:12" ht="13.5" thickBot="1" x14ac:dyDescent="0.25">
      <c r="A81" s="2230" t="str">
        <f>"Fund Balances - June 30, "&amp;'AFR20'!E2</f>
        <v>Fund Balances - June 30, 2020</v>
      </c>
      <c r="B81" s="2231"/>
      <c r="C81" s="1585">
        <f>(SUM(C78:C80))</f>
        <v>15950533</v>
      </c>
      <c r="D81" s="1585">
        <f>SUM(D78:D80)</f>
        <v>1767194</v>
      </c>
      <c r="E81" s="1585">
        <f t="shared" ref="E81:K81" si="10">SUM(E78:E80)</f>
        <v>22950</v>
      </c>
      <c r="F81" s="1585">
        <f t="shared" si="10"/>
        <v>983353</v>
      </c>
      <c r="G81" s="1585">
        <f t="shared" si="10"/>
        <v>655507</v>
      </c>
      <c r="H81" s="1585">
        <f t="shared" si="10"/>
        <v>203786</v>
      </c>
      <c r="I81" s="1585">
        <f t="shared" si="10"/>
        <v>1398748</v>
      </c>
      <c r="J81" s="1585">
        <f t="shared" si="10"/>
        <v>0</v>
      </c>
      <c r="K81" s="1585">
        <f t="shared" si="10"/>
        <v>0</v>
      </c>
      <c r="L81" s="325"/>
    </row>
    <row r="82" spans="1:12" ht="0.75" customHeight="1" thickTop="1" thickBot="1" x14ac:dyDescent="0.25">
      <c r="A82" s="459" t="s">
        <v>340</v>
      </c>
      <c r="B82" s="460"/>
      <c r="C82" s="461">
        <f>(C81-C79)</f>
        <v>879520</v>
      </c>
      <c r="D82" s="461">
        <f t="shared" ref="D82:K82" si="11">(D81-D79)</f>
        <v>16514</v>
      </c>
      <c r="E82" s="461">
        <f t="shared" si="11"/>
        <v>-22180</v>
      </c>
      <c r="F82" s="461">
        <f t="shared" si="11"/>
        <v>835248</v>
      </c>
      <c r="G82" s="461">
        <f t="shared" si="11"/>
        <v>-2814</v>
      </c>
      <c r="H82" s="461">
        <f t="shared" si="11"/>
        <v>8024</v>
      </c>
      <c r="I82" s="461">
        <f t="shared" si="11"/>
        <v>172153</v>
      </c>
      <c r="J82" s="461">
        <f t="shared" si="11"/>
        <v>0</v>
      </c>
      <c r="K82" s="461">
        <f t="shared" si="11"/>
        <v>0</v>
      </c>
    </row>
    <row r="83" spans="1:12" ht="14.25" hidden="1" thickTop="1" thickBot="1" x14ac:dyDescent="0.25">
      <c r="A83" s="462" t="s">
        <v>341</v>
      </c>
      <c r="B83" s="428"/>
      <c r="C83" s="463">
        <f>C82/C81</f>
        <v>5.5140477123867895E-2</v>
      </c>
      <c r="D83" s="463">
        <f t="shared" ref="D83:K83" si="12">D82/D81</f>
        <v>9.3447578477518604E-3</v>
      </c>
      <c r="E83" s="463">
        <f t="shared" si="12"/>
        <v>-0.96644880174291936</v>
      </c>
      <c r="F83" s="463">
        <f t="shared" si="12"/>
        <v>0.84938775800755173</v>
      </c>
      <c r="G83" s="463">
        <f t="shared" si="12"/>
        <v>-4.2928603355875681E-3</v>
      </c>
      <c r="H83" s="463">
        <f t="shared" si="12"/>
        <v>3.937463810075275E-2</v>
      </c>
      <c r="I83" s="463">
        <f t="shared" si="12"/>
        <v>0.12307649412188615</v>
      </c>
      <c r="J83" s="463" t="e">
        <f t="shared" si="12"/>
        <v>#DIV/0!</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5" zoomScaleNormal="115" zoomScaleSheetLayoutView="75" workbookViewId="0">
      <pane ySplit="2" topLeftCell="A240" activePane="bottomLeft" state="frozen"/>
      <selection activeCell="C44" sqref="C4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1776</v>
      </c>
      <c r="B1" s="416"/>
      <c r="C1" s="417" t="s">
        <v>422</v>
      </c>
      <c r="D1" s="417" t="s">
        <v>423</v>
      </c>
      <c r="E1" s="417" t="s">
        <v>424</v>
      </c>
      <c r="F1" s="417" t="s">
        <v>425</v>
      </c>
      <c r="G1" s="417" t="s">
        <v>426</v>
      </c>
      <c r="H1" s="417" t="s">
        <v>427</v>
      </c>
      <c r="I1" s="417" t="s">
        <v>428</v>
      </c>
      <c r="J1" s="417" t="s">
        <v>429</v>
      </c>
      <c r="K1" s="417" t="s">
        <v>750</v>
      </c>
    </row>
    <row r="2" spans="1:12" ht="36" x14ac:dyDescent="0.2">
      <c r="A2" s="2235"/>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7260093</v>
      </c>
      <c r="D5" s="1577">
        <v>1616031</v>
      </c>
      <c r="E5" s="1565">
        <v>1152120</v>
      </c>
      <c r="F5" s="1621">
        <v>509743</v>
      </c>
      <c r="G5" s="1565">
        <v>98079</v>
      </c>
      <c r="H5" s="1565">
        <v>0</v>
      </c>
      <c r="I5" s="1565">
        <v>161345</v>
      </c>
      <c r="J5" s="1566">
        <v>0</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114564</v>
      </c>
      <c r="D7" s="1565">
        <v>0</v>
      </c>
      <c r="E7" s="1567"/>
      <c r="F7" s="1566">
        <v>0</v>
      </c>
      <c r="G7" s="1566">
        <v>0</v>
      </c>
      <c r="H7" s="1566">
        <v>0</v>
      </c>
      <c r="I7" s="1567"/>
      <c r="J7" s="1567"/>
      <c r="K7" s="1567"/>
    </row>
    <row r="8" spans="1:12" x14ac:dyDescent="0.2">
      <c r="A8" s="427" t="s">
        <v>410</v>
      </c>
      <c r="B8" s="429">
        <v>1150</v>
      </c>
      <c r="C8" s="1572"/>
      <c r="D8" s="1572"/>
      <c r="E8" s="1573"/>
      <c r="F8" s="1573"/>
      <c r="G8" s="1577">
        <v>98080</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7374657</v>
      </c>
      <c r="D12" s="1623">
        <f t="shared" si="0"/>
        <v>1616031</v>
      </c>
      <c r="E12" s="1623">
        <f t="shared" si="0"/>
        <v>1152120</v>
      </c>
      <c r="F12" s="1623">
        <f t="shared" si="0"/>
        <v>509743</v>
      </c>
      <c r="G12" s="1623">
        <f t="shared" si="0"/>
        <v>196159</v>
      </c>
      <c r="H12" s="1623">
        <f t="shared" si="0"/>
        <v>0</v>
      </c>
      <c r="I12" s="1623">
        <f t="shared" si="0"/>
        <v>161345</v>
      </c>
      <c r="J12" s="1623">
        <f t="shared" si="0"/>
        <v>0</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0</v>
      </c>
      <c r="D16" s="1565">
        <v>0</v>
      </c>
      <c r="E16" s="1565">
        <v>0</v>
      </c>
      <c r="F16" s="1565">
        <v>0</v>
      </c>
      <c r="G16" s="1565">
        <v>150087</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0</v>
      </c>
      <c r="D18" s="1625">
        <f t="shared" ref="D18:K18" si="1">SUM(D14:D17)</f>
        <v>0</v>
      </c>
      <c r="E18" s="1625">
        <f t="shared" si="1"/>
        <v>0</v>
      </c>
      <c r="F18" s="1625">
        <f t="shared" si="1"/>
        <v>0</v>
      </c>
      <c r="G18" s="1625">
        <f t="shared" si="1"/>
        <v>150087</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26155</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26155</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464390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464390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150075</v>
      </c>
      <c r="D65" s="1565">
        <v>18474</v>
      </c>
      <c r="E65" s="1565">
        <v>1760</v>
      </c>
      <c r="F65" s="1566">
        <v>3479</v>
      </c>
      <c r="G65" s="1565">
        <v>6696</v>
      </c>
      <c r="H65" s="1565">
        <v>3899</v>
      </c>
      <c r="I65" s="1565">
        <v>10808</v>
      </c>
      <c r="J65" s="1566">
        <v>0</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150075</v>
      </c>
      <c r="D67" s="1585">
        <f t="shared" ref="D67:K67" si="2">SUM(D65:D66)</f>
        <v>18474</v>
      </c>
      <c r="E67" s="1585">
        <f t="shared" si="2"/>
        <v>1760</v>
      </c>
      <c r="F67" s="1585">
        <f t="shared" si="2"/>
        <v>3479</v>
      </c>
      <c r="G67" s="1585">
        <f t="shared" si="2"/>
        <v>6696</v>
      </c>
      <c r="H67" s="1585">
        <f t="shared" si="2"/>
        <v>3899</v>
      </c>
      <c r="I67" s="1585">
        <f t="shared" si="2"/>
        <v>10808</v>
      </c>
      <c r="J67" s="1585">
        <f t="shared" si="2"/>
        <v>0</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162705</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162705</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52665</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123126</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100836</v>
      </c>
      <c r="D81" s="1565">
        <v>0</v>
      </c>
      <c r="E81" s="1567"/>
      <c r="F81" s="1567"/>
      <c r="G81" s="1567"/>
      <c r="H81" s="1567"/>
      <c r="I81" s="1567"/>
      <c r="J81" s="1567"/>
      <c r="K81" s="1567"/>
    </row>
    <row r="82" spans="1:11" ht="12.75" customHeight="1" thickBot="1" x14ac:dyDescent="0.25">
      <c r="A82" s="1399" t="s">
        <v>239</v>
      </c>
      <c r="B82" s="1400"/>
      <c r="C82" s="1623">
        <f>SUM(C77:C81)</f>
        <v>276627</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0</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0</v>
      </c>
      <c r="E95" s="1607"/>
      <c r="F95" s="1607"/>
      <c r="G95" s="1607"/>
      <c r="H95" s="1607"/>
      <c r="I95" s="1607"/>
      <c r="J95" s="1607"/>
      <c r="K95" s="1607"/>
    </row>
    <row r="96" spans="1:11" ht="12.75" customHeight="1" x14ac:dyDescent="0.2">
      <c r="A96" s="427" t="s">
        <v>388</v>
      </c>
      <c r="B96" s="429">
        <v>1920</v>
      </c>
      <c r="C96" s="1622">
        <v>0</v>
      </c>
      <c r="D96" s="1622">
        <v>0</v>
      </c>
      <c r="E96" s="1575">
        <v>0</v>
      </c>
      <c r="F96" s="1574">
        <v>0</v>
      </c>
      <c r="G96" s="1574">
        <v>0</v>
      </c>
      <c r="H96" s="1574">
        <v>4125</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29399</v>
      </c>
      <c r="D98" s="1565">
        <v>0</v>
      </c>
      <c r="E98" s="1602"/>
      <c r="F98" s="1565">
        <v>0</v>
      </c>
      <c r="G98" s="1602"/>
      <c r="H98" s="1602"/>
      <c r="I98" s="1600"/>
      <c r="J98" s="1602"/>
      <c r="K98" s="1602"/>
    </row>
    <row r="99" spans="1:12" ht="12.75" customHeight="1" x14ac:dyDescent="0.2">
      <c r="A99" s="427" t="s">
        <v>815</v>
      </c>
      <c r="B99" s="429">
        <v>1950</v>
      </c>
      <c r="C99" s="1588">
        <v>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4700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60053</v>
      </c>
      <c r="D107" s="1565">
        <v>0</v>
      </c>
      <c r="E107" s="1565">
        <v>0</v>
      </c>
      <c r="F107" s="1565">
        <v>40670</v>
      </c>
      <c r="G107" s="1565">
        <v>1978</v>
      </c>
      <c r="H107" s="1565">
        <v>0</v>
      </c>
      <c r="I107" s="1565">
        <v>0</v>
      </c>
      <c r="J107" s="1566">
        <v>0</v>
      </c>
      <c r="K107" s="1565">
        <v>0</v>
      </c>
    </row>
    <row r="108" spans="1:12" ht="12.75" customHeight="1" thickBot="1" x14ac:dyDescent="0.25">
      <c r="A108" s="1399" t="s">
        <v>484</v>
      </c>
      <c r="B108" s="1401"/>
      <c r="C108" s="1623">
        <f>SUM(C95:C107)</f>
        <v>94152</v>
      </c>
      <c r="D108" s="1623">
        <f t="shared" ref="D108:K108" si="3">SUM(D95:D107)</f>
        <v>0</v>
      </c>
      <c r="E108" s="1623">
        <f t="shared" si="3"/>
        <v>0</v>
      </c>
      <c r="F108" s="1623">
        <f t="shared" si="3"/>
        <v>40670</v>
      </c>
      <c r="G108" s="1623">
        <f t="shared" si="3"/>
        <v>1978</v>
      </c>
      <c r="H108" s="1623">
        <f t="shared" si="3"/>
        <v>4125</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8084371</v>
      </c>
      <c r="D109" s="1631">
        <f t="shared" si="4"/>
        <v>1634505</v>
      </c>
      <c r="E109" s="1631">
        <f t="shared" si="4"/>
        <v>1153880</v>
      </c>
      <c r="F109" s="1631">
        <f t="shared" si="4"/>
        <v>1018282</v>
      </c>
      <c r="G109" s="1631">
        <f t="shared" si="4"/>
        <v>354920</v>
      </c>
      <c r="H109" s="1631">
        <f t="shared" si="4"/>
        <v>8024</v>
      </c>
      <c r="I109" s="1631">
        <f t="shared" si="4"/>
        <v>172153</v>
      </c>
      <c r="J109" s="1631">
        <f t="shared" si="4"/>
        <v>0</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1139214</v>
      </c>
      <c r="D117" s="1577">
        <v>0</v>
      </c>
      <c r="E117" s="1565">
        <v>0</v>
      </c>
      <c r="F117" s="1577">
        <v>300000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750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1139964</v>
      </c>
      <c r="D122" s="1623">
        <f t="shared" si="5"/>
        <v>0</v>
      </c>
      <c r="E122" s="1623">
        <f t="shared" si="5"/>
        <v>0</v>
      </c>
      <c r="F122" s="1623">
        <f t="shared" si="5"/>
        <v>300000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18086</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18086</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5590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5590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0</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13978</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355100</v>
      </c>
      <c r="G152" s="1566">
        <v>0</v>
      </c>
      <c r="H152" s="1567"/>
      <c r="I152" s="1567"/>
      <c r="J152" s="1567"/>
      <c r="K152" s="1567"/>
    </row>
    <row r="153" spans="1:11" ht="12.75" customHeight="1" x14ac:dyDescent="0.2">
      <c r="A153" s="427" t="s">
        <v>1047</v>
      </c>
      <c r="B153" s="478">
        <v>3510</v>
      </c>
      <c r="C153" s="1622">
        <v>0</v>
      </c>
      <c r="D153" s="1565">
        <v>0</v>
      </c>
      <c r="E153" s="1630"/>
      <c r="F153" s="1565">
        <v>392461</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747561</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0</v>
      </c>
      <c r="D168" s="1645">
        <v>0</v>
      </c>
      <c r="E168" s="1645">
        <v>0</v>
      </c>
      <c r="F168" s="1645">
        <v>0</v>
      </c>
      <c r="G168" s="1646">
        <v>0</v>
      </c>
      <c r="H168" s="1647">
        <v>0</v>
      </c>
      <c r="I168" s="1646">
        <v>0</v>
      </c>
      <c r="J168" s="1646">
        <v>0</v>
      </c>
      <c r="K168" s="1647">
        <v>0</v>
      </c>
    </row>
    <row r="169" spans="1:11" ht="12.75" customHeight="1" thickTop="1" thickBot="1" x14ac:dyDescent="0.25">
      <c r="A169" s="2254" t="s">
        <v>395</v>
      </c>
      <c r="B169" s="2255"/>
      <c r="C169" s="1648">
        <f t="shared" ref="C169:K169" si="6">SUM(C132,C141,C145,C146:C150,C155,C156:C167,C168)</f>
        <v>37654</v>
      </c>
      <c r="D169" s="1648">
        <f t="shared" si="6"/>
        <v>0</v>
      </c>
      <c r="E169" s="1648">
        <f t="shared" si="6"/>
        <v>0</v>
      </c>
      <c r="F169" s="1648">
        <f t="shared" si="6"/>
        <v>747561</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1177618</v>
      </c>
      <c r="D170" s="1631">
        <f t="shared" si="7"/>
        <v>0</v>
      </c>
      <c r="E170" s="1631">
        <f t="shared" si="7"/>
        <v>0</v>
      </c>
      <c r="F170" s="1631">
        <f t="shared" si="7"/>
        <v>1047561</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6" t="s">
        <v>1472</v>
      </c>
      <c r="B172" s="2257"/>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0" t="s">
        <v>1643</v>
      </c>
      <c r="B175" s="2261"/>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4" t="s">
        <v>1642</v>
      </c>
      <c r="B176" s="2265"/>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2" t="s">
        <v>779</v>
      </c>
      <c r="B181" s="2263"/>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8" t="s">
        <v>1777</v>
      </c>
      <c r="B182" s="2259"/>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0</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0</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14355</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14355</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10000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10000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0</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111210</v>
      </c>
      <c r="D213" s="1565">
        <v>0</v>
      </c>
      <c r="E213" s="1567"/>
      <c r="F213" s="1565">
        <v>0</v>
      </c>
      <c r="G213" s="1565">
        <v>0</v>
      </c>
      <c r="H213" s="1567"/>
      <c r="I213" s="1567"/>
      <c r="J213" s="1567"/>
      <c r="K213" s="1567"/>
    </row>
    <row r="214" spans="1:11" ht="12.75" customHeight="1" x14ac:dyDescent="0.2">
      <c r="A214" s="427" t="s">
        <v>1044</v>
      </c>
      <c r="B214" s="429">
        <v>4625</v>
      </c>
      <c r="C214" s="1622">
        <v>1301</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112511</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10511</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10511</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7878</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2241</v>
      </c>
      <c r="D263" s="1641">
        <v>0</v>
      </c>
      <c r="E263" s="1567"/>
      <c r="F263" s="1641">
        <v>0</v>
      </c>
      <c r="G263" s="1641">
        <v>0</v>
      </c>
      <c r="H263" s="1567"/>
      <c r="I263" s="1567"/>
      <c r="J263" s="1567"/>
      <c r="K263" s="1567"/>
    </row>
    <row r="264" spans="1:11" ht="12.75" customHeight="1" thickTop="1" thickBot="1" x14ac:dyDescent="0.25">
      <c r="A264" s="427" t="s">
        <v>374</v>
      </c>
      <c r="B264" s="429">
        <v>4992</v>
      </c>
      <c r="C264" s="1640">
        <v>0</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157496</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157496</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9419485</v>
      </c>
      <c r="D268" s="1631">
        <f t="shared" si="12"/>
        <v>1634505</v>
      </c>
      <c r="E268" s="1631">
        <f t="shared" si="12"/>
        <v>1153880</v>
      </c>
      <c r="F268" s="1631">
        <f t="shared" si="12"/>
        <v>2065843</v>
      </c>
      <c r="G268" s="1631">
        <f t="shared" si="12"/>
        <v>354920</v>
      </c>
      <c r="H268" s="1631">
        <f t="shared" si="12"/>
        <v>8024</v>
      </c>
      <c r="I268" s="1631">
        <f t="shared" si="12"/>
        <v>172153</v>
      </c>
      <c r="J268" s="1631">
        <f t="shared" si="12"/>
        <v>0</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80" zoomScaleNormal="80" workbookViewId="0">
      <pane ySplit="2" topLeftCell="A3" activePane="bottomLeft" state="frozen"/>
      <selection activeCell="C44" sqref="C44"/>
      <selection pane="bottomLeft" activeCell="R364" sqref="R3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6"/>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2" t="s">
        <v>294</v>
      </c>
      <c r="B3" s="2273"/>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2790804</v>
      </c>
      <c r="D5" s="1565">
        <v>480354</v>
      </c>
      <c r="E5" s="1565">
        <v>82482</v>
      </c>
      <c r="F5" s="1565">
        <v>153987</v>
      </c>
      <c r="G5" s="1565">
        <v>21527</v>
      </c>
      <c r="H5" s="1565">
        <v>7670</v>
      </c>
      <c r="I5" s="1566">
        <v>0</v>
      </c>
      <c r="J5" s="1566">
        <v>0</v>
      </c>
      <c r="K5" s="1662">
        <f>SUM(C5:J5)</f>
        <v>3536824</v>
      </c>
      <c r="L5" s="1565">
        <v>3544667</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689819</v>
      </c>
      <c r="D8" s="1565">
        <v>158724</v>
      </c>
      <c r="E8" s="1565">
        <v>106165</v>
      </c>
      <c r="F8" s="1565">
        <v>9229</v>
      </c>
      <c r="G8" s="1565">
        <v>7024</v>
      </c>
      <c r="H8" s="1565">
        <v>2865</v>
      </c>
      <c r="I8" s="1566">
        <v>0</v>
      </c>
      <c r="J8" s="1566">
        <v>0</v>
      </c>
      <c r="K8" s="1662">
        <f t="shared" si="0"/>
        <v>973826</v>
      </c>
      <c r="L8" s="1565">
        <v>936500</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615483</v>
      </c>
      <c r="D14" s="1565">
        <v>33622</v>
      </c>
      <c r="E14" s="1565">
        <v>79438</v>
      </c>
      <c r="F14" s="1565">
        <v>103218</v>
      </c>
      <c r="G14" s="1565">
        <v>36300</v>
      </c>
      <c r="H14" s="1565">
        <v>16787</v>
      </c>
      <c r="I14" s="1566">
        <v>0</v>
      </c>
      <c r="J14" s="1566">
        <v>0</v>
      </c>
      <c r="K14" s="1662">
        <f t="shared" si="0"/>
        <v>884848</v>
      </c>
      <c r="L14" s="1565">
        <v>878850</v>
      </c>
    </row>
    <row r="15" spans="1:14" x14ac:dyDescent="0.2">
      <c r="A15" s="1267" t="s">
        <v>957</v>
      </c>
      <c r="B15" s="503">
        <v>1600</v>
      </c>
      <c r="C15" s="1565">
        <v>0</v>
      </c>
      <c r="D15" s="1565">
        <v>0</v>
      </c>
      <c r="E15" s="1565">
        <v>0</v>
      </c>
      <c r="F15" s="1565">
        <v>0</v>
      </c>
      <c r="G15" s="1565">
        <v>0</v>
      </c>
      <c r="H15" s="1565">
        <v>0</v>
      </c>
      <c r="I15" s="1566">
        <v>0</v>
      </c>
      <c r="J15" s="1566">
        <v>0</v>
      </c>
      <c r="K15" s="1662">
        <f t="shared" si="0"/>
        <v>0</v>
      </c>
      <c r="L15" s="1565">
        <v>0</v>
      </c>
    </row>
    <row r="16" spans="1:14" x14ac:dyDescent="0.2">
      <c r="A16" s="1267" t="s">
        <v>979</v>
      </c>
      <c r="B16" s="503" t="s">
        <v>421</v>
      </c>
      <c r="C16" s="1565">
        <v>0</v>
      </c>
      <c r="D16" s="1565">
        <v>0</v>
      </c>
      <c r="E16" s="1565">
        <v>0</v>
      </c>
      <c r="F16" s="1565">
        <v>0</v>
      </c>
      <c r="G16" s="1565">
        <v>0</v>
      </c>
      <c r="H16" s="1565">
        <v>0</v>
      </c>
      <c r="I16" s="1566">
        <v>0</v>
      </c>
      <c r="J16" s="1566">
        <v>0</v>
      </c>
      <c r="K16" s="1662">
        <f t="shared" si="0"/>
        <v>0</v>
      </c>
      <c r="L16" s="1565">
        <v>0</v>
      </c>
    </row>
    <row r="17" spans="1:12" x14ac:dyDescent="0.2">
      <c r="A17" s="1267" t="s">
        <v>718</v>
      </c>
      <c r="B17" s="503" t="s">
        <v>161</v>
      </c>
      <c r="C17" s="1566">
        <v>88595</v>
      </c>
      <c r="D17" s="1566">
        <v>12518</v>
      </c>
      <c r="E17" s="1566">
        <v>198</v>
      </c>
      <c r="F17" s="1566">
        <v>0</v>
      </c>
      <c r="G17" s="1566">
        <v>0</v>
      </c>
      <c r="H17" s="1566">
        <v>0</v>
      </c>
      <c r="I17" s="1566">
        <v>0</v>
      </c>
      <c r="J17" s="1566">
        <v>0</v>
      </c>
      <c r="K17" s="1662">
        <f t="shared" si="0"/>
        <v>101311</v>
      </c>
      <c r="L17" s="1565">
        <v>128750</v>
      </c>
    </row>
    <row r="18" spans="1:12" x14ac:dyDescent="0.2">
      <c r="A18" s="1267" t="s">
        <v>1077</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6683</v>
      </c>
      <c r="I21" s="1663"/>
      <c r="J21" s="1573"/>
      <c r="K21" s="1662">
        <f t="shared" si="0"/>
        <v>6683</v>
      </c>
      <c r="L21" s="1569">
        <v>0</v>
      </c>
    </row>
    <row r="22" spans="1:12" x14ac:dyDescent="0.2">
      <c r="A22" s="1268" t="s">
        <v>734</v>
      </c>
      <c r="B22" s="494" t="s">
        <v>721</v>
      </c>
      <c r="C22" s="1573"/>
      <c r="D22" s="1573"/>
      <c r="E22" s="1573"/>
      <c r="F22" s="1573"/>
      <c r="G22" s="1573"/>
      <c r="H22" s="1571">
        <v>85749</v>
      </c>
      <c r="I22" s="1663"/>
      <c r="J22" s="1573"/>
      <c r="K22" s="1662">
        <f t="shared" si="0"/>
        <v>85749</v>
      </c>
      <c r="L22" s="1569">
        <v>300000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4184701</v>
      </c>
      <c r="D33" s="1664">
        <f t="shared" ref="D33:L33" si="1">SUM(D5:D32)</f>
        <v>685218</v>
      </c>
      <c r="E33" s="1664">
        <f t="shared" si="1"/>
        <v>268283</v>
      </c>
      <c r="F33" s="1664">
        <f t="shared" si="1"/>
        <v>266434</v>
      </c>
      <c r="G33" s="1664">
        <f t="shared" si="1"/>
        <v>64851</v>
      </c>
      <c r="H33" s="1664">
        <f t="shared" si="1"/>
        <v>119754</v>
      </c>
      <c r="I33" s="1664">
        <f t="shared" si="1"/>
        <v>0</v>
      </c>
      <c r="J33" s="1664">
        <f t="shared" si="1"/>
        <v>0</v>
      </c>
      <c r="K33" s="1664">
        <f t="shared" si="1"/>
        <v>5589241</v>
      </c>
      <c r="L33" s="1664">
        <f t="shared" si="1"/>
        <v>5788767</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115615</v>
      </c>
      <c r="D36" s="1577">
        <v>20378</v>
      </c>
      <c r="E36" s="1577">
        <v>3600</v>
      </c>
      <c r="F36" s="1577">
        <v>156</v>
      </c>
      <c r="G36" s="1577">
        <v>0</v>
      </c>
      <c r="H36" s="1577">
        <v>0</v>
      </c>
      <c r="I36" s="1566">
        <v>0</v>
      </c>
      <c r="J36" s="1566">
        <v>0</v>
      </c>
      <c r="K36" s="1662">
        <f t="shared" ref="K36:K41" si="2">SUM(C36:J36)</f>
        <v>139749</v>
      </c>
      <c r="L36" s="1565">
        <v>161150</v>
      </c>
    </row>
    <row r="37" spans="1:14" x14ac:dyDescent="0.2">
      <c r="A37" s="1267" t="s">
        <v>1080</v>
      </c>
      <c r="B37" s="503">
        <v>2120</v>
      </c>
      <c r="C37" s="1565">
        <v>206328</v>
      </c>
      <c r="D37" s="1565">
        <v>10259</v>
      </c>
      <c r="E37" s="1565">
        <v>4772</v>
      </c>
      <c r="F37" s="1565">
        <v>26703</v>
      </c>
      <c r="G37" s="1565">
        <v>0</v>
      </c>
      <c r="H37" s="1565">
        <v>5303</v>
      </c>
      <c r="I37" s="1566">
        <v>0</v>
      </c>
      <c r="J37" s="1566">
        <v>0</v>
      </c>
      <c r="K37" s="1662">
        <f t="shared" si="2"/>
        <v>253365</v>
      </c>
      <c r="L37" s="1565">
        <v>266350</v>
      </c>
    </row>
    <row r="38" spans="1:14" x14ac:dyDescent="0.2">
      <c r="A38" s="1267" t="s">
        <v>196</v>
      </c>
      <c r="B38" s="503">
        <v>2130</v>
      </c>
      <c r="C38" s="1565">
        <v>64885</v>
      </c>
      <c r="D38" s="1565">
        <v>8654</v>
      </c>
      <c r="E38" s="1565">
        <v>769</v>
      </c>
      <c r="F38" s="1565">
        <v>820</v>
      </c>
      <c r="G38" s="1565">
        <v>0</v>
      </c>
      <c r="H38" s="1565">
        <v>0</v>
      </c>
      <c r="I38" s="1566">
        <v>0</v>
      </c>
      <c r="J38" s="1566">
        <v>0</v>
      </c>
      <c r="K38" s="1662">
        <f t="shared" si="2"/>
        <v>75128</v>
      </c>
      <c r="L38" s="1565">
        <v>82300</v>
      </c>
    </row>
    <row r="39" spans="1:14" x14ac:dyDescent="0.2">
      <c r="A39" s="1267" t="s">
        <v>197</v>
      </c>
      <c r="B39" s="503">
        <v>2140</v>
      </c>
      <c r="C39" s="1565">
        <v>22323</v>
      </c>
      <c r="D39" s="1565">
        <v>0</v>
      </c>
      <c r="E39" s="1565">
        <v>98824</v>
      </c>
      <c r="F39" s="1565">
        <v>0</v>
      </c>
      <c r="G39" s="1565">
        <v>0</v>
      </c>
      <c r="H39" s="1565">
        <v>0</v>
      </c>
      <c r="I39" s="1566">
        <v>0</v>
      </c>
      <c r="J39" s="1566">
        <v>0</v>
      </c>
      <c r="K39" s="1662">
        <f t="shared" si="2"/>
        <v>121147</v>
      </c>
      <c r="L39" s="1565">
        <v>310000</v>
      </c>
    </row>
    <row r="40" spans="1:14" x14ac:dyDescent="0.2">
      <c r="A40" s="1267" t="s">
        <v>198</v>
      </c>
      <c r="B40" s="503">
        <v>2150</v>
      </c>
      <c r="C40" s="1565">
        <v>0</v>
      </c>
      <c r="D40" s="1565">
        <v>0</v>
      </c>
      <c r="E40" s="1565">
        <v>0</v>
      </c>
      <c r="F40" s="1565">
        <v>0</v>
      </c>
      <c r="G40" s="1565">
        <v>0</v>
      </c>
      <c r="H40" s="1565">
        <v>0</v>
      </c>
      <c r="I40" s="1566">
        <v>0</v>
      </c>
      <c r="J40" s="1566">
        <v>0</v>
      </c>
      <c r="K40" s="1662">
        <f t="shared" si="2"/>
        <v>0</v>
      </c>
      <c r="L40" s="1565">
        <v>0</v>
      </c>
    </row>
    <row r="41" spans="1:14" x14ac:dyDescent="0.2">
      <c r="A41" s="1267" t="s">
        <v>1647</v>
      </c>
      <c r="B41" s="503">
        <v>2190</v>
      </c>
      <c r="C41" s="1565">
        <v>0</v>
      </c>
      <c r="D41" s="1565">
        <v>0</v>
      </c>
      <c r="E41" s="1565">
        <v>0</v>
      </c>
      <c r="F41" s="1565">
        <v>0</v>
      </c>
      <c r="G41" s="1565">
        <v>0</v>
      </c>
      <c r="H41" s="1565">
        <v>0</v>
      </c>
      <c r="I41" s="1566">
        <v>0</v>
      </c>
      <c r="J41" s="1566">
        <v>0</v>
      </c>
      <c r="K41" s="1662">
        <f t="shared" si="2"/>
        <v>0</v>
      </c>
      <c r="L41" s="1565">
        <v>0</v>
      </c>
    </row>
    <row r="42" spans="1:14" ht="12.75" customHeight="1" thickBot="1" x14ac:dyDescent="0.25">
      <c r="A42" s="1373" t="s">
        <v>556</v>
      </c>
      <c r="B42" s="1374" t="s">
        <v>710</v>
      </c>
      <c r="C42" s="1664">
        <f>SUM(C36:C41)</f>
        <v>409151</v>
      </c>
      <c r="D42" s="1664">
        <f t="shared" ref="D42:L42" si="3">SUM(D36:D41)</f>
        <v>39291</v>
      </c>
      <c r="E42" s="1664">
        <f t="shared" si="3"/>
        <v>107965</v>
      </c>
      <c r="F42" s="1664">
        <f t="shared" si="3"/>
        <v>27679</v>
      </c>
      <c r="G42" s="1664">
        <f t="shared" si="3"/>
        <v>0</v>
      </c>
      <c r="H42" s="1664">
        <f t="shared" si="3"/>
        <v>5303</v>
      </c>
      <c r="I42" s="1664">
        <f t="shared" si="3"/>
        <v>0</v>
      </c>
      <c r="J42" s="1664">
        <f t="shared" si="3"/>
        <v>0</v>
      </c>
      <c r="K42" s="1664">
        <f t="shared" si="3"/>
        <v>589389</v>
      </c>
      <c r="L42" s="1664">
        <f t="shared" si="3"/>
        <v>819800</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10095</v>
      </c>
      <c r="D44" s="1577">
        <v>18608</v>
      </c>
      <c r="E44" s="1577">
        <v>48927</v>
      </c>
      <c r="F44" s="1577">
        <v>0</v>
      </c>
      <c r="G44" s="1577">
        <v>0</v>
      </c>
      <c r="H44" s="1577">
        <v>207655</v>
      </c>
      <c r="I44" s="1566">
        <v>0</v>
      </c>
      <c r="J44" s="1566">
        <v>0</v>
      </c>
      <c r="K44" s="1668">
        <f>SUM(C44:J44)</f>
        <v>285285</v>
      </c>
      <c r="L44" s="1577">
        <v>117500</v>
      </c>
    </row>
    <row r="45" spans="1:14" x14ac:dyDescent="0.2">
      <c r="A45" s="1267" t="s">
        <v>809</v>
      </c>
      <c r="B45" s="503">
        <v>2220</v>
      </c>
      <c r="C45" s="1565">
        <v>109517</v>
      </c>
      <c r="D45" s="1565">
        <v>19848</v>
      </c>
      <c r="E45" s="1565">
        <v>14557</v>
      </c>
      <c r="F45" s="1565">
        <v>15900</v>
      </c>
      <c r="G45" s="1565">
        <v>0</v>
      </c>
      <c r="H45" s="1565">
        <v>943</v>
      </c>
      <c r="I45" s="1566">
        <v>0</v>
      </c>
      <c r="J45" s="1566">
        <v>0</v>
      </c>
      <c r="K45" s="1668">
        <f>SUM(C45:J45)</f>
        <v>160765</v>
      </c>
      <c r="L45" s="1565">
        <v>171650</v>
      </c>
    </row>
    <row r="46" spans="1:14" x14ac:dyDescent="0.2">
      <c r="A46" s="1267" t="s">
        <v>810</v>
      </c>
      <c r="B46" s="503">
        <v>2230</v>
      </c>
      <c r="C46" s="1565">
        <v>0</v>
      </c>
      <c r="D46" s="1565">
        <v>0</v>
      </c>
      <c r="E46" s="1565">
        <v>0</v>
      </c>
      <c r="F46" s="1565">
        <v>0</v>
      </c>
      <c r="G46" s="1565">
        <v>0</v>
      </c>
      <c r="H46" s="1565">
        <v>0</v>
      </c>
      <c r="I46" s="1566">
        <v>0</v>
      </c>
      <c r="J46" s="1566">
        <v>0</v>
      </c>
      <c r="K46" s="1668">
        <f>SUM(C46:J46)</f>
        <v>0</v>
      </c>
      <c r="L46" s="1565">
        <v>0</v>
      </c>
    </row>
    <row r="47" spans="1:14" ht="12.75" customHeight="1" thickBot="1" x14ac:dyDescent="0.25">
      <c r="A47" s="1373" t="s">
        <v>557</v>
      </c>
      <c r="B47" s="1374" t="s">
        <v>32</v>
      </c>
      <c r="C47" s="1664">
        <f>SUM(C44:C46)</f>
        <v>119612</v>
      </c>
      <c r="D47" s="1664">
        <f t="shared" ref="D47:K47" si="4">SUM(D44:D46)</f>
        <v>38456</v>
      </c>
      <c r="E47" s="1664">
        <f t="shared" si="4"/>
        <v>63484</v>
      </c>
      <c r="F47" s="1664">
        <f t="shared" si="4"/>
        <v>15900</v>
      </c>
      <c r="G47" s="1664">
        <f t="shared" si="4"/>
        <v>0</v>
      </c>
      <c r="H47" s="1664">
        <f t="shared" si="4"/>
        <v>208598</v>
      </c>
      <c r="I47" s="1664">
        <f t="shared" si="4"/>
        <v>0</v>
      </c>
      <c r="J47" s="1664">
        <f t="shared" si="4"/>
        <v>0</v>
      </c>
      <c r="K47" s="1664">
        <f t="shared" si="4"/>
        <v>446050</v>
      </c>
      <c r="L47" s="1664">
        <f>SUM(L44:L46)</f>
        <v>289150</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61</v>
      </c>
      <c r="D49" s="1577">
        <v>0</v>
      </c>
      <c r="E49" s="1577">
        <v>264345</v>
      </c>
      <c r="F49" s="1577">
        <v>15953</v>
      </c>
      <c r="G49" s="1577">
        <v>0</v>
      </c>
      <c r="H49" s="1577">
        <v>44787</v>
      </c>
      <c r="I49" s="1566">
        <v>0</v>
      </c>
      <c r="J49" s="1566">
        <v>0</v>
      </c>
      <c r="K49" s="1668">
        <f>SUM(C49:J49)</f>
        <v>325146</v>
      </c>
      <c r="L49" s="1577">
        <v>476000</v>
      </c>
    </row>
    <row r="50" spans="1:14" x14ac:dyDescent="0.2">
      <c r="A50" s="1267" t="s">
        <v>812</v>
      </c>
      <c r="B50" s="503">
        <v>2320</v>
      </c>
      <c r="C50" s="1565">
        <v>0</v>
      </c>
      <c r="D50" s="1565">
        <v>0</v>
      </c>
      <c r="E50" s="1565">
        <v>115747</v>
      </c>
      <c r="F50" s="1565">
        <v>6575</v>
      </c>
      <c r="G50" s="1565">
        <v>0</v>
      </c>
      <c r="H50" s="1565">
        <v>7046</v>
      </c>
      <c r="I50" s="1566">
        <v>0</v>
      </c>
      <c r="J50" s="1566">
        <v>0</v>
      </c>
      <c r="K50" s="1668">
        <f>SUM(C50:J50)</f>
        <v>129368</v>
      </c>
      <c r="L50" s="1565">
        <v>138000</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295</v>
      </c>
      <c r="B52" s="511" t="s">
        <v>363</v>
      </c>
      <c r="C52" s="1571">
        <v>0</v>
      </c>
      <c r="D52" s="1571">
        <v>0</v>
      </c>
      <c r="E52" s="1571">
        <v>456</v>
      </c>
      <c r="F52" s="1571">
        <v>0</v>
      </c>
      <c r="G52" s="1571">
        <v>0</v>
      </c>
      <c r="H52" s="1571">
        <v>0</v>
      </c>
      <c r="I52" s="1571">
        <v>0</v>
      </c>
      <c r="J52" s="1571">
        <v>0</v>
      </c>
      <c r="K52" s="1668">
        <f>SUM(C52:J52)</f>
        <v>456</v>
      </c>
      <c r="L52" s="1571">
        <v>0</v>
      </c>
    </row>
    <row r="53" spans="1:14" ht="12.75" customHeight="1" thickBot="1" x14ac:dyDescent="0.25">
      <c r="A53" s="1373" t="s">
        <v>711</v>
      </c>
      <c r="B53" s="1374" t="s">
        <v>33</v>
      </c>
      <c r="C53" s="1664">
        <f>SUM(C49:C52)</f>
        <v>61</v>
      </c>
      <c r="D53" s="1664">
        <f t="shared" ref="D53:L53" si="5">SUM(D49:D52)</f>
        <v>0</v>
      </c>
      <c r="E53" s="1664">
        <f t="shared" si="5"/>
        <v>380548</v>
      </c>
      <c r="F53" s="1664">
        <f t="shared" si="5"/>
        <v>22528</v>
      </c>
      <c r="G53" s="1664">
        <f t="shared" si="5"/>
        <v>0</v>
      </c>
      <c r="H53" s="1664">
        <f t="shared" si="5"/>
        <v>51833</v>
      </c>
      <c r="I53" s="1664">
        <f t="shared" si="5"/>
        <v>0</v>
      </c>
      <c r="J53" s="1664">
        <f t="shared" si="5"/>
        <v>0</v>
      </c>
      <c r="K53" s="1664">
        <f t="shared" si="5"/>
        <v>454970</v>
      </c>
      <c r="L53" s="1664">
        <f t="shared" si="5"/>
        <v>614000</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441506</v>
      </c>
      <c r="D55" s="1577">
        <v>90786</v>
      </c>
      <c r="E55" s="1577">
        <v>8306</v>
      </c>
      <c r="F55" s="1577">
        <v>28063</v>
      </c>
      <c r="G55" s="1577">
        <v>2312</v>
      </c>
      <c r="H55" s="1577">
        <v>4959</v>
      </c>
      <c r="I55" s="1566">
        <v>0</v>
      </c>
      <c r="J55" s="1566">
        <v>0</v>
      </c>
      <c r="K55" s="1668">
        <f>SUM(C55:J55)</f>
        <v>575932</v>
      </c>
      <c r="L55" s="1577">
        <v>634000</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441506</v>
      </c>
      <c r="D57" s="1669">
        <f t="shared" ref="D57:K57" si="6">SUM(D55:D56)</f>
        <v>90786</v>
      </c>
      <c r="E57" s="1669">
        <f t="shared" si="6"/>
        <v>8306</v>
      </c>
      <c r="F57" s="1669">
        <f t="shared" si="6"/>
        <v>28063</v>
      </c>
      <c r="G57" s="1669">
        <f t="shared" si="6"/>
        <v>2312</v>
      </c>
      <c r="H57" s="1669">
        <f t="shared" si="6"/>
        <v>4959</v>
      </c>
      <c r="I57" s="1669">
        <f t="shared" si="6"/>
        <v>0</v>
      </c>
      <c r="J57" s="1669">
        <f t="shared" si="6"/>
        <v>0</v>
      </c>
      <c r="K57" s="1669">
        <f t="shared" si="6"/>
        <v>575932</v>
      </c>
      <c r="L57" s="1664">
        <f>SUM(L55:L56)</f>
        <v>634000</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17217</v>
      </c>
      <c r="D59" s="1577">
        <v>1874</v>
      </c>
      <c r="E59" s="1577">
        <v>0</v>
      </c>
      <c r="F59" s="1577">
        <v>0</v>
      </c>
      <c r="G59" s="1577">
        <v>0</v>
      </c>
      <c r="H59" s="1577">
        <v>470</v>
      </c>
      <c r="I59" s="1566">
        <v>0</v>
      </c>
      <c r="J59" s="1566">
        <v>0</v>
      </c>
      <c r="K59" s="1668">
        <f t="shared" ref="K59:K64" si="7">SUM(C59:J59)</f>
        <v>19561</v>
      </c>
      <c r="L59" s="1577">
        <v>59500</v>
      </c>
      <c r="M59" s="501"/>
      <c r="N59" s="501"/>
    </row>
    <row r="60" spans="1:14" s="321" customFormat="1" x14ac:dyDescent="0.2">
      <c r="A60" s="1267" t="s">
        <v>460</v>
      </c>
      <c r="B60" s="503">
        <v>2520</v>
      </c>
      <c r="C60" s="1565">
        <v>0</v>
      </c>
      <c r="D60" s="1565">
        <v>1701</v>
      </c>
      <c r="E60" s="1565">
        <v>82095</v>
      </c>
      <c r="F60" s="1565">
        <v>1402</v>
      </c>
      <c r="G60" s="1565">
        <v>0</v>
      </c>
      <c r="H60" s="1565">
        <v>637</v>
      </c>
      <c r="I60" s="1566">
        <v>0</v>
      </c>
      <c r="J60" s="1566">
        <v>0</v>
      </c>
      <c r="K60" s="1668">
        <f t="shared" si="7"/>
        <v>85835</v>
      </c>
      <c r="L60" s="1565">
        <v>60350</v>
      </c>
      <c r="M60" s="501"/>
      <c r="N60" s="501"/>
    </row>
    <row r="61" spans="1:14" s="321" customFormat="1" x14ac:dyDescent="0.2">
      <c r="A61" s="1267" t="s">
        <v>195</v>
      </c>
      <c r="B61" s="503">
        <v>2540</v>
      </c>
      <c r="C61" s="1565">
        <v>0</v>
      </c>
      <c r="D61" s="1565">
        <v>0</v>
      </c>
      <c r="E61" s="1565">
        <v>24574</v>
      </c>
      <c r="F61" s="1565">
        <v>0</v>
      </c>
      <c r="G61" s="1565">
        <v>0</v>
      </c>
      <c r="H61" s="1565">
        <v>0</v>
      </c>
      <c r="I61" s="1566">
        <v>0</v>
      </c>
      <c r="J61" s="1566">
        <v>0</v>
      </c>
      <c r="K61" s="1668">
        <f t="shared" si="7"/>
        <v>24574</v>
      </c>
      <c r="L61" s="1565">
        <v>55000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19417</v>
      </c>
      <c r="D63" s="1565">
        <v>9361</v>
      </c>
      <c r="E63" s="1565">
        <v>204093</v>
      </c>
      <c r="F63" s="1565">
        <v>16685</v>
      </c>
      <c r="G63" s="1565">
        <v>0</v>
      </c>
      <c r="H63" s="1565">
        <v>0</v>
      </c>
      <c r="I63" s="1566">
        <v>0</v>
      </c>
      <c r="J63" s="1566">
        <v>0</v>
      </c>
      <c r="K63" s="1668">
        <f t="shared" si="7"/>
        <v>249556</v>
      </c>
      <c r="L63" s="1565">
        <v>289500</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36634</v>
      </c>
      <c r="D65" s="1664">
        <f t="shared" ref="D65:L65" si="8">SUM(D59:D64)</f>
        <v>12936</v>
      </c>
      <c r="E65" s="1664">
        <f t="shared" si="8"/>
        <v>310762</v>
      </c>
      <c r="F65" s="1664">
        <f t="shared" si="8"/>
        <v>18087</v>
      </c>
      <c r="G65" s="1664">
        <f t="shared" si="8"/>
        <v>0</v>
      </c>
      <c r="H65" s="1664">
        <f t="shared" si="8"/>
        <v>1107</v>
      </c>
      <c r="I65" s="1664">
        <f t="shared" si="8"/>
        <v>0</v>
      </c>
      <c r="J65" s="1664">
        <f t="shared" si="8"/>
        <v>0</v>
      </c>
      <c r="K65" s="1664">
        <f t="shared" si="8"/>
        <v>379526</v>
      </c>
      <c r="L65" s="1664">
        <f t="shared" si="8"/>
        <v>464350</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26925</v>
      </c>
      <c r="D71" s="1565">
        <v>4550</v>
      </c>
      <c r="E71" s="1565">
        <v>61184</v>
      </c>
      <c r="F71" s="1565">
        <v>78750</v>
      </c>
      <c r="G71" s="1565">
        <v>41365</v>
      </c>
      <c r="H71" s="1565">
        <v>27573</v>
      </c>
      <c r="I71" s="1566">
        <v>0</v>
      </c>
      <c r="J71" s="1566">
        <v>0</v>
      </c>
      <c r="K71" s="1668">
        <f>SUM(C71:J71)</f>
        <v>240347</v>
      </c>
      <c r="L71" s="1565">
        <v>535000</v>
      </c>
      <c r="M71" s="501"/>
      <c r="N71" s="501"/>
    </row>
    <row r="72" spans="1:14" s="321" customFormat="1" ht="12.75" customHeight="1" thickBot="1" x14ac:dyDescent="0.25">
      <c r="A72" s="1373" t="s">
        <v>37</v>
      </c>
      <c r="B72" s="1376" t="s">
        <v>36</v>
      </c>
      <c r="C72" s="1664">
        <f>SUM(C67:C71)</f>
        <v>26925</v>
      </c>
      <c r="D72" s="1664">
        <f t="shared" ref="D72:K72" si="9">SUM(D67:D71)</f>
        <v>4550</v>
      </c>
      <c r="E72" s="1664">
        <f t="shared" si="9"/>
        <v>61184</v>
      </c>
      <c r="F72" s="1664">
        <f t="shared" si="9"/>
        <v>78750</v>
      </c>
      <c r="G72" s="1664">
        <f t="shared" si="9"/>
        <v>41365</v>
      </c>
      <c r="H72" s="1664">
        <f t="shared" si="9"/>
        <v>27573</v>
      </c>
      <c r="I72" s="1664">
        <f t="shared" si="9"/>
        <v>0</v>
      </c>
      <c r="J72" s="1664">
        <f t="shared" si="9"/>
        <v>0</v>
      </c>
      <c r="K72" s="1664">
        <f t="shared" si="9"/>
        <v>240347</v>
      </c>
      <c r="L72" s="1664">
        <f>SUM(L67:L71)</f>
        <v>535000</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1033889</v>
      </c>
      <c r="D74" s="1671">
        <f t="shared" ref="D74:K74" si="10">SUM(D42,D47,D53,D57,D65,D72,D73)</f>
        <v>186019</v>
      </c>
      <c r="E74" s="1671">
        <f t="shared" si="10"/>
        <v>932249</v>
      </c>
      <c r="F74" s="1671">
        <f t="shared" si="10"/>
        <v>191007</v>
      </c>
      <c r="G74" s="1671">
        <f t="shared" si="10"/>
        <v>43677</v>
      </c>
      <c r="H74" s="1671">
        <f t="shared" si="10"/>
        <v>299373</v>
      </c>
      <c r="I74" s="1671">
        <f t="shared" si="10"/>
        <v>0</v>
      </c>
      <c r="J74" s="1671">
        <f t="shared" si="10"/>
        <v>0</v>
      </c>
      <c r="K74" s="1671">
        <f t="shared" si="10"/>
        <v>2686214</v>
      </c>
      <c r="L74" s="1671">
        <f>SUM(L42,L47,L53,L57,L65,L72,L73)</f>
        <v>3356300</v>
      </c>
    </row>
    <row r="75" spans="1:14" s="254" customFormat="1" ht="15.75" customHeight="1" thickTop="1" thickBot="1" x14ac:dyDescent="0.25">
      <c r="A75" s="1341" t="s">
        <v>47</v>
      </c>
      <c r="B75" s="1342" t="s">
        <v>571</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135040</v>
      </c>
      <c r="I78" s="1573"/>
      <c r="J78" s="1573"/>
      <c r="K78" s="1662">
        <f t="shared" ref="K78:K83" si="11">SUM(C78:J78)</f>
        <v>135040</v>
      </c>
      <c r="L78" s="1577">
        <v>200000</v>
      </c>
    </row>
    <row r="79" spans="1:14" x14ac:dyDescent="0.2">
      <c r="A79" s="1267" t="s">
        <v>301</v>
      </c>
      <c r="B79" s="503">
        <v>4120</v>
      </c>
      <c r="C79" s="1663"/>
      <c r="D79" s="1663"/>
      <c r="E79" s="1565">
        <v>0</v>
      </c>
      <c r="F79" s="1663"/>
      <c r="G79" s="1663"/>
      <c r="H79" s="1565">
        <v>0</v>
      </c>
      <c r="I79" s="1573"/>
      <c r="J79" s="1573"/>
      <c r="K79" s="1662">
        <f t="shared" si="11"/>
        <v>0</v>
      </c>
      <c r="L79" s="1565">
        <v>55000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974</v>
      </c>
      <c r="I81" s="1573"/>
      <c r="J81" s="1573"/>
      <c r="K81" s="1662">
        <f t="shared" si="11"/>
        <v>974</v>
      </c>
      <c r="L81" s="1565">
        <v>1500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0</v>
      </c>
      <c r="F84" s="1663"/>
      <c r="G84" s="1663"/>
      <c r="H84" s="1664">
        <f>SUM(H78:H83)</f>
        <v>136014</v>
      </c>
      <c r="I84" s="1573"/>
      <c r="J84" s="1573"/>
      <c r="K84" s="1664">
        <f>SUM(K78:K83)</f>
        <v>136014</v>
      </c>
      <c r="L84" s="1664">
        <f>SUM(L78:L83)</f>
        <v>256500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124045</v>
      </c>
      <c r="I86" s="1573"/>
      <c r="J86" s="1573"/>
      <c r="K86" s="1671">
        <f t="shared" ref="K86:K98" si="12">H86</f>
        <v>124045</v>
      </c>
      <c r="L86" s="1616">
        <v>100000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4451</v>
      </c>
      <c r="I88" s="1573"/>
      <c r="J88" s="1573"/>
      <c r="K88" s="1671">
        <f t="shared" si="12"/>
        <v>4451</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128496</v>
      </c>
      <c r="I92" s="1573"/>
      <c r="J92" s="1573"/>
      <c r="K92" s="1671">
        <f t="shared" si="12"/>
        <v>128496</v>
      </c>
      <c r="L92" s="1664">
        <f>SUM(L85:L91)</f>
        <v>100000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0</v>
      </c>
      <c r="F102" s="1663"/>
      <c r="G102" s="1663"/>
      <c r="H102" s="1671">
        <f>SUM(H84,H92,H100,H101)</f>
        <v>264510</v>
      </c>
      <c r="I102" s="1573"/>
      <c r="J102" s="1573"/>
      <c r="K102" s="1671">
        <f>SUM(K84,K92,K100,K101)</f>
        <v>264510</v>
      </c>
      <c r="L102" s="1671">
        <f>SUM(L84,L92,L100,L101)</f>
        <v>356500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5218590</v>
      </c>
      <c r="D114" s="1664">
        <f t="shared" ref="D114:K114" si="13">SUM(D33,D74,D75,D102,D112,D113)</f>
        <v>871237</v>
      </c>
      <c r="E114" s="1664">
        <f t="shared" si="13"/>
        <v>1200532</v>
      </c>
      <c r="F114" s="1664">
        <f t="shared" si="13"/>
        <v>457441</v>
      </c>
      <c r="G114" s="1664">
        <f t="shared" si="13"/>
        <v>108528</v>
      </c>
      <c r="H114" s="1664">
        <f>SUM(H33,H74,H75,H102,H112,H113)</f>
        <v>683637</v>
      </c>
      <c r="I114" s="1664">
        <f t="shared" si="13"/>
        <v>0</v>
      </c>
      <c r="J114" s="1664">
        <f t="shared" si="13"/>
        <v>0</v>
      </c>
      <c r="K114" s="1664">
        <f t="shared" si="13"/>
        <v>8539965</v>
      </c>
      <c r="L114" s="1664">
        <f>SUM(L33,L74,L75,L102,L112,L113)</f>
        <v>9501567</v>
      </c>
    </row>
    <row r="115" spans="1:14" ht="13.5" thickTop="1" x14ac:dyDescent="0.2">
      <c r="A115" s="2291" t="s">
        <v>988</v>
      </c>
      <c r="B115" s="2292"/>
      <c r="C115" s="1665"/>
      <c r="D115" s="1665"/>
      <c r="E115" s="1665"/>
      <c r="F115" s="1665"/>
      <c r="G115" s="1665"/>
      <c r="H115" s="1665"/>
      <c r="I115" s="1665"/>
      <c r="J115" s="1665"/>
      <c r="K115" s="1679">
        <f>'Revenues 9-14'!C268-'Expenditures 15-22'!K114</f>
        <v>879520</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69" t="s">
        <v>293</v>
      </c>
      <c r="B117" s="2270"/>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row>
    <row r="124" spans="1:14" ht="14.25" thickTop="1" thickBot="1" x14ac:dyDescent="0.25">
      <c r="A124" s="1267" t="s">
        <v>195</v>
      </c>
      <c r="B124" s="503">
        <v>2540</v>
      </c>
      <c r="C124" s="1565">
        <v>212732</v>
      </c>
      <c r="D124" s="1565">
        <v>14915</v>
      </c>
      <c r="E124" s="1565">
        <v>397516</v>
      </c>
      <c r="F124" s="1565">
        <v>422213</v>
      </c>
      <c r="G124" s="1565">
        <v>42381</v>
      </c>
      <c r="H124" s="1565">
        <v>3234</v>
      </c>
      <c r="I124" s="1566">
        <v>0</v>
      </c>
      <c r="J124" s="1566">
        <v>0</v>
      </c>
      <c r="K124" s="1664">
        <f>SUM(C124:J124)</f>
        <v>1092991</v>
      </c>
      <c r="L124" s="1565">
        <v>1342500</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212732</v>
      </c>
      <c r="D127" s="1664">
        <f t="shared" ref="D127:L127" si="14">SUM(D122:D126)</f>
        <v>14915</v>
      </c>
      <c r="E127" s="1664">
        <f t="shared" si="14"/>
        <v>397516</v>
      </c>
      <c r="F127" s="1664">
        <f t="shared" si="14"/>
        <v>422213</v>
      </c>
      <c r="G127" s="1664">
        <f t="shared" si="14"/>
        <v>42381</v>
      </c>
      <c r="H127" s="1664">
        <f t="shared" si="14"/>
        <v>3234</v>
      </c>
      <c r="I127" s="1664">
        <f t="shared" si="14"/>
        <v>0</v>
      </c>
      <c r="J127" s="1664">
        <f t="shared" si="14"/>
        <v>0</v>
      </c>
      <c r="K127" s="1664">
        <f t="shared" si="14"/>
        <v>1092991</v>
      </c>
      <c r="L127" s="1664">
        <f t="shared" si="14"/>
        <v>1342500</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212732</v>
      </c>
      <c r="D129" s="1671">
        <f t="shared" ref="D129:L129" si="15">SUM(D120,D127,D128)</f>
        <v>14915</v>
      </c>
      <c r="E129" s="1671">
        <f t="shared" si="15"/>
        <v>397516</v>
      </c>
      <c r="F129" s="1671">
        <f t="shared" si="15"/>
        <v>422213</v>
      </c>
      <c r="G129" s="1671">
        <f t="shared" si="15"/>
        <v>42381</v>
      </c>
      <c r="H129" s="1671">
        <f t="shared" si="15"/>
        <v>3234</v>
      </c>
      <c r="I129" s="1671">
        <f t="shared" si="15"/>
        <v>0</v>
      </c>
      <c r="J129" s="1671">
        <f t="shared" si="15"/>
        <v>0</v>
      </c>
      <c r="K129" s="1671">
        <f t="shared" si="15"/>
        <v>1092991</v>
      </c>
      <c r="L129" s="1671">
        <f t="shared" si="15"/>
        <v>1342500</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1" t="s">
        <v>616</v>
      </c>
      <c r="B151" s="2263"/>
      <c r="C151" s="1664">
        <f>SUM(C129,C130,C139,C149,C150)</f>
        <v>212732</v>
      </c>
      <c r="D151" s="1664">
        <f t="shared" ref="D151:K151" si="16">SUM(D129,D130,D139,D149,D150)</f>
        <v>14915</v>
      </c>
      <c r="E151" s="1664">
        <f t="shared" si="16"/>
        <v>397516</v>
      </c>
      <c r="F151" s="1664">
        <f t="shared" si="16"/>
        <v>422213</v>
      </c>
      <c r="G151" s="1664">
        <f t="shared" si="16"/>
        <v>42381</v>
      </c>
      <c r="H151" s="1664">
        <f t="shared" si="16"/>
        <v>3234</v>
      </c>
      <c r="I151" s="1664">
        <f t="shared" si="16"/>
        <v>0</v>
      </c>
      <c r="J151" s="1664">
        <f t="shared" si="16"/>
        <v>0</v>
      </c>
      <c r="K151" s="1664">
        <f t="shared" si="16"/>
        <v>1092991</v>
      </c>
      <c r="L151" s="1664">
        <f>SUM(L129,L130,L139,L149,L150)</f>
        <v>1342500</v>
      </c>
    </row>
    <row r="152" spans="1:14" ht="12.75" customHeight="1" thickTop="1" x14ac:dyDescent="0.2">
      <c r="A152" s="2284" t="s">
        <v>1167</v>
      </c>
      <c r="B152" s="2285"/>
      <c r="C152" s="1665"/>
      <c r="D152" s="1665"/>
      <c r="E152" s="1665"/>
      <c r="F152" s="1665"/>
      <c r="G152" s="1665"/>
      <c r="H152" s="1665"/>
      <c r="I152" s="1665"/>
      <c r="J152" s="1663"/>
      <c r="K152" s="1679">
        <f>'Revenues 9-14'!D268-'Expenditures 15-22'!K151</f>
        <v>541514</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69" t="s">
        <v>617</v>
      </c>
      <c r="B154" s="2271"/>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44310</v>
      </c>
      <c r="I169" s="1663"/>
      <c r="J169" s="1663"/>
      <c r="K169" s="1662">
        <f>SUM(C169:H169)</f>
        <v>44310</v>
      </c>
      <c r="L169" s="1685">
        <v>1265000</v>
      </c>
    </row>
    <row r="170" spans="1:14" ht="33.75" customHeight="1" x14ac:dyDescent="0.2">
      <c r="A170" s="543" t="s">
        <v>1648</v>
      </c>
      <c r="B170" s="545" t="s">
        <v>31</v>
      </c>
      <c r="C170" s="1663"/>
      <c r="D170" s="1663"/>
      <c r="E170" s="1663"/>
      <c r="F170" s="1663"/>
      <c r="G170" s="1663"/>
      <c r="H170" s="1636">
        <v>1655000</v>
      </c>
      <c r="I170" s="1663"/>
      <c r="J170" s="1663"/>
      <c r="K170" s="1662">
        <f>SUM(C170:J170)</f>
        <v>1655000</v>
      </c>
      <c r="L170" s="1636">
        <v>44310</v>
      </c>
    </row>
    <row r="171" spans="1:14" ht="15.75" customHeight="1" x14ac:dyDescent="0.2">
      <c r="A171" s="507" t="s">
        <v>760</v>
      </c>
      <c r="B171" s="546" t="s">
        <v>84</v>
      </c>
      <c r="C171" s="1663"/>
      <c r="D171" s="1663"/>
      <c r="E171" s="1565">
        <v>0</v>
      </c>
      <c r="F171" s="1663"/>
      <c r="G171" s="1663"/>
      <c r="H171" s="1636">
        <v>1750</v>
      </c>
      <c r="I171" s="1573"/>
      <c r="J171" s="1663"/>
      <c r="K171" s="1662">
        <f>SUM(C171:J171)</f>
        <v>1750</v>
      </c>
      <c r="L171" s="1636">
        <v>65690</v>
      </c>
    </row>
    <row r="172" spans="1:14" ht="12.75" customHeight="1" thickBot="1" x14ac:dyDescent="0.25">
      <c r="A172" s="1373" t="s">
        <v>633</v>
      </c>
      <c r="B172" s="1374" t="s">
        <v>489</v>
      </c>
      <c r="C172" s="1663"/>
      <c r="D172" s="1663"/>
      <c r="E172" s="1671">
        <f>SUM(E168,E169,E170,E171)</f>
        <v>0</v>
      </c>
      <c r="F172" s="1663"/>
      <c r="G172" s="1663"/>
      <c r="H172" s="1671">
        <f>SUM(H168,H169,H170,H171)</f>
        <v>1701060</v>
      </c>
      <c r="I172" s="1674"/>
      <c r="J172" s="1663"/>
      <c r="K172" s="1671">
        <f>SUM(K168,K169,K170,K171)</f>
        <v>1701060</v>
      </c>
      <c r="L172" s="1671">
        <f>SUM(L168,L169,L170,L171)</f>
        <v>1375000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1701060</v>
      </c>
      <c r="I174" s="1674"/>
      <c r="J174" s="1663"/>
      <c r="K174" s="1671">
        <f>SUM(K160,K172,K173)</f>
        <v>1701060</v>
      </c>
      <c r="L174" s="1671">
        <f>SUM(L160,L172,L173)</f>
        <v>1375000</v>
      </c>
    </row>
    <row r="175" spans="1:14" ht="13.5" thickTop="1" x14ac:dyDescent="0.2">
      <c r="A175" s="2291" t="s">
        <v>988</v>
      </c>
      <c r="B175" s="2292"/>
      <c r="C175" s="1663"/>
      <c r="D175" s="1663"/>
      <c r="E175" s="1663"/>
      <c r="F175" s="1663"/>
      <c r="G175" s="1663"/>
      <c r="H175" s="1665"/>
      <c r="I175" s="1663"/>
      <c r="J175" s="1663"/>
      <c r="K175" s="1679">
        <f>'Revenues 9-14'!E268-'Expenditures 15-22'!K174</f>
        <v>-547180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762331</v>
      </c>
      <c r="D182" s="1565">
        <v>237371</v>
      </c>
      <c r="E182" s="1565">
        <v>61046</v>
      </c>
      <c r="F182" s="1565">
        <v>168912</v>
      </c>
      <c r="G182" s="1565">
        <v>0</v>
      </c>
      <c r="H182" s="1565">
        <v>935</v>
      </c>
      <c r="I182" s="1566">
        <v>0</v>
      </c>
      <c r="J182" s="1566">
        <v>0</v>
      </c>
      <c r="K182" s="1662">
        <f>SUM(C182:J182)</f>
        <v>1230595</v>
      </c>
      <c r="L182" s="1565">
        <v>1981000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762331</v>
      </c>
      <c r="D184" s="1671">
        <f t="shared" ref="D184:J184" si="17">SUM(D180,D182,D183)</f>
        <v>237371</v>
      </c>
      <c r="E184" s="1671">
        <f t="shared" si="17"/>
        <v>61046</v>
      </c>
      <c r="F184" s="1671">
        <f t="shared" si="17"/>
        <v>168912</v>
      </c>
      <c r="G184" s="1671">
        <f t="shared" si="17"/>
        <v>0</v>
      </c>
      <c r="H184" s="1671">
        <f t="shared" si="17"/>
        <v>935</v>
      </c>
      <c r="I184" s="1671">
        <f t="shared" si="17"/>
        <v>0</v>
      </c>
      <c r="J184" s="1671">
        <f t="shared" si="17"/>
        <v>0</v>
      </c>
      <c r="K184" s="1671">
        <f>SUM(K180,K182,K183)</f>
        <v>1230595</v>
      </c>
      <c r="L184" s="1671">
        <f>SUM(L180, L182:L183)</f>
        <v>1981000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762331</v>
      </c>
      <c r="D210" s="1664">
        <f>SUM(D184,D185)</f>
        <v>237371</v>
      </c>
      <c r="E210" s="1664">
        <f>SUM(E184,E185,E196)</f>
        <v>61046</v>
      </c>
      <c r="F210" s="1664">
        <f>SUM(F184,F185)</f>
        <v>168912</v>
      </c>
      <c r="G210" s="1664">
        <f>SUM(G184,G185)</f>
        <v>0</v>
      </c>
      <c r="H210" s="1664">
        <f>SUM(H184,H185,H196,H208,H209)</f>
        <v>935</v>
      </c>
      <c r="I210" s="1664">
        <f>SUM(I184,I185)</f>
        <v>0</v>
      </c>
      <c r="J210" s="1664">
        <f>SUM(J184,J185)</f>
        <v>0</v>
      </c>
      <c r="K210" s="1662">
        <f>SUM(K184,K185,K196,K208,K209)</f>
        <v>1230595</v>
      </c>
      <c r="L210" s="1664">
        <f>SUM(L184,L185,L196,L208,L209)</f>
        <v>1981000</v>
      </c>
    </row>
    <row r="211" spans="1:14" ht="13.5" thickTop="1" x14ac:dyDescent="0.2">
      <c r="A211" s="2291" t="s">
        <v>988</v>
      </c>
      <c r="B211" s="2292"/>
      <c r="C211" s="1665"/>
      <c r="D211" s="1665"/>
      <c r="E211" s="1665"/>
      <c r="F211" s="1665"/>
      <c r="G211" s="1665"/>
      <c r="H211" s="1665"/>
      <c r="I211" s="1663"/>
      <c r="J211" s="1663"/>
      <c r="K211" s="1679">
        <f>'Revenues 9-14'!F268-'Expenditures 15-22'!K210</f>
        <v>835248</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6" t="s">
        <v>958</v>
      </c>
      <c r="B213" s="2287"/>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42902</v>
      </c>
      <c r="E215" s="1663"/>
      <c r="F215" s="1663"/>
      <c r="G215" s="1663"/>
      <c r="H215" s="1663"/>
      <c r="I215" s="1663"/>
      <c r="J215" s="1663"/>
      <c r="K215" s="1662">
        <f>D215</f>
        <v>42902</v>
      </c>
      <c r="L215" s="1565">
        <v>46000</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42438</v>
      </c>
      <c r="E217" s="1663"/>
      <c r="F217" s="1663"/>
      <c r="G217" s="1663"/>
      <c r="H217" s="1663"/>
      <c r="I217" s="1663"/>
      <c r="J217" s="1663"/>
      <c r="K217" s="1662">
        <f t="shared" si="19"/>
        <v>42438</v>
      </c>
      <c r="L217" s="1565">
        <v>40000</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23589</v>
      </c>
      <c r="E223" s="1663"/>
      <c r="F223" s="1663"/>
      <c r="G223" s="1663"/>
      <c r="H223" s="1663"/>
      <c r="I223" s="1663"/>
      <c r="J223" s="1663"/>
      <c r="K223" s="1662">
        <f t="shared" si="19"/>
        <v>23589</v>
      </c>
      <c r="L223" s="1565">
        <v>28500</v>
      </c>
    </row>
    <row r="224" spans="1:14" x14ac:dyDescent="0.2">
      <c r="A224" s="1267" t="s">
        <v>957</v>
      </c>
      <c r="B224" s="503">
        <v>1600</v>
      </c>
      <c r="C224" s="1663"/>
      <c r="D224" s="1565">
        <v>0</v>
      </c>
      <c r="E224" s="1663"/>
      <c r="F224" s="1663"/>
      <c r="G224" s="1663"/>
      <c r="H224" s="1663"/>
      <c r="I224" s="1663"/>
      <c r="J224" s="1663"/>
      <c r="K224" s="1662">
        <f t="shared" si="19"/>
        <v>0</v>
      </c>
      <c r="L224" s="1565">
        <v>0</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1285</v>
      </c>
      <c r="E226" s="1663"/>
      <c r="F226" s="1663"/>
      <c r="G226" s="1663"/>
      <c r="H226" s="1663"/>
      <c r="I226" s="1663"/>
      <c r="J226" s="1663"/>
      <c r="K226" s="1662">
        <f t="shared" si="19"/>
        <v>1285</v>
      </c>
      <c r="L226" s="1565">
        <v>1600</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110214</v>
      </c>
      <c r="E229" s="1663"/>
      <c r="F229" s="1663"/>
      <c r="G229" s="1663"/>
      <c r="H229" s="1663"/>
      <c r="I229" s="1663"/>
      <c r="J229" s="1663"/>
      <c r="K229" s="1664">
        <f>SUM(K215:K228)</f>
        <v>110214</v>
      </c>
      <c r="L229" s="1664">
        <f>SUM(L215:L228)</f>
        <v>116100</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1676</v>
      </c>
      <c r="E232" s="1663"/>
      <c r="F232" s="1663"/>
      <c r="G232" s="1663"/>
      <c r="H232" s="1663"/>
      <c r="I232" s="1663"/>
      <c r="J232" s="1663"/>
      <c r="K232" s="1662">
        <f t="shared" ref="K232:K237" si="20">D232</f>
        <v>1676</v>
      </c>
      <c r="L232" s="1565">
        <v>2750</v>
      </c>
    </row>
    <row r="233" spans="1:12" x14ac:dyDescent="0.2">
      <c r="A233" s="1267" t="s">
        <v>1080</v>
      </c>
      <c r="B233" s="503">
        <v>2120</v>
      </c>
      <c r="C233" s="1663"/>
      <c r="D233" s="1565">
        <v>9218</v>
      </c>
      <c r="E233" s="1663"/>
      <c r="F233" s="1663"/>
      <c r="G233" s="1663"/>
      <c r="H233" s="1663"/>
      <c r="I233" s="1663"/>
      <c r="J233" s="1663"/>
      <c r="K233" s="1662">
        <f t="shared" si="20"/>
        <v>9218</v>
      </c>
      <c r="L233" s="1565">
        <v>9500</v>
      </c>
    </row>
    <row r="234" spans="1:12" x14ac:dyDescent="0.2">
      <c r="A234" s="1267" t="s">
        <v>196</v>
      </c>
      <c r="B234" s="503">
        <v>2130</v>
      </c>
      <c r="C234" s="1663"/>
      <c r="D234" s="1565">
        <v>941</v>
      </c>
      <c r="E234" s="1663"/>
      <c r="F234" s="1663"/>
      <c r="G234" s="1663"/>
      <c r="H234" s="1663"/>
      <c r="I234" s="1663"/>
      <c r="J234" s="1663"/>
      <c r="K234" s="1662">
        <f t="shared" si="20"/>
        <v>941</v>
      </c>
      <c r="L234" s="1565">
        <v>11150</v>
      </c>
    </row>
    <row r="235" spans="1:12" x14ac:dyDescent="0.2">
      <c r="A235" s="1267" t="s">
        <v>197</v>
      </c>
      <c r="B235" s="503">
        <v>2140</v>
      </c>
      <c r="C235" s="1663"/>
      <c r="D235" s="1565">
        <v>1855</v>
      </c>
      <c r="E235" s="1663"/>
      <c r="F235" s="1663"/>
      <c r="G235" s="1663"/>
      <c r="H235" s="1663"/>
      <c r="I235" s="1663"/>
      <c r="J235" s="1663"/>
      <c r="K235" s="1662">
        <f t="shared" si="20"/>
        <v>1855</v>
      </c>
      <c r="L235" s="1565">
        <v>2000</v>
      </c>
    </row>
    <row r="236" spans="1:12" x14ac:dyDescent="0.2">
      <c r="A236" s="1267" t="s">
        <v>198</v>
      </c>
      <c r="B236" s="503">
        <v>2150</v>
      </c>
      <c r="C236" s="1663"/>
      <c r="D236" s="1565">
        <v>0</v>
      </c>
      <c r="E236" s="1663"/>
      <c r="F236" s="1663"/>
      <c r="G236" s="1663"/>
      <c r="H236" s="1663"/>
      <c r="I236" s="1663"/>
      <c r="J236" s="1663"/>
      <c r="K236" s="1662">
        <f t="shared" si="20"/>
        <v>0</v>
      </c>
      <c r="L236" s="1565">
        <v>0</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13690</v>
      </c>
      <c r="E238" s="1663"/>
      <c r="F238" s="1663"/>
      <c r="G238" s="1663"/>
      <c r="H238" s="1663"/>
      <c r="I238" s="1663"/>
      <c r="J238" s="1663"/>
      <c r="K238" s="1664">
        <f>SUM(K232:K237)</f>
        <v>13690</v>
      </c>
      <c r="L238" s="1664">
        <f>SUM(L232:L237)</f>
        <v>25400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5849</v>
      </c>
      <c r="E240" s="1663"/>
      <c r="F240" s="1663"/>
      <c r="G240" s="1663"/>
      <c r="H240" s="1663"/>
      <c r="I240" s="1663"/>
      <c r="J240" s="1663"/>
      <c r="K240" s="1668">
        <f>D240</f>
        <v>5849</v>
      </c>
      <c r="L240" s="1577">
        <v>3000</v>
      </c>
    </row>
    <row r="241" spans="1:12" x14ac:dyDescent="0.2">
      <c r="A241" s="1267" t="s">
        <v>809</v>
      </c>
      <c r="B241" s="503">
        <v>2220</v>
      </c>
      <c r="C241" s="1663"/>
      <c r="D241" s="1565">
        <v>6910</v>
      </c>
      <c r="E241" s="1663"/>
      <c r="F241" s="1663"/>
      <c r="G241" s="1663"/>
      <c r="H241" s="1663"/>
      <c r="I241" s="1663"/>
      <c r="J241" s="1663"/>
      <c r="K241" s="1668">
        <f>D241</f>
        <v>6910</v>
      </c>
      <c r="L241" s="1565">
        <v>7000</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12759</v>
      </c>
      <c r="E243" s="1663"/>
      <c r="F243" s="1663"/>
      <c r="G243" s="1663"/>
      <c r="H243" s="1663"/>
      <c r="I243" s="1663"/>
      <c r="J243" s="1663"/>
      <c r="K243" s="1664">
        <f>SUM(K240:K242)</f>
        <v>12759</v>
      </c>
      <c r="L243" s="1664">
        <f>SUM(L240:L242)</f>
        <v>10000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1</v>
      </c>
      <c r="E245" s="1663"/>
      <c r="F245" s="1663"/>
      <c r="G245" s="1663"/>
      <c r="H245" s="1663"/>
      <c r="I245" s="1663"/>
      <c r="J245" s="1663"/>
      <c r="K245" s="1668">
        <f>D245</f>
        <v>1</v>
      </c>
      <c r="L245" s="1577">
        <v>0</v>
      </c>
    </row>
    <row r="246" spans="1:12" x14ac:dyDescent="0.2">
      <c r="A246" s="1267" t="s">
        <v>812</v>
      </c>
      <c r="B246" s="503">
        <v>2320</v>
      </c>
      <c r="C246" s="1663"/>
      <c r="D246" s="1565">
        <v>0</v>
      </c>
      <c r="E246" s="1663"/>
      <c r="F246" s="1663"/>
      <c r="G246" s="1663"/>
      <c r="H246" s="1663"/>
      <c r="I246" s="1663"/>
      <c r="J246" s="1663"/>
      <c r="K246" s="1668">
        <f t="shared" ref="K246:K256" si="21">D246</f>
        <v>0</v>
      </c>
      <c r="L246" s="1565">
        <v>1250</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1</v>
      </c>
      <c r="E257" s="1663"/>
      <c r="F257" s="1663"/>
      <c r="G257" s="1663"/>
      <c r="H257" s="1663"/>
      <c r="I257" s="1663"/>
      <c r="J257" s="1663"/>
      <c r="K257" s="1664">
        <f>SUM(K245:K256)</f>
        <v>1</v>
      </c>
      <c r="L257" s="1664">
        <f>SUM(L245:L256)</f>
        <v>1250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17328</v>
      </c>
      <c r="E259" s="1663"/>
      <c r="F259" s="1663"/>
      <c r="G259" s="1663"/>
      <c r="H259" s="1663"/>
      <c r="I259" s="1663"/>
      <c r="J259" s="1663"/>
      <c r="K259" s="1668">
        <f>D259</f>
        <v>17328</v>
      </c>
      <c r="L259" s="1577">
        <v>17750</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17328</v>
      </c>
      <c r="E261" s="1663"/>
      <c r="F261" s="1663"/>
      <c r="G261" s="1663"/>
      <c r="H261" s="1663"/>
      <c r="I261" s="1663"/>
      <c r="J261" s="1663"/>
      <c r="K261" s="1664">
        <f>SUM(K259:K260)</f>
        <v>17328</v>
      </c>
      <c r="L261" s="1664">
        <f>SUM(L259:L260)</f>
        <v>17750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1642</v>
      </c>
      <c r="E263" s="1663"/>
      <c r="F263" s="1663"/>
      <c r="G263" s="1663"/>
      <c r="H263" s="1663"/>
      <c r="I263" s="1663"/>
      <c r="J263" s="1663"/>
      <c r="K263" s="1668">
        <f>D263</f>
        <v>1642</v>
      </c>
      <c r="L263" s="1577">
        <v>2000</v>
      </c>
    </row>
    <row r="264" spans="1:14" x14ac:dyDescent="0.2">
      <c r="A264" s="1267" t="s">
        <v>460</v>
      </c>
      <c r="B264" s="559">
        <v>2520</v>
      </c>
      <c r="C264" s="1663"/>
      <c r="D264" s="1565">
        <v>7149</v>
      </c>
      <c r="E264" s="1663"/>
      <c r="F264" s="1663"/>
      <c r="G264" s="1663"/>
      <c r="H264" s="1663"/>
      <c r="I264" s="1663"/>
      <c r="J264" s="1663"/>
      <c r="K264" s="1668">
        <f t="shared" ref="K264:K269" si="22">D264</f>
        <v>7149</v>
      </c>
      <c r="L264" s="1565">
        <v>7150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34886</v>
      </c>
      <c r="E266" s="1663"/>
      <c r="F266" s="1663"/>
      <c r="G266" s="1663"/>
      <c r="H266" s="1663"/>
      <c r="I266" s="1663"/>
      <c r="J266" s="1663"/>
      <c r="K266" s="1668">
        <f t="shared" si="22"/>
        <v>34886</v>
      </c>
      <c r="L266" s="1565">
        <v>37500</v>
      </c>
    </row>
    <row r="267" spans="1:14" x14ac:dyDescent="0.2">
      <c r="A267" s="1267" t="s">
        <v>946</v>
      </c>
      <c r="B267" s="503">
        <v>2550</v>
      </c>
      <c r="C267" s="1663"/>
      <c r="D267" s="1565">
        <v>131690</v>
      </c>
      <c r="E267" s="1663"/>
      <c r="F267" s="1663"/>
      <c r="G267" s="1663"/>
      <c r="H267" s="1663"/>
      <c r="I267" s="1663"/>
      <c r="J267" s="1663"/>
      <c r="K267" s="1668">
        <f t="shared" si="22"/>
        <v>131690</v>
      </c>
      <c r="L267" s="1565">
        <v>150000</v>
      </c>
    </row>
    <row r="268" spans="1:14" x14ac:dyDescent="0.2">
      <c r="A268" s="1267" t="s">
        <v>100</v>
      </c>
      <c r="B268" s="503">
        <v>2560</v>
      </c>
      <c r="C268" s="1663"/>
      <c r="D268" s="1565">
        <v>3362</v>
      </c>
      <c r="E268" s="1663"/>
      <c r="F268" s="1663"/>
      <c r="G268" s="1663"/>
      <c r="H268" s="1663"/>
      <c r="I268" s="1663"/>
      <c r="J268" s="1663"/>
      <c r="K268" s="1668">
        <f t="shared" si="22"/>
        <v>3362</v>
      </c>
      <c r="L268" s="1565">
        <v>3500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178729</v>
      </c>
      <c r="E270" s="1663"/>
      <c r="F270" s="1663"/>
      <c r="G270" s="1663"/>
      <c r="H270" s="1663"/>
      <c r="I270" s="1663"/>
      <c r="J270" s="1663"/>
      <c r="K270" s="1664">
        <f>SUM(K263:K269)</f>
        <v>178729</v>
      </c>
      <c r="L270" s="1664">
        <f>SUM(L263:L269)</f>
        <v>200150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25013</v>
      </c>
      <c r="E276" s="1663"/>
      <c r="F276" s="1663"/>
      <c r="G276" s="1663"/>
      <c r="H276" s="1663"/>
      <c r="I276" s="1663"/>
      <c r="J276" s="1663"/>
      <c r="K276" s="1668">
        <f>D276</f>
        <v>25013</v>
      </c>
      <c r="L276" s="1565">
        <v>25000</v>
      </c>
    </row>
    <row r="277" spans="1:12" ht="12.75" customHeight="1" thickBot="1" x14ac:dyDescent="0.25">
      <c r="A277" s="1386" t="s">
        <v>37</v>
      </c>
      <c r="B277" s="1374" t="s">
        <v>36</v>
      </c>
      <c r="C277" s="1663"/>
      <c r="D277" s="1664">
        <f>SUM(D272:D276)</f>
        <v>25013</v>
      </c>
      <c r="E277" s="1663"/>
      <c r="F277" s="1663"/>
      <c r="G277" s="1663"/>
      <c r="H277" s="1663"/>
      <c r="I277" s="1663"/>
      <c r="J277" s="1663"/>
      <c r="K277" s="1664">
        <f>SUM(K272:K276)</f>
        <v>25013</v>
      </c>
      <c r="L277" s="1664">
        <f>SUM(L272:L276)</f>
        <v>25000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247520</v>
      </c>
      <c r="E279" s="1663"/>
      <c r="F279" s="1663"/>
      <c r="G279" s="1663"/>
      <c r="H279" s="1663"/>
      <c r="I279" s="1663"/>
      <c r="J279" s="1663"/>
      <c r="K279" s="1671">
        <f>SUM(K238,K243,K257,K261,K270,K277,K278)</f>
        <v>247520</v>
      </c>
      <c r="L279" s="1671">
        <f>SUM(L238,L243,L257,L261,L270,L277,L278)</f>
        <v>279550</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2" t="s">
        <v>502</v>
      </c>
      <c r="B295" s="2283"/>
      <c r="C295" s="1663"/>
      <c r="D295" s="1664">
        <f>SUM(D229,D279,D280,D285)</f>
        <v>357734</v>
      </c>
      <c r="E295" s="1663"/>
      <c r="F295" s="1663"/>
      <c r="G295" s="1663"/>
      <c r="H295" s="1664">
        <f>H293</f>
        <v>0</v>
      </c>
      <c r="I295" s="1663"/>
      <c r="J295" s="1663"/>
      <c r="K295" s="1664">
        <f>SUM(K229,K279,K280,K285,K293,K294)</f>
        <v>357734</v>
      </c>
      <c r="L295" s="1664">
        <f>SUM(L229,L279,L280,L285,L293,L294)</f>
        <v>395650</v>
      </c>
    </row>
    <row r="296" spans="1:14" ht="13.5" thickTop="1" x14ac:dyDescent="0.2">
      <c r="A296" s="2291" t="s">
        <v>988</v>
      </c>
      <c r="B296" s="2292"/>
      <c r="C296" s="1663"/>
      <c r="D296" s="1665"/>
      <c r="E296" s="1663"/>
      <c r="F296" s="1663"/>
      <c r="G296" s="1663"/>
      <c r="H296" s="1697"/>
      <c r="I296" s="1663"/>
      <c r="J296" s="1663"/>
      <c r="K296" s="1679">
        <f>'Revenues 9-14'!G268-'Expenditures 15-22'!K295</f>
        <v>-2814</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4" t="s">
        <v>142</v>
      </c>
      <c r="B298" s="2268"/>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0</v>
      </c>
      <c r="H301" s="1565">
        <v>0</v>
      </c>
      <c r="I301" s="1566">
        <v>0</v>
      </c>
      <c r="J301" s="1566">
        <v>0</v>
      </c>
      <c r="K301" s="1662">
        <f>SUM(C301:J301)</f>
        <v>0</v>
      </c>
      <c r="L301" s="1566"/>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79" t="s">
        <v>275</v>
      </c>
      <c r="B312" s="2280"/>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539"/>
      <c r="N312" s="539"/>
    </row>
    <row r="313" spans="1:14" ht="13.5" thickTop="1" x14ac:dyDescent="0.2">
      <c r="A313" s="2275" t="s">
        <v>988</v>
      </c>
      <c r="B313" s="2276"/>
      <c r="C313" s="1667"/>
      <c r="D313" s="1667"/>
      <c r="E313" s="1667"/>
      <c r="F313" s="1667"/>
      <c r="G313" s="1667"/>
      <c r="H313" s="1667"/>
      <c r="I313" s="1667"/>
      <c r="J313" s="1667"/>
      <c r="K313" s="1686">
        <f>'Revenues 9-14'!H268-'Expenditures 15-22'!K312</f>
        <v>8024</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88" t="s">
        <v>148</v>
      </c>
      <c r="B315" s="2289"/>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0" t="s">
        <v>891</v>
      </c>
      <c r="B317" s="2289"/>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0</v>
      </c>
      <c r="F330" s="1664">
        <f t="shared" si="25"/>
        <v>0</v>
      </c>
      <c r="G330" s="1664">
        <f t="shared" si="25"/>
        <v>0</v>
      </c>
      <c r="H330" s="1664">
        <f t="shared" si="25"/>
        <v>0</v>
      </c>
      <c r="I330" s="1664">
        <f t="shared" si="25"/>
        <v>0</v>
      </c>
      <c r="J330" s="1664">
        <f t="shared" si="25"/>
        <v>0</v>
      </c>
      <c r="K330" s="1664">
        <f>SUM(K319:K329)</f>
        <v>0</v>
      </c>
      <c r="L330" s="1664">
        <f>SUM(L319:L329)</f>
        <v>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0</v>
      </c>
      <c r="F342" s="1664">
        <f>SUM(F330)</f>
        <v>0</v>
      </c>
      <c r="G342" s="1664">
        <f>SUM(G330)</f>
        <v>0</v>
      </c>
      <c r="H342" s="1664">
        <f>SUM(H330,H334,H340)</f>
        <v>0</v>
      </c>
      <c r="I342" s="1664">
        <f>SUM(I330)</f>
        <v>0</v>
      </c>
      <c r="J342" s="1664">
        <f>SUM(J330)</f>
        <v>0</v>
      </c>
      <c r="K342" s="1664">
        <f>SUM(K330,K334,K340)</f>
        <v>0</v>
      </c>
      <c r="L342" s="1671">
        <f>SUM(L330,L334,L340,L341)</f>
        <v>0</v>
      </c>
    </row>
    <row r="343" spans="1:14" ht="12.75" customHeight="1" thickTop="1" x14ac:dyDescent="0.2">
      <c r="A343" s="2277" t="s">
        <v>988</v>
      </c>
      <c r="B343" s="2278"/>
      <c r="C343" s="1663"/>
      <c r="D343" s="1663"/>
      <c r="E343" s="1663"/>
      <c r="F343" s="1663"/>
      <c r="G343" s="1663"/>
      <c r="H343" s="1663"/>
      <c r="I343" s="1663"/>
      <c r="J343" s="1663"/>
      <c r="K343" s="1679">
        <f>'Revenues 9-14'!J268-'Expenditures 15-22'!K342</f>
        <v>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67" t="s">
        <v>959</v>
      </c>
      <c r="B345" s="2268"/>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91" t="s">
        <v>988</v>
      </c>
      <c r="B368" s="2292"/>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office/2006/documentManagement/types"/>
    <ds:schemaRef ds:uri="d21dc803-237d-4c68-8692-8d731fd29118"/>
    <ds:schemaRef ds:uri="http://www.w3.org/XML/1998/namespace"/>
    <ds:schemaRef ds:uri="http://purl.org/dc/terms/"/>
    <ds:schemaRef ds:uri="4d435f69-8686-490b-bd6d-b153bf22ab50"/>
    <ds:schemaRef ds:uri="http://purl.org/dc/elements/1.1/"/>
    <ds:schemaRef ds:uri="http://purl.org/dc/dcmitype/"/>
    <ds:schemaRef ds:uri="http://schemas.microsoft.com/sharepoint/v3"/>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2020-08-04T17:27:40Z</cp:lastPrinted>
  <dcterms:created xsi:type="dcterms:W3CDTF">2003-10-29T19:06:34Z</dcterms:created>
  <dcterms:modified xsi:type="dcterms:W3CDTF">2020-12-16T02:40:17Z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