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BDC98CF-8C2B-4168-AF4D-05B55C1946D4}" xr6:coauthVersionLast="36" xr6:coauthVersionMax="36" xr10:uidLastSave="{00000000-0000-0000-0000-000000000000}"/>
  <bookViews>
    <workbookView xWindow="-120" yWindow="-120" windowWidth="29040" windowHeight="159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6" r:id="rId29"/>
    <sheet name=" SEFA (3)" sheetId="187"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2" i="187" l="1"/>
  <c r="I23" i="187" s="1"/>
  <c r="G22" i="187"/>
  <c r="G23" i="187" s="1"/>
  <c r="F22" i="187"/>
  <c r="F23" i="187" s="1"/>
  <c r="E22" i="187"/>
  <c r="E23" i="187" s="1"/>
  <c r="L21" i="187"/>
  <c r="L14" i="187"/>
  <c r="L11" i="187"/>
  <c r="I9" i="187"/>
  <c r="G9" i="187"/>
  <c r="F9" i="187"/>
  <c r="E9" i="187"/>
  <c r="J8" i="187"/>
  <c r="H8" i="187"/>
  <c r="I28" i="186"/>
  <c r="G28" i="186"/>
  <c r="F28" i="186"/>
  <c r="E28" i="186"/>
  <c r="I25" i="186"/>
  <c r="G25" i="186"/>
  <c r="F25" i="186"/>
  <c r="E25" i="186"/>
  <c r="L27" i="186"/>
  <c r="L26" i="186"/>
  <c r="L23" i="186"/>
  <c r="I19" i="186"/>
  <c r="I20" i="186" s="1"/>
  <c r="G19" i="186"/>
  <c r="G20" i="186" s="1"/>
  <c r="F19" i="186"/>
  <c r="F20" i="186" s="1"/>
  <c r="E19" i="186"/>
  <c r="E20" i="186" s="1"/>
  <c r="L18" i="186"/>
  <c r="L17" i="186"/>
  <c r="L15" i="186"/>
  <c r="L14" i="186"/>
  <c r="I9" i="186"/>
  <c r="G9" i="186"/>
  <c r="F9" i="186"/>
  <c r="E9" i="186"/>
  <c r="J8" i="186"/>
  <c r="H8" i="186"/>
  <c r="E22" i="179"/>
  <c r="F22" i="179"/>
  <c r="G22" i="179"/>
  <c r="I22" i="179"/>
  <c r="I19" i="179"/>
  <c r="I24" i="179" s="1"/>
  <c r="I25" i="179" s="1"/>
  <c r="G19" i="179"/>
  <c r="F19" i="179"/>
  <c r="E19" i="179"/>
  <c r="L28" i="186" l="1"/>
  <c r="I15" i="187"/>
  <c r="I25" i="187" s="1"/>
  <c r="F24" i="179"/>
  <c r="F25" i="179" s="1"/>
  <c r="L22" i="179"/>
  <c r="E15" i="187"/>
  <c r="G15" i="187"/>
  <c r="F15" i="187"/>
  <c r="L23" i="187"/>
  <c r="L20" i="187"/>
  <c r="G24" i="179"/>
  <c r="G25" i="179" s="1"/>
  <c r="E24" i="179"/>
  <c r="E25" i="179" s="1"/>
  <c r="L20" i="186"/>
  <c r="L19" i="186"/>
  <c r="L15" i="187" l="1"/>
  <c r="F25" i="187"/>
  <c r="E25" i="187"/>
  <c r="G25" i="187"/>
  <c r="L25" i="187" s="1"/>
  <c r="J7" i="184"/>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25" i="186" l="1"/>
  <c r="L24" i="186"/>
  <c r="L19" i="184"/>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5" i="179" l="1"/>
  <c r="L24" i="179"/>
  <c r="L23" i="179"/>
  <c r="L21" i="179"/>
  <c r="L20" i="179"/>
  <c r="L19" i="179"/>
  <c r="L18" i="179"/>
  <c r="L17" i="179"/>
  <c r="L16" i="179"/>
  <c r="L14" i="179"/>
  <c r="A10" i="169" l="1"/>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86"/>
  <c r="B1" i="187"/>
  <c r="B1"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4" i="36"/>
  <c r="D35"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D7" i="118"/>
  <c r="D8" i="118"/>
  <c r="D9" i="118"/>
  <c r="H33" i="118"/>
  <c r="D22" i="37"/>
  <c r="L22" i="37"/>
  <c r="D24" i="37" l="1"/>
  <c r="B4270" i="106" s="1"/>
  <c r="D4270" i="106" s="1"/>
  <c r="H28" i="118"/>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K28" i="118" l="1"/>
  <c r="O27" i="118" s="1"/>
  <c r="O29" i="118" s="1"/>
  <c r="B273" i="106"/>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6249" i="106" l="1"/>
  <c r="D6249" i="106" s="1"/>
  <c r="B7814" i="106"/>
  <c r="D7814" i="106" s="1"/>
  <c r="H13" i="3"/>
  <c r="B203" i="106" s="1"/>
  <c r="D203" i="106" s="1"/>
  <c r="B3519" i="106"/>
  <c r="D3519" i="106" s="1"/>
  <c r="B5590" i="106"/>
  <c r="D5590" i="106" s="1"/>
  <c r="B6404" i="106"/>
  <c r="D6404" i="106" s="1"/>
  <c r="B5248" i="106"/>
  <c r="D5248" i="106" s="1"/>
  <c r="B6355" i="106"/>
  <c r="D6355" i="106" s="1"/>
  <c r="B1025" i="106"/>
  <c r="D1025" i="106" s="1"/>
  <c r="H57" i="29"/>
  <c r="B1027" i="106" s="1"/>
  <c r="D1027" i="106" s="1"/>
  <c r="B4344" i="106"/>
  <c r="D4344" i="106" s="1"/>
  <c r="B6730" i="106"/>
  <c r="D6730" i="106" s="1"/>
  <c r="B4885" i="106"/>
  <c r="D4885" i="106" s="1"/>
  <c r="B6690" i="106"/>
  <c r="D6690" i="106" s="1"/>
  <c r="F143" i="34"/>
  <c r="B5458" i="106"/>
  <c r="D5458" i="106" s="1"/>
  <c r="F31" i="34"/>
  <c r="B7824" i="106" s="1"/>
  <c r="D217" i="5"/>
  <c r="B5470" i="106" s="1"/>
  <c r="D5470" i="106" s="1"/>
  <c r="B7751" i="106"/>
  <c r="D7751" i="106" s="1"/>
  <c r="F44" i="4"/>
  <c r="F77" i="4" s="1"/>
  <c r="B3255" i="106" s="1"/>
  <c r="D3255" i="106" s="1"/>
  <c r="D181" i="5"/>
  <c r="B5425" i="106" s="1"/>
  <c r="D5425" i="106" s="1"/>
  <c r="B5424" i="106"/>
  <c r="D5424" i="106" s="1"/>
  <c r="B6322" i="106"/>
  <c r="D6322" i="106" s="1"/>
  <c r="B7681" i="106"/>
  <c r="D7681" i="106" s="1"/>
  <c r="B6946" i="106"/>
  <c r="D6946" i="106" s="1"/>
  <c r="K70" i="29"/>
  <c r="B749" i="106"/>
  <c r="D749" i="106" s="1"/>
  <c r="B6721" i="106"/>
  <c r="D6721" i="106" s="1"/>
  <c r="B5765" i="106"/>
  <c r="D5765" i="106" s="1"/>
  <c r="B7024" i="106"/>
  <c r="D7024" i="106" s="1"/>
  <c r="I127" i="29"/>
  <c r="B7033" i="106" s="1"/>
  <c r="D7033" i="106" s="1"/>
  <c r="K247" i="29"/>
  <c r="B2726" i="106" s="1"/>
  <c r="D2726" i="106" s="1"/>
  <c r="B2725" i="106"/>
  <c r="D2725" i="106" s="1"/>
  <c r="B6224" i="106"/>
  <c r="D6224" i="106" s="1"/>
  <c r="J18" i="4"/>
  <c r="B6228" i="106" s="1"/>
  <c r="D6228" i="106" s="1"/>
  <c r="B7169" i="106"/>
  <c r="D7169" i="106" s="1"/>
  <c r="B5586" i="106"/>
  <c r="D5586" i="106" s="1"/>
  <c r="K82" i="29"/>
  <c r="B2977" i="106" s="1"/>
  <c r="D2977" i="106" s="1"/>
  <c r="B2953" i="106"/>
  <c r="D2953" i="106" s="1"/>
  <c r="F53" i="29"/>
  <c r="B908" i="106" s="1"/>
  <c r="D908" i="106" s="1"/>
  <c r="B906" i="106"/>
  <c r="D906" i="106" s="1"/>
  <c r="F113" i="34"/>
  <c r="B5181" i="106"/>
  <c r="D5181" i="106" s="1"/>
  <c r="B6236" i="106"/>
  <c r="D6236" i="106" s="1"/>
  <c r="B4379" i="106"/>
  <c r="D4379" i="106" s="1"/>
  <c r="K67" i="5"/>
  <c r="B5995" i="106" s="1"/>
  <c r="D5995" i="106" s="1"/>
  <c r="B5993" i="106"/>
  <c r="D5993" i="106" s="1"/>
  <c r="B7707" i="106"/>
  <c r="D7707" i="106" s="1"/>
  <c r="B6335" i="106"/>
  <c r="D6335" i="106" s="1"/>
  <c r="B3485" i="106"/>
  <c r="D3485" i="106" s="1"/>
  <c r="B6789" i="106"/>
  <c r="D6789" i="106" s="1"/>
  <c r="B2997" i="106"/>
  <c r="D2997" i="106" s="1"/>
  <c r="B7765" i="106"/>
  <c r="D7765" i="106" s="1"/>
  <c r="F160" i="34"/>
  <c r="B7867" i="106" s="1"/>
  <c r="D7867" i="106" s="1"/>
  <c r="B5673" i="106"/>
  <c r="D5673" i="106" s="1"/>
  <c r="F209" i="5"/>
  <c r="B4413" i="106" s="1"/>
  <c r="D4413" i="106" s="1"/>
  <c r="D57" i="29"/>
  <c r="B795" i="106" s="1"/>
  <c r="D795" i="106" s="1"/>
  <c r="B793" i="106"/>
  <c r="D793" i="106" s="1"/>
  <c r="H350" i="29"/>
  <c r="B3652" i="106"/>
  <c r="D3652" i="106" s="1"/>
  <c r="B5558" i="106"/>
  <c r="D5558" i="106" s="1"/>
  <c r="F18" i="5"/>
  <c r="B5562" i="106" s="1"/>
  <c r="D5562" i="106" s="1"/>
  <c r="B6403" i="106"/>
  <c r="D6403" i="106" s="1"/>
  <c r="B65" i="106"/>
  <c r="D65" i="106" s="1"/>
  <c r="C13" i="3"/>
  <c r="B77" i="106" s="1"/>
  <c r="D77" i="106" s="1"/>
  <c r="K237" i="29"/>
  <c r="B1480" i="106" s="1"/>
  <c r="D1480" i="106" s="1"/>
  <c r="B1416" i="106"/>
  <c r="D1416" i="106" s="1"/>
  <c r="F135" i="34"/>
  <c r="B6626" i="106"/>
  <c r="D6626" i="106" s="1"/>
  <c r="B7045" i="106"/>
  <c r="D7045" i="106" s="1"/>
  <c r="K122" i="29"/>
  <c r="B1219" i="106"/>
  <c r="D1219" i="106" s="1"/>
  <c r="C127" i="29"/>
  <c r="B1223" i="106" s="1"/>
  <c r="D1223" i="106" s="1"/>
  <c r="B6300" i="106"/>
  <c r="D6300" i="106" s="1"/>
  <c r="B914" i="106"/>
  <c r="D914" i="106" s="1"/>
  <c r="B5091" i="106"/>
  <c r="D5091" i="106" s="1"/>
  <c r="B5885" i="106"/>
  <c r="D5885" i="106" s="1"/>
  <c r="B5336" i="106"/>
  <c r="D5336" i="106" s="1"/>
  <c r="B1307" i="106"/>
  <c r="D1307" i="106" s="1"/>
  <c r="K171" i="29"/>
  <c r="B1330" i="106" s="1"/>
  <c r="D1330" i="106" s="1"/>
  <c r="E172" i="29"/>
  <c r="B6185" i="106"/>
  <c r="D6185" i="106" s="1"/>
  <c r="B6801" i="106"/>
  <c r="D6801" i="106" s="1"/>
  <c r="F154" i="34"/>
  <c r="B7666" i="106"/>
  <c r="D7666" i="106" s="1"/>
  <c r="B6734" i="106"/>
  <c r="D6734" i="106" s="1"/>
  <c r="D277" i="29"/>
  <c r="B1444" i="106" s="1"/>
  <c r="D1444" i="106" s="1"/>
  <c r="B1437" i="106"/>
  <c r="D1437" i="106" s="1"/>
  <c r="K272" i="29"/>
  <c r="B3417" i="106"/>
  <c r="D3417" i="106" s="1"/>
  <c r="D36" i="36"/>
  <c r="E13" i="3"/>
  <c r="B131" i="106" s="1"/>
  <c r="D131" i="106" s="1"/>
  <c r="B6332" i="106"/>
  <c r="D6332" i="106" s="1"/>
  <c r="B965" i="106"/>
  <c r="D965" i="106" s="1"/>
  <c r="B7885" i="106"/>
  <c r="D7885" i="106" s="1"/>
  <c r="B4227" i="106"/>
  <c r="D4227" i="106" s="1"/>
  <c r="B5341" i="106"/>
  <c r="D5341" i="106" s="1"/>
  <c r="B6341" i="106"/>
  <c r="D6341" i="106" s="1"/>
  <c r="B5333" i="106"/>
  <c r="D5333" i="106" s="1"/>
  <c r="B6405" i="106"/>
  <c r="D6405" i="106" s="1"/>
  <c r="B2959" i="106"/>
  <c r="D2959" i="106" s="1"/>
  <c r="B6305" i="106"/>
  <c r="D6305" i="106" s="1"/>
  <c r="B6709" i="106"/>
  <c r="D6709" i="106" s="1"/>
  <c r="E53" i="29"/>
  <c r="B850" i="106" s="1"/>
  <c r="D850" i="106" s="1"/>
  <c r="B848" i="106"/>
  <c r="D848" i="106" s="1"/>
  <c r="B7210" i="106"/>
  <c r="D7210" i="106" s="1"/>
  <c r="K338" i="29"/>
  <c r="B7211" i="106" s="1"/>
  <c r="D7211" i="106" s="1"/>
  <c r="K363" i="29"/>
  <c r="B7241" i="106" s="1"/>
  <c r="D7241" i="106" s="1"/>
  <c r="B7240" i="106"/>
  <c r="D7240" i="106" s="1"/>
  <c r="B618" i="106"/>
  <c r="D618" i="106" s="1"/>
  <c r="B6952" i="106"/>
  <c r="D6952" i="106" s="1"/>
  <c r="B6933" i="106"/>
  <c r="D6933" i="106" s="1"/>
  <c r="B6151" i="106"/>
  <c r="D6151" i="106" s="1"/>
  <c r="B6087" i="106"/>
  <c r="D6087" i="106" s="1"/>
  <c r="B5565" i="106"/>
  <c r="D5565" i="106" s="1"/>
  <c r="F86" i="34"/>
  <c r="B6865" i="106"/>
  <c r="D6865" i="106" s="1"/>
  <c r="B7265" i="106"/>
  <c r="B5350" i="106"/>
  <c r="D5350" i="106" s="1"/>
  <c r="B1372" i="106"/>
  <c r="D1372" i="106" s="1"/>
  <c r="K200" i="29"/>
  <c r="B1384" i="106" s="1"/>
  <c r="D1384" i="106" s="1"/>
  <c r="B3562" i="106"/>
  <c r="D3562" i="106" s="1"/>
  <c r="K30" i="29"/>
  <c r="B6896" i="106"/>
  <c r="D6896" i="106" s="1"/>
  <c r="B1261" i="106"/>
  <c r="D1261" i="106" s="1"/>
  <c r="B3275" i="106"/>
  <c r="D3275" i="106" s="1"/>
  <c r="B6391" i="106"/>
  <c r="D6391" i="106" s="1"/>
  <c r="B899" i="106"/>
  <c r="D899" i="106" s="1"/>
  <c r="B6823" i="106"/>
  <c r="D6823" i="106" s="1"/>
  <c r="B4949" i="106"/>
  <c r="D4949" i="106" s="1"/>
  <c r="B6747" i="106"/>
  <c r="D6747" i="106" s="1"/>
  <c r="B6096" i="106"/>
  <c r="D6096" i="106" s="1"/>
  <c r="B828" i="106"/>
  <c r="D828" i="106" s="1"/>
  <c r="L147" i="29"/>
  <c r="L149" i="29"/>
  <c r="B5559" i="106"/>
  <c r="D5559" i="106" s="1"/>
  <c r="B6100" i="106"/>
  <c r="D6100" i="106" s="1"/>
  <c r="B7165" i="106"/>
  <c r="D7165" i="106" s="1"/>
  <c r="B6644" i="106"/>
  <c r="D6644" i="106" s="1"/>
  <c r="B4447" i="106"/>
  <c r="D4447" i="106" s="1"/>
  <c r="B4318" i="106"/>
  <c r="D4318" i="106" s="1"/>
  <c r="B7748" i="106"/>
  <c r="D7748" i="106" s="1"/>
  <c r="I47" i="4"/>
  <c r="C44" i="4"/>
  <c r="B3229" i="106" s="1"/>
  <c r="D3229" i="106" s="1"/>
  <c r="B4448" i="106"/>
  <c r="D4448" i="106" s="1"/>
  <c r="D122" i="5"/>
  <c r="B5367" i="106" s="1"/>
  <c r="D5367" i="106" s="1"/>
  <c r="B5361" i="106"/>
  <c r="D5361" i="106" s="1"/>
  <c r="B2955" i="106"/>
  <c r="D2955" i="106" s="1"/>
  <c r="H84" i="29"/>
  <c r="B6169" i="106"/>
  <c r="D6169" i="106" s="1"/>
  <c r="B7699" i="106"/>
  <c r="D7699" i="106" s="1"/>
  <c r="B6756" i="106"/>
  <c r="D6756" i="106" s="1"/>
  <c r="B5280" i="106"/>
  <c r="D5280" i="106" s="1"/>
  <c r="F131" i="34"/>
  <c r="B7863" i="106" s="1"/>
  <c r="D7863" i="106" s="1"/>
  <c r="B7156" i="106"/>
  <c r="D7156" i="106" s="1"/>
  <c r="B973" i="106"/>
  <c r="D973" i="106" s="1"/>
  <c r="K14" i="29"/>
  <c r="B1106" i="106" s="1"/>
  <c r="D1106" i="106" s="1"/>
  <c r="B718" i="106"/>
  <c r="D718" i="106" s="1"/>
  <c r="B7674" i="106"/>
  <c r="D7674" i="106" s="1"/>
  <c r="B7655" i="106"/>
  <c r="D7655" i="106" s="1"/>
  <c r="B916" i="106"/>
  <c r="D916" i="106" s="1"/>
  <c r="B6803" i="106"/>
  <c r="D6803" i="106" s="1"/>
  <c r="B652" i="106"/>
  <c r="D652" i="106" s="1"/>
  <c r="B7182" i="106"/>
  <c r="D7182" i="106" s="1"/>
  <c r="B739" i="106"/>
  <c r="D739" i="106" s="1"/>
  <c r="K60" i="29"/>
  <c r="B787" i="106"/>
  <c r="D787" i="106" s="1"/>
  <c r="B5164" i="106"/>
  <c r="D5164" i="106" s="1"/>
  <c r="B968" i="106"/>
  <c r="D968" i="106" s="1"/>
  <c r="B1026" i="106"/>
  <c r="D1026" i="106" s="1"/>
  <c r="F29" i="34"/>
  <c r="B7881" i="106" s="1"/>
  <c r="D7881" i="106" s="1"/>
  <c r="B5387" i="106"/>
  <c r="D5387" i="106" s="1"/>
  <c r="K290" i="29"/>
  <c r="B2845" i="106" s="1"/>
  <c r="D2845" i="106" s="1"/>
  <c r="B2843" i="106"/>
  <c r="D2843" i="106" s="1"/>
  <c r="B7802" i="106"/>
  <c r="D7802" i="106" s="1"/>
  <c r="B777" i="106"/>
  <c r="D777" i="106" s="1"/>
  <c r="B6304" i="106"/>
  <c r="D6304" i="106" s="1"/>
  <c r="B6183" i="106"/>
  <c r="D6183" i="106" s="1"/>
  <c r="B6850" i="106"/>
  <c r="D6850" i="106" s="1"/>
  <c r="B7183" i="106"/>
  <c r="D7183" i="106" s="1"/>
  <c r="B7254" i="106"/>
  <c r="D7254" i="106" s="1"/>
  <c r="B6307" i="106"/>
  <c r="D6307" i="106" s="1"/>
  <c r="B7662" i="106"/>
  <c r="D7662" i="106" s="1"/>
  <c r="F12" i="5"/>
  <c r="B5557" i="106" s="1"/>
  <c r="D5557" i="106" s="1"/>
  <c r="B7" i="7"/>
  <c r="B5553" i="106"/>
  <c r="D5553" i="106" s="1"/>
  <c r="B1425" i="106"/>
  <c r="D1425" i="106" s="1"/>
  <c r="D261" i="29"/>
  <c r="B1427" i="106" s="1"/>
  <c r="D1427" i="106" s="1"/>
  <c r="K259" i="29"/>
  <c r="B4919" i="106"/>
  <c r="D4919" i="106" s="1"/>
  <c r="B7060" i="106"/>
  <c r="D7060" i="106" s="1"/>
  <c r="K183" i="29"/>
  <c r="B1380" i="106" s="1"/>
  <c r="D1380" i="106" s="1"/>
  <c r="B1338" i="106"/>
  <c r="D1338" i="106" s="1"/>
  <c r="B6819" i="106"/>
  <c r="D6819" i="106" s="1"/>
  <c r="B6337" i="106"/>
  <c r="D6337" i="106" s="1"/>
  <c r="B6389" i="106"/>
  <c r="D6389" i="106" s="1"/>
  <c r="B7658" i="106"/>
  <c r="D7658" i="106" s="1"/>
  <c r="B6142" i="106"/>
  <c r="D6142" i="106" s="1"/>
  <c r="B6149" i="106"/>
  <c r="D6149" i="106" s="1"/>
  <c r="B76" i="106"/>
  <c r="D76" i="106" s="1"/>
  <c r="B6665" i="106"/>
  <c r="D6665" i="106" s="1"/>
  <c r="B832" i="106"/>
  <c r="D832" i="106" s="1"/>
  <c r="B7176" i="106"/>
  <c r="D7176" i="106" s="1"/>
  <c r="B6753" i="106"/>
  <c r="D6753" i="106" s="1"/>
  <c r="F148" i="34"/>
  <c r="B4217" i="106"/>
  <c r="D4217" i="106" s="1"/>
  <c r="B6179" i="106"/>
  <c r="D6179" i="106" s="1"/>
  <c r="B857" i="106"/>
  <c r="D857" i="106" s="1"/>
  <c r="J12" i="5"/>
  <c r="B11" i="7"/>
  <c r="B6298" i="106"/>
  <c r="D6298" i="106" s="1"/>
  <c r="B5823" i="106"/>
  <c r="D5823" i="106" s="1"/>
  <c r="B5432" i="106"/>
  <c r="D5432" i="106" s="1"/>
  <c r="B4920" i="106"/>
  <c r="D4920" i="106" s="1"/>
  <c r="B5116" i="106"/>
  <c r="D5116" i="106" s="1"/>
  <c r="B166" i="106"/>
  <c r="D166" i="106" s="1"/>
  <c r="I34" i="3"/>
  <c r="B2910" i="106" s="1"/>
  <c r="D2910" i="106" s="1"/>
  <c r="B6139" i="106"/>
  <c r="D6139" i="106" s="1"/>
  <c r="B1347" i="106"/>
  <c r="D1347" i="106" s="1"/>
  <c r="B6343" i="106"/>
  <c r="D6343" i="106" s="1"/>
  <c r="B5512" i="106"/>
  <c r="D5512" i="106" s="1"/>
  <c r="K37" i="29"/>
  <c r="B1110" i="106" s="1"/>
  <c r="D1110" i="106" s="1"/>
  <c r="B722" i="106"/>
  <c r="D722" i="106" s="1"/>
  <c r="B5556" i="106"/>
  <c r="D5556" i="106" s="1"/>
  <c r="B6766" i="106"/>
  <c r="D6766" i="106" s="1"/>
  <c r="B6738" i="106"/>
  <c r="D6738" i="106" s="1"/>
  <c r="B6000" i="106"/>
  <c r="D6000" i="106" s="1"/>
  <c r="K122" i="5"/>
  <c r="B2995" i="106"/>
  <c r="D2995" i="106" s="1"/>
  <c r="H194" i="29"/>
  <c r="B6777" i="106"/>
  <c r="D6777" i="106" s="1"/>
  <c r="F151" i="34"/>
  <c r="K220" i="29"/>
  <c r="B7077" i="106"/>
  <c r="D7077" i="106" s="1"/>
  <c r="B7811" i="106"/>
  <c r="D7811" i="106" s="1"/>
  <c r="K228" i="29"/>
  <c r="B3392" i="106" s="1"/>
  <c r="D3392" i="106" s="1"/>
  <c r="B3389" i="106"/>
  <c r="D3389" i="106" s="1"/>
  <c r="C18" i="4"/>
  <c r="B4131" i="106" s="1"/>
  <c r="D4131" i="106" s="1"/>
  <c r="B4113" i="106"/>
  <c r="D4113" i="106" s="1"/>
  <c r="D78" i="36"/>
  <c r="B1426" i="106"/>
  <c r="D1426" i="106" s="1"/>
  <c r="K260" i="29"/>
  <c r="B1490" i="106" s="1"/>
  <c r="D1490" i="106" s="1"/>
  <c r="B2806" i="106"/>
  <c r="D2806" i="106" s="1"/>
  <c r="B6374" i="106"/>
  <c r="D6374" i="106" s="1"/>
  <c r="K169" i="5"/>
  <c r="B5000" i="106" s="1"/>
  <c r="D5000" i="106" s="1"/>
  <c r="B6827" i="106"/>
  <c r="D6827" i="106" s="1"/>
  <c r="K52" i="4"/>
  <c r="B3698" i="106"/>
  <c r="D3698" i="106" s="1"/>
  <c r="B4078" i="106"/>
  <c r="D4078" i="106" s="1"/>
  <c r="K301" i="29"/>
  <c r="B1519" i="106"/>
  <c r="D1519" i="106" s="1"/>
  <c r="C303" i="29"/>
  <c r="B6855" i="106"/>
  <c r="D6855" i="106" s="1"/>
  <c r="B4816" i="106"/>
  <c r="D4816" i="106" s="1"/>
  <c r="K181" i="5"/>
  <c r="B6016" i="106" s="1"/>
  <c r="D6016" i="106" s="1"/>
  <c r="B5791" i="106"/>
  <c r="D5791" i="106" s="1"/>
  <c r="F27" i="34"/>
  <c r="B5578" i="106"/>
  <c r="D5578" i="106" s="1"/>
  <c r="B4353" i="106"/>
  <c r="D4353" i="106" s="1"/>
  <c r="B5095" i="106"/>
  <c r="D5095" i="106" s="1"/>
  <c r="B5583" i="106"/>
  <c r="D5583" i="106" s="1"/>
  <c r="F108" i="5"/>
  <c r="B5587" i="106" s="1"/>
  <c r="D5587" i="106" s="1"/>
  <c r="B4802" i="106"/>
  <c r="D4802" i="106" s="1"/>
  <c r="B5105" i="106"/>
  <c r="D5105" i="106" s="1"/>
  <c r="D209" i="5"/>
  <c r="B4412" i="106" s="1"/>
  <c r="D4412" i="106" s="1"/>
  <c r="B5440" i="106"/>
  <c r="D5440" i="106" s="1"/>
  <c r="B6829" i="106"/>
  <c r="D6829" i="106" s="1"/>
  <c r="B7154" i="106"/>
  <c r="D7154" i="106" s="1"/>
  <c r="K323" i="29"/>
  <c r="B6935" i="106"/>
  <c r="D6935" i="106" s="1"/>
  <c r="B3368" i="106"/>
  <c r="D3368" i="106" s="1"/>
  <c r="B4359" i="106"/>
  <c r="D4359" i="106" s="1"/>
  <c r="B4081" i="106"/>
  <c r="D4081" i="106" s="1"/>
  <c r="C184" i="29"/>
  <c r="K180" i="29"/>
  <c r="B1007" i="106"/>
  <c r="D1007" i="106" s="1"/>
  <c r="B6911" i="106"/>
  <c r="D6911" i="106" s="1"/>
  <c r="B6314" i="106"/>
  <c r="D6314" i="106" s="1"/>
  <c r="F91" i="34"/>
  <c r="B5567" i="106"/>
  <c r="D5567" i="106" s="1"/>
  <c r="F19" i="34"/>
  <c r="K241" i="29"/>
  <c r="B1483" i="106" s="1"/>
  <c r="D1483" i="106" s="1"/>
  <c r="B1419" i="106"/>
  <c r="D1419" i="106" s="1"/>
  <c r="B6922" i="106"/>
  <c r="D6922" i="106" s="1"/>
  <c r="B4342" i="106"/>
  <c r="D4342" i="106" s="1"/>
  <c r="B12" i="7"/>
  <c r="K12" i="5"/>
  <c r="B5985" i="106"/>
  <c r="D5985" i="106" s="1"/>
  <c r="B6131" i="106"/>
  <c r="D6131" i="106" s="1"/>
  <c r="J34" i="3"/>
  <c r="B6191" i="106" s="1"/>
  <c r="D6191" i="106" s="1"/>
  <c r="B6162" i="106"/>
  <c r="D6162" i="106" s="1"/>
  <c r="B323" i="106"/>
  <c r="D323" i="106" s="1"/>
  <c r="D68" i="36"/>
  <c r="B6176" i="106"/>
  <c r="D6176" i="106" s="1"/>
  <c r="B6628" i="106"/>
  <c r="D6628" i="106" s="1"/>
  <c r="B6719" i="106"/>
  <c r="D6719" i="106" s="1"/>
  <c r="F65" i="29"/>
  <c r="B919" i="106" s="1"/>
  <c r="D919" i="106" s="1"/>
  <c r="B912" i="106"/>
  <c r="D912" i="106" s="1"/>
  <c r="B5922" i="106"/>
  <c r="D5922" i="106" s="1"/>
  <c r="B6159" i="106"/>
  <c r="D6159" i="106" s="1"/>
  <c r="B6247" i="106"/>
  <c r="D6247" i="106" s="1"/>
  <c r="B5525" i="106"/>
  <c r="D5525" i="106" s="1"/>
  <c r="B6892" i="106"/>
  <c r="D6892" i="106" s="1"/>
  <c r="K28" i="29"/>
  <c r="B7669" i="106"/>
  <c r="D7669" i="106" s="1"/>
  <c r="B910" i="106"/>
  <c r="D910" i="106" s="1"/>
  <c r="B6113" i="106"/>
  <c r="D6113" i="106" s="1"/>
  <c r="C65" i="29"/>
  <c r="B745" i="106" s="1"/>
  <c r="D745" i="106" s="1"/>
  <c r="B738" i="106"/>
  <c r="D738" i="106" s="1"/>
  <c r="K59" i="29"/>
  <c r="B7766" i="106"/>
  <c r="D7766" i="106" s="1"/>
  <c r="B3579" i="106"/>
  <c r="D3579" i="106" s="1"/>
  <c r="B6105" i="106"/>
  <c r="D6105" i="106" s="1"/>
  <c r="B501" i="106"/>
  <c r="D501" i="106" s="1"/>
  <c r="B4337" i="106"/>
  <c r="D4337" i="106" s="1"/>
  <c r="F330" i="29"/>
  <c r="B7202" i="106" s="1"/>
  <c r="D7202" i="106" s="1"/>
  <c r="B7121" i="106"/>
  <c r="D7121" i="106" s="1"/>
  <c r="B1236" i="106"/>
  <c r="D1236" i="106" s="1"/>
  <c r="B2979" i="106"/>
  <c r="D2979" i="106" s="1"/>
  <c r="B4360" i="106"/>
  <c r="D4360" i="106" s="1"/>
  <c r="B5317" i="106"/>
  <c r="D5317" i="106" s="1"/>
  <c r="F164" i="34"/>
  <c r="B7871" i="106" s="1"/>
  <c r="D7871" i="106" s="1"/>
  <c r="B4114" i="106"/>
  <c r="D4114" i="106" s="1"/>
  <c r="D18" i="4"/>
  <c r="B4132" i="106" s="1"/>
  <c r="D4132" i="106" s="1"/>
  <c r="B5152" i="106"/>
  <c r="D5152" i="106" s="1"/>
  <c r="B5167" i="106"/>
  <c r="D5167" i="106" s="1"/>
  <c r="F109" i="34"/>
  <c r="B5585" i="106"/>
  <c r="D5585" i="106" s="1"/>
  <c r="E175" i="5"/>
  <c r="B4372" i="106" s="1"/>
  <c r="D4372" i="106" s="1"/>
  <c r="B4364" i="106"/>
  <c r="D4364" i="106" s="1"/>
  <c r="B4864" i="106"/>
  <c r="D4864" i="106" s="1"/>
  <c r="B4338" i="106"/>
  <c r="D4338" i="106" s="1"/>
  <c r="B7079" i="106"/>
  <c r="D7079" i="106" s="1"/>
  <c r="K226" i="29"/>
  <c r="B7080" i="106" s="1"/>
  <c r="D7080" i="106" s="1"/>
  <c r="B6394" i="106"/>
  <c r="D6394" i="106" s="1"/>
  <c r="B5099" i="106"/>
  <c r="D5099" i="106" s="1"/>
  <c r="B7141" i="106"/>
  <c r="D7141" i="106" s="1"/>
  <c r="B834" i="106"/>
  <c r="D834" i="106" s="1"/>
  <c r="B6302" i="106"/>
  <c r="D6302" i="106" s="1"/>
  <c r="J18" i="5"/>
  <c r="B6306" i="106" s="1"/>
  <c r="D6306" i="106" s="1"/>
  <c r="B6099" i="106"/>
  <c r="D6099" i="106" s="1"/>
  <c r="B1543" i="106"/>
  <c r="D1543" i="106" s="1"/>
  <c r="G303" i="29"/>
  <c r="B2763" i="106"/>
  <c r="D2763" i="106" s="1"/>
  <c r="B6130" i="106"/>
  <c r="D6130" i="106" s="1"/>
  <c r="H34" i="3"/>
  <c r="B211" i="106" s="1"/>
  <c r="D211" i="106" s="1"/>
  <c r="B6110" i="106"/>
  <c r="D6110" i="106" s="1"/>
  <c r="B6683" i="106"/>
  <c r="D6683" i="106" s="1"/>
  <c r="B7255" i="106"/>
  <c r="D7255" i="106" s="1"/>
  <c r="F134" i="34"/>
  <c r="B6622" i="106"/>
  <c r="D6622" i="106" s="1"/>
  <c r="B6643" i="106"/>
  <c r="D6643" i="106" s="1"/>
  <c r="B5515" i="106"/>
  <c r="D5515" i="106" s="1"/>
  <c r="B6724" i="106"/>
  <c r="D6724" i="106" s="1"/>
  <c r="B5924" i="106"/>
  <c r="D5924" i="106" s="1"/>
  <c r="I67" i="5"/>
  <c r="B5926" i="106" s="1"/>
  <c r="D5926" i="106" s="1"/>
  <c r="K326" i="29"/>
  <c r="B7181" i="106"/>
  <c r="D7181" i="106" s="1"/>
  <c r="B6936" i="106"/>
  <c r="D6936" i="106" s="1"/>
  <c r="B4378" i="106"/>
  <c r="D4378" i="106" s="1"/>
  <c r="B5726" i="106"/>
  <c r="D5726" i="106" s="1"/>
  <c r="G18" i="5"/>
  <c r="B5730" i="106" s="1"/>
  <c r="D5730" i="106" s="1"/>
  <c r="B6363" i="106"/>
  <c r="D6363" i="106" s="1"/>
  <c r="B961" i="106"/>
  <c r="D961" i="106" s="1"/>
  <c r="B4882" i="106"/>
  <c r="D4882" i="106" s="1"/>
  <c r="B5187" i="106"/>
  <c r="D5187" i="106" s="1"/>
  <c r="F114" i="34"/>
  <c r="B7848" i="106" s="1"/>
  <c r="D7848" i="106" s="1"/>
  <c r="B5098" i="106"/>
  <c r="D5098" i="106" s="1"/>
  <c r="B6407" i="106"/>
  <c r="D6407" i="106" s="1"/>
  <c r="B6725" i="106"/>
  <c r="D6725" i="106" s="1"/>
  <c r="B3492" i="106"/>
  <c r="D3492" i="106" s="1"/>
  <c r="B5822" i="106"/>
  <c r="D5822" i="106" s="1"/>
  <c r="J72" i="29"/>
  <c r="B6974" i="106" s="1"/>
  <c r="D6974" i="106" s="1"/>
  <c r="B6964" i="106"/>
  <c r="D6964" i="106" s="1"/>
  <c r="K250" i="29"/>
  <c r="B7086" i="106" s="1"/>
  <c r="D7086" i="106" s="1"/>
  <c r="B7085" i="106"/>
  <c r="D7085" i="106" s="1"/>
  <c r="B5734" i="106"/>
  <c r="D5734" i="106" s="1"/>
  <c r="G108" i="5"/>
  <c r="B5737" i="106" s="1"/>
  <c r="D5737" i="106" s="1"/>
  <c r="B1360" i="106"/>
  <c r="D1360" i="106" s="1"/>
  <c r="B6742" i="106"/>
  <c r="D6742" i="106" s="1"/>
  <c r="B4334" i="106"/>
  <c r="D4334" i="106" s="1"/>
  <c r="B5625" i="106"/>
  <c r="D5625" i="106" s="1"/>
  <c r="B854" i="106"/>
  <c r="D854" i="106" s="1"/>
  <c r="E65" i="29"/>
  <c r="B861" i="106" s="1"/>
  <c r="D861" i="106" s="1"/>
  <c r="B6623" i="106"/>
  <c r="D6623" i="106" s="1"/>
  <c r="B5241" i="106"/>
  <c r="D5241" i="106" s="1"/>
  <c r="K78" i="29"/>
  <c r="E84" i="29"/>
  <c r="B2949" i="106"/>
  <c r="D2949" i="106" s="1"/>
  <c r="B4309" i="106"/>
  <c r="D4309" i="106" s="1"/>
  <c r="B4801" i="106"/>
  <c r="D4801" i="106" s="1"/>
  <c r="B6739" i="106"/>
  <c r="D6739" i="106" s="1"/>
  <c r="B6638" i="106"/>
  <c r="D6638" i="106" s="1"/>
  <c r="B4945" i="106"/>
  <c r="D4945" i="106" s="1"/>
  <c r="B5727" i="106"/>
  <c r="D5727" i="106" s="1"/>
  <c r="B5374" i="106"/>
  <c r="D5374" i="106" s="1"/>
  <c r="G76" i="4"/>
  <c r="B3260" i="106" s="1"/>
  <c r="D3260" i="106" s="1"/>
  <c r="B3259" i="106"/>
  <c r="D3259" i="106" s="1"/>
  <c r="B7663" i="106"/>
  <c r="D7663" i="106" s="1"/>
  <c r="B6869" i="106"/>
  <c r="D6869" i="106" s="1"/>
  <c r="B6303" i="106"/>
  <c r="D6303" i="106" s="1"/>
  <c r="B5134" i="106"/>
  <c r="D5134" i="106" s="1"/>
  <c r="B4868" i="106"/>
  <c r="D4868" i="106" s="1"/>
  <c r="B7693" i="106"/>
  <c r="D7693" i="106" s="1"/>
  <c r="B7108" i="106"/>
  <c r="D7108" i="106" s="1"/>
  <c r="K307" i="29"/>
  <c r="B4099" i="106" s="1"/>
  <c r="D4099" i="106" s="1"/>
  <c r="K202" i="29"/>
  <c r="B2842" i="106" s="1"/>
  <c r="D2842" i="106" s="1"/>
  <c r="B2832" i="106"/>
  <c r="D2832" i="106" s="1"/>
  <c r="B5695" i="106"/>
  <c r="D5695" i="106" s="1"/>
  <c r="B119" i="106"/>
  <c r="D119" i="106" s="1"/>
  <c r="B198" i="106"/>
  <c r="D198" i="106" s="1"/>
  <c r="G53" i="29"/>
  <c r="B966" i="106" s="1"/>
  <c r="D966" i="106" s="1"/>
  <c r="B964" i="106"/>
  <c r="D964" i="106" s="1"/>
  <c r="C18" i="5"/>
  <c r="B5071" i="106" s="1"/>
  <c r="D5071" i="106" s="1"/>
  <c r="B5067" i="106"/>
  <c r="D5067" i="106" s="1"/>
  <c r="B7252" i="106"/>
  <c r="D7252" i="106" s="1"/>
  <c r="B4179" i="106"/>
  <c r="D4179" i="106" s="1"/>
  <c r="B6245" i="106"/>
  <c r="D6245" i="106" s="1"/>
  <c r="B7195" i="106"/>
  <c r="D7195" i="106" s="1"/>
  <c r="B6344" i="106"/>
  <c r="D6344" i="106" s="1"/>
  <c r="B3482" i="106"/>
  <c r="D3482" i="106" s="1"/>
  <c r="K125" i="29"/>
  <c r="B3488" i="106" s="1"/>
  <c r="D3488" i="106" s="1"/>
  <c r="B6781" i="106"/>
  <c r="D6781" i="106" s="1"/>
  <c r="B4190" i="106"/>
  <c r="D4190" i="106" s="1"/>
  <c r="B7689" i="106"/>
  <c r="D7689" i="106" s="1"/>
  <c r="B6804" i="106"/>
  <c r="D6804" i="106" s="1"/>
  <c r="B5724" i="106"/>
  <c r="D5724" i="106" s="1"/>
  <c r="B6919" i="106"/>
  <c r="D6919" i="106" s="1"/>
  <c r="J47" i="29"/>
  <c r="B6925" i="106" s="1"/>
  <c r="D6925" i="106" s="1"/>
  <c r="B1406" i="106"/>
  <c r="D1406" i="106" s="1"/>
  <c r="K221" i="29"/>
  <c r="B5310" i="106"/>
  <c r="D5310" i="106" s="1"/>
  <c r="I44" i="4"/>
  <c r="B3317" i="106" s="1"/>
  <c r="D3317" i="106" s="1"/>
  <c r="B2772" i="106"/>
  <c r="D2772" i="106" s="1"/>
  <c r="K5" i="29"/>
  <c r="B705" i="106"/>
  <c r="D705" i="106" s="1"/>
  <c r="C33" i="29"/>
  <c r="B720" i="106" s="1"/>
  <c r="D720" i="106" s="1"/>
  <c r="G155" i="5"/>
  <c r="B4357" i="106" s="1"/>
  <c r="D4357" i="106" s="1"/>
  <c r="B6380" i="106"/>
  <c r="D6380" i="106" s="1"/>
  <c r="K163" i="29"/>
  <c r="B1310" i="106"/>
  <c r="D1310" i="106" s="1"/>
  <c r="H168" i="29"/>
  <c r="B2800" i="106"/>
  <c r="D2800" i="106" s="1"/>
  <c r="L160" i="29"/>
  <c r="B5584" i="106"/>
  <c r="D5584" i="106" s="1"/>
  <c r="B7124" i="106"/>
  <c r="D7124" i="106" s="1"/>
  <c r="I330" i="29"/>
  <c r="B6642" i="106"/>
  <c r="D6642" i="106" s="1"/>
  <c r="F137" i="34"/>
  <c r="B5076" i="106"/>
  <c r="D5076" i="106" s="1"/>
  <c r="B619" i="106"/>
  <c r="D619" i="106" s="1"/>
  <c r="B6735" i="106"/>
  <c r="D6735" i="106" s="1"/>
  <c r="B5401" i="106"/>
  <c r="D5401" i="106" s="1"/>
  <c r="B5627" i="106"/>
  <c r="D5627" i="106" s="1"/>
  <c r="B6918" i="106"/>
  <c r="D6918" i="106" s="1"/>
  <c r="I47" i="29"/>
  <c r="B6924" i="106" s="1"/>
  <c r="D6924" i="106" s="1"/>
  <c r="B4327" i="106"/>
  <c r="D4327" i="106" s="1"/>
  <c r="B6795" i="106"/>
  <c r="D6795" i="106" s="1"/>
  <c r="F120" i="34"/>
  <c r="B7854" i="106" s="1"/>
  <c r="D7854" i="106" s="1"/>
  <c r="B4317" i="106"/>
  <c r="D4317" i="106" s="1"/>
  <c r="B3084" i="106"/>
  <c r="D3084" i="106" s="1"/>
  <c r="B6248" i="106"/>
  <c r="D6248" i="106" s="1"/>
  <c r="E40" i="4"/>
  <c r="B6288" i="106" s="1"/>
  <c r="D6288" i="106" s="1"/>
  <c r="B6749" i="106"/>
  <c r="D6749" i="106" s="1"/>
  <c r="B6774" i="106"/>
  <c r="D6774" i="106" s="1"/>
  <c r="B7749" i="106"/>
  <c r="D7749" i="106" s="1"/>
  <c r="D44" i="4"/>
  <c r="K106" i="29"/>
  <c r="B1147" i="106" s="1"/>
  <c r="D1147" i="106" s="1"/>
  <c r="B1049" i="106"/>
  <c r="D1049" i="106" s="1"/>
  <c r="L72" i="29"/>
  <c r="B7226" i="106"/>
  <c r="D7226" i="106" s="1"/>
  <c r="I350" i="29"/>
  <c r="I352" i="29" s="1"/>
  <c r="B6091" i="106"/>
  <c r="D6091" i="106" s="1"/>
  <c r="B5070" i="106"/>
  <c r="D5070" i="106" s="1"/>
  <c r="B7179" i="106"/>
  <c r="D7179" i="106" s="1"/>
  <c r="B5153" i="106"/>
  <c r="D5153" i="106" s="1"/>
  <c r="B3581" i="106"/>
  <c r="D3581" i="106" s="1"/>
  <c r="B6661" i="106"/>
  <c r="D6661" i="106" s="1"/>
  <c r="H334" i="29"/>
  <c r="B7789" i="106" s="1"/>
  <c r="D7789" i="106" s="1"/>
  <c r="K332" i="29"/>
  <c r="B7785" i="106"/>
  <c r="D7785" i="106" s="1"/>
  <c r="B6618" i="106"/>
  <c r="D6618" i="106" s="1"/>
  <c r="G252" i="5"/>
  <c r="B6837" i="106" s="1"/>
  <c r="D6837" i="106" s="1"/>
  <c r="B4116" i="106"/>
  <c r="D4116" i="106" s="1"/>
  <c r="F18" i="4"/>
  <c r="B4133" i="106" s="1"/>
  <c r="D4133" i="106" s="1"/>
  <c r="B4884" i="106"/>
  <c r="D4884" i="106" s="1"/>
  <c r="B6720" i="106"/>
  <c r="D6720" i="106" s="1"/>
  <c r="F145" i="34"/>
  <c r="E57" i="29"/>
  <c r="B853" i="106" s="1"/>
  <c r="D853" i="106" s="1"/>
  <c r="B851" i="106"/>
  <c r="D851" i="106" s="1"/>
  <c r="B7638" i="106"/>
  <c r="B5517" i="106"/>
  <c r="D5517" i="106" s="1"/>
  <c r="B6123" i="106"/>
  <c r="D6123" i="106" s="1"/>
  <c r="B3532" i="106"/>
  <c r="D3532" i="106" s="1"/>
  <c r="B798" i="106"/>
  <c r="D798" i="106" s="1"/>
  <c r="B2831" i="106"/>
  <c r="D2831" i="106" s="1"/>
  <c r="K201" i="29"/>
  <c r="B2841" i="106" s="1"/>
  <c r="D2841" i="106" s="1"/>
  <c r="B7101" i="106"/>
  <c r="D7101" i="106" s="1"/>
  <c r="K81" i="29"/>
  <c r="B2976" i="106" s="1"/>
  <c r="D2976" i="106" s="1"/>
  <c r="B2952" i="106"/>
  <c r="D2952" i="106" s="1"/>
  <c r="B6700" i="106"/>
  <c r="D6700" i="106" s="1"/>
  <c r="B5347" i="106"/>
  <c r="D5347" i="106" s="1"/>
  <c r="B2824" i="106"/>
  <c r="D2824" i="106" s="1"/>
  <c r="K195" i="29"/>
  <c r="B2839" i="106" s="1"/>
  <c r="D2839" i="106" s="1"/>
  <c r="B6960" i="106"/>
  <c r="D6960" i="106" s="1"/>
  <c r="E122" i="5"/>
  <c r="B5528" i="106"/>
  <c r="D5528" i="106" s="1"/>
  <c r="B3657" i="106"/>
  <c r="D3657" i="106" s="1"/>
  <c r="H362" i="29"/>
  <c r="K360" i="29"/>
  <c r="B6375" i="106"/>
  <c r="D6375" i="106" s="1"/>
  <c r="B7700" i="106"/>
  <c r="D7700" i="106" s="1"/>
  <c r="B6771" i="106"/>
  <c r="D6771" i="106" s="1"/>
  <c r="B7680" i="106"/>
  <c r="D7680" i="106" s="1"/>
  <c r="B5877" i="106"/>
  <c r="D5877" i="106" s="1"/>
  <c r="B7659" i="106"/>
  <c r="D7659" i="106" s="1"/>
  <c r="B432" i="106"/>
  <c r="D432" i="106" s="1"/>
  <c r="B7091" i="106"/>
  <c r="D7091" i="106" s="1"/>
  <c r="K253" i="29"/>
  <c r="B7092" i="106" s="1"/>
  <c r="D7092" i="106" s="1"/>
  <c r="B7160" i="106"/>
  <c r="D7160" i="106" s="1"/>
  <c r="B5094" i="106"/>
  <c r="D5094" i="106" s="1"/>
  <c r="B5315" i="106"/>
  <c r="D5315" i="106" s="1"/>
  <c r="F163" i="34"/>
  <c r="B7870" i="106" s="1"/>
  <c r="D7870" i="106" s="1"/>
  <c r="B6754" i="106"/>
  <c r="D6754" i="106" s="1"/>
  <c r="B5735" i="106"/>
  <c r="D5735" i="106" s="1"/>
  <c r="B743" i="106"/>
  <c r="D743" i="106" s="1"/>
  <c r="K64" i="29"/>
  <c r="E16" i="184" s="1"/>
  <c r="H16" i="184" s="1"/>
  <c r="B6708" i="106"/>
  <c r="D6708" i="106" s="1"/>
  <c r="B7134" i="106"/>
  <c r="D7134" i="106" s="1"/>
  <c r="B6360" i="106"/>
  <c r="D6360" i="106" s="1"/>
  <c r="B5083" i="106"/>
  <c r="D5083" i="106" s="1"/>
  <c r="B2908" i="106"/>
  <c r="D2908" i="106" s="1"/>
  <c r="B7029" i="106"/>
  <c r="D7029" i="106" s="1"/>
  <c r="J350" i="29"/>
  <c r="B7227" i="106"/>
  <c r="D7227" i="106" s="1"/>
  <c r="B5728" i="106"/>
  <c r="D5728" i="106" s="1"/>
  <c r="B4215" i="106"/>
  <c r="D4215" i="106" s="1"/>
  <c r="B653" i="106"/>
  <c r="D653" i="106" s="1"/>
  <c r="L57" i="29"/>
  <c r="B728" i="106"/>
  <c r="D728" i="106" s="1"/>
  <c r="K44" i="29"/>
  <c r="C47" i="29"/>
  <c r="B731" i="106" s="1"/>
  <c r="D731" i="106" s="1"/>
  <c r="B6799" i="106"/>
  <c r="D6799" i="106" s="1"/>
  <c r="B6812" i="106"/>
  <c r="D6812" i="106" s="1"/>
  <c r="B6177" i="106"/>
  <c r="D6177" i="106" s="1"/>
  <c r="B4314" i="106"/>
  <c r="D4314" i="106" s="1"/>
  <c r="K144" i="29"/>
  <c r="B2810" i="106" s="1"/>
  <c r="D2810" i="106" s="1"/>
  <c r="B2807" i="106"/>
  <c r="D2807" i="106" s="1"/>
  <c r="K71" i="29"/>
  <c r="B751" i="106"/>
  <c r="D751" i="106" s="1"/>
  <c r="B6659" i="106"/>
  <c r="D6659" i="106" s="1"/>
  <c r="B5064" i="106"/>
  <c r="D5064" i="106" s="1"/>
  <c r="B17" i="7"/>
  <c r="D34" i="3"/>
  <c r="B122" i="106" s="1"/>
  <c r="D122" i="106" s="1"/>
  <c r="B6126" i="106"/>
  <c r="D6126" i="106" s="1"/>
  <c r="B7006" i="106"/>
  <c r="D7006" i="106" s="1"/>
  <c r="K98" i="29"/>
  <c r="B7007" i="106" s="1"/>
  <c r="D7007" i="106" s="1"/>
  <c r="B5115" i="106"/>
  <c r="D5115" i="106" s="1"/>
  <c r="F103" i="34"/>
  <c r="B7840" i="106" s="1"/>
  <c r="D7840" i="106" s="1"/>
  <c r="H137" i="29"/>
  <c r="B7775" i="106"/>
  <c r="D7775" i="106" s="1"/>
  <c r="B6136" i="106"/>
  <c r="D6136" i="106" s="1"/>
  <c r="B5742" i="106"/>
  <c r="D5742" i="106" s="1"/>
  <c r="G122" i="5"/>
  <c r="B5748" i="106" s="1"/>
  <c r="D5748" i="106" s="1"/>
  <c r="B206" i="106"/>
  <c r="D206" i="106" s="1"/>
  <c r="B7883" i="106"/>
  <c r="D7883" i="106" s="1"/>
  <c r="B6350" i="106"/>
  <c r="D6350" i="106" s="1"/>
  <c r="H108" i="5"/>
  <c r="B5886" i="106" s="1"/>
  <c r="D5886" i="106" s="1"/>
  <c r="B5882" i="106"/>
  <c r="D5882" i="106" s="1"/>
  <c r="B915" i="106"/>
  <c r="D915" i="106" s="1"/>
  <c r="B1363" i="106"/>
  <c r="D1363" i="106" s="1"/>
  <c r="B6985" i="106"/>
  <c r="D6985" i="106" s="1"/>
  <c r="K87" i="29"/>
  <c r="B6986" i="106" s="1"/>
  <c r="D6986" i="106" s="1"/>
  <c r="B7194" i="106"/>
  <c r="D7194" i="106" s="1"/>
  <c r="B6872" i="106"/>
  <c r="D6872" i="106" s="1"/>
  <c r="B6654" i="106"/>
  <c r="D6654" i="106" s="1"/>
  <c r="B923" i="106"/>
  <c r="D923" i="106" s="1"/>
  <c r="B6828" i="106"/>
  <c r="D6828" i="106" s="1"/>
  <c r="B5069" i="106"/>
  <c r="D5069" i="106" s="1"/>
  <c r="B5609" i="106"/>
  <c r="D5609" i="106" s="1"/>
  <c r="B956" i="106"/>
  <c r="D956" i="106" s="1"/>
  <c r="B6759" i="106"/>
  <c r="D6759" i="106" s="1"/>
  <c r="B6991" i="106"/>
  <c r="D6991" i="106" s="1"/>
  <c r="K90" i="29"/>
  <c r="B6992" i="106" s="1"/>
  <c r="D6992" i="106" s="1"/>
  <c r="D12" i="171"/>
  <c r="B5123" i="106"/>
  <c r="D5123" i="106" s="1"/>
  <c r="B1220" i="106"/>
  <c r="D1220" i="106" s="1"/>
  <c r="K123" i="29"/>
  <c r="B1275" i="106" s="1"/>
  <c r="D1275" i="106" s="1"/>
  <c r="B3082" i="106"/>
  <c r="D3082" i="106" s="1"/>
  <c r="K170" i="29"/>
  <c r="D69" i="36"/>
  <c r="B1315" i="106"/>
  <c r="D1315" i="106" s="1"/>
  <c r="B6778" i="106"/>
  <c r="D6778" i="106" s="1"/>
  <c r="B1257" i="106"/>
  <c r="D1257" i="106" s="1"/>
  <c r="B208" i="106"/>
  <c r="D208" i="106" s="1"/>
  <c r="B864" i="106"/>
  <c r="D864" i="106" s="1"/>
  <c r="B741" i="106"/>
  <c r="D741" i="106" s="1"/>
  <c r="K62" i="29"/>
  <c r="B5100" i="106"/>
  <c r="D5100" i="106" s="1"/>
  <c r="K107" i="29"/>
  <c r="B2795" i="106" s="1"/>
  <c r="D2795" i="106" s="1"/>
  <c r="B2791" i="106"/>
  <c r="D2791" i="106" s="1"/>
  <c r="B6987" i="106"/>
  <c r="D6987" i="106" s="1"/>
  <c r="K88" i="29"/>
  <c r="B6988" i="106" s="1"/>
  <c r="D6988" i="106" s="1"/>
  <c r="B6908" i="106"/>
  <c r="D6908" i="106" s="1"/>
  <c r="K13" i="3"/>
  <c r="B3552" i="106" s="1"/>
  <c r="D3552" i="106" s="1"/>
  <c r="B3548" i="106"/>
  <c r="D3548" i="106" s="1"/>
  <c r="B6118" i="106"/>
  <c r="D6118" i="106" s="1"/>
  <c r="F23" i="34"/>
  <c r="B5571" i="106"/>
  <c r="D5571" i="106" s="1"/>
  <c r="F130" i="34"/>
  <c r="B7862" i="106" s="1"/>
  <c r="D7862" i="106" s="1"/>
  <c r="B5279" i="106"/>
  <c r="D5279" i="106" s="1"/>
  <c r="B7698" i="106"/>
  <c r="D7698" i="106" s="1"/>
  <c r="B6173" i="106"/>
  <c r="D6173" i="106" s="1"/>
  <c r="B948" i="106"/>
  <c r="D948" i="106" s="1"/>
  <c r="D67" i="5"/>
  <c r="B5342" i="106" s="1"/>
  <c r="D5342" i="106" s="1"/>
  <c r="B5340" i="106"/>
  <c r="D5340" i="106" s="1"/>
  <c r="B3577" i="106"/>
  <c r="D3577" i="106" s="1"/>
  <c r="B7139" i="106"/>
  <c r="D7139" i="106" s="1"/>
  <c r="B7009" i="106"/>
  <c r="D7009" i="106" s="1"/>
  <c r="B6114" i="106"/>
  <c r="D6114" i="106" s="1"/>
  <c r="B6001" i="106"/>
  <c r="D6001" i="106" s="1"/>
  <c r="H72" i="29"/>
  <c r="B1043" i="106" s="1"/>
  <c r="D1043" i="106" s="1"/>
  <c r="B1036" i="106"/>
  <c r="D1036" i="106" s="1"/>
  <c r="B775" i="106"/>
  <c r="D775" i="106" s="1"/>
  <c r="B754" i="106"/>
  <c r="D754" i="106" s="1"/>
  <c r="K73" i="29"/>
  <c r="B1020" i="106"/>
  <c r="D1020" i="106" s="1"/>
  <c r="B4416" i="106"/>
  <c r="D4416" i="106" s="1"/>
  <c r="B6320" i="106"/>
  <c r="D6320" i="106" s="1"/>
  <c r="B4771" i="106"/>
  <c r="D4771" i="106" s="1"/>
  <c r="B949" i="106"/>
  <c r="D949" i="106" s="1"/>
  <c r="B6326" i="106"/>
  <c r="D6326" i="106" s="1"/>
  <c r="B893" i="106"/>
  <c r="D893" i="106" s="1"/>
  <c r="B4793" i="106"/>
  <c r="D4793" i="106" s="1"/>
  <c r="B6947" i="106"/>
  <c r="D6947" i="106" s="1"/>
  <c r="H357" i="29"/>
  <c r="B7237" i="106" s="1"/>
  <c r="D7237" i="106" s="1"/>
  <c r="K354" i="29"/>
  <c r="B7791" i="106"/>
  <c r="D7791" i="106" s="1"/>
  <c r="B7753" i="106"/>
  <c r="D7753" i="106" s="1"/>
  <c r="B3422" i="106"/>
  <c r="D3422" i="106" s="1"/>
  <c r="D38" i="36"/>
  <c r="G13" i="3"/>
  <c r="B180" i="106" s="1"/>
  <c r="D180" i="106" s="1"/>
  <c r="B3371" i="106"/>
  <c r="D3371" i="106" s="1"/>
  <c r="B7685" i="106"/>
  <c r="D7685" i="106" s="1"/>
  <c r="B4075" i="106"/>
  <c r="D4075" i="106" s="1"/>
  <c r="K29" i="29"/>
  <c r="B6894" i="106"/>
  <c r="D6894" i="106" s="1"/>
  <c r="B5275" i="106"/>
  <c r="D5275" i="106" s="1"/>
  <c r="B1015" i="106"/>
  <c r="D1015" i="106" s="1"/>
  <c r="B5520" i="106"/>
  <c r="D5520" i="106" s="1"/>
  <c r="B4370" i="106"/>
  <c r="D4370" i="106" s="1"/>
  <c r="B6290" i="106"/>
  <c r="D6290" i="106" s="1"/>
  <c r="D73" i="36"/>
  <c r="B7779" i="106"/>
  <c r="D7779" i="106" s="1"/>
  <c r="K158" i="29"/>
  <c r="B7780" i="106" s="1"/>
  <c r="D7780" i="106" s="1"/>
  <c r="B2994" i="106"/>
  <c r="D2994" i="106" s="1"/>
  <c r="K193" i="29"/>
  <c r="B3012" i="106" s="1"/>
  <c r="D3012" i="106" s="1"/>
  <c r="B5422" i="106"/>
  <c r="D5422" i="106" s="1"/>
  <c r="D175" i="5"/>
  <c r="B5423" i="106" s="1"/>
  <c r="D5423" i="106" s="1"/>
  <c r="B3486" i="106"/>
  <c r="D3486" i="106" s="1"/>
  <c r="B5883" i="106"/>
  <c r="D5883" i="106" s="1"/>
  <c r="B5092" i="106"/>
  <c r="D5092" i="106" s="1"/>
  <c r="B6624" i="106"/>
  <c r="D6624" i="106" s="1"/>
  <c r="B7193" i="106"/>
  <c r="D7193" i="106" s="1"/>
  <c r="B3366" i="106"/>
  <c r="D3366" i="106" s="1"/>
  <c r="K8" i="29"/>
  <c r="B3380" i="106" s="1"/>
  <c r="D3380" i="106" s="1"/>
  <c r="B6117" i="106"/>
  <c r="D6117" i="106" s="1"/>
  <c r="B5137" i="106"/>
  <c r="D5137" i="106" s="1"/>
  <c r="B2999" i="106"/>
  <c r="D2999" i="106" s="1"/>
  <c r="B4804" i="106"/>
  <c r="D4804" i="106" s="1"/>
  <c r="F181" i="5"/>
  <c r="B5658" i="106" s="1"/>
  <c r="D5658" i="106" s="1"/>
  <c r="L310" i="29"/>
  <c r="B6333" i="106"/>
  <c r="D6333" i="106" s="1"/>
  <c r="B5061" i="106"/>
  <c r="D5061" i="106" s="1"/>
  <c r="C12" i="5"/>
  <c r="B4" i="7"/>
  <c r="J44" i="4"/>
  <c r="B7754" i="106"/>
  <c r="D7754" i="106" s="1"/>
  <c r="B6171" i="106"/>
  <c r="D6171" i="106" s="1"/>
  <c r="B5755" i="106"/>
  <c r="D5755" i="106" s="1"/>
  <c r="B651" i="106"/>
  <c r="D651" i="106" s="1"/>
  <c r="K91" i="29"/>
  <c r="B6994" i="106" s="1"/>
  <c r="D6994" i="106" s="1"/>
  <c r="B6993" i="106"/>
  <c r="D6993" i="106" s="1"/>
  <c r="B156" i="106"/>
  <c r="D156" i="106" s="1"/>
  <c r="B5998" i="106"/>
  <c r="D5998" i="106" s="1"/>
  <c r="B4392" i="106"/>
  <c r="D4392" i="106" s="1"/>
  <c r="B6395" i="106"/>
  <c r="D6395" i="106" s="1"/>
  <c r="B5357" i="106"/>
  <c r="D5357" i="106" s="1"/>
  <c r="D114" i="5"/>
  <c r="B7267" i="106"/>
  <c r="F47" i="29"/>
  <c r="B905" i="106" s="1"/>
  <c r="D905" i="106" s="1"/>
  <c r="B902" i="106"/>
  <c r="D902" i="106" s="1"/>
  <c r="B4321" i="106"/>
  <c r="D4321" i="106" s="1"/>
  <c r="B6299" i="106"/>
  <c r="D6299" i="106" s="1"/>
  <c r="B6780" i="106"/>
  <c r="D6780" i="106" s="1"/>
  <c r="B5085" i="106"/>
  <c r="D5085" i="106" s="1"/>
  <c r="B6154" i="106"/>
  <c r="D6154" i="106" s="1"/>
  <c r="B764" i="106"/>
  <c r="D764" i="106" s="1"/>
  <c r="B7170" i="106"/>
  <c r="D7170" i="106" s="1"/>
  <c r="B6242" i="106"/>
  <c r="D6242" i="106" s="1"/>
  <c r="B7692" i="106"/>
  <c r="D7692" i="106" s="1"/>
  <c r="B4362" i="106"/>
  <c r="D4362" i="106" s="1"/>
  <c r="F170" i="34"/>
  <c r="B7875" i="106" s="1"/>
  <c r="D7875" i="106" s="1"/>
  <c r="D17" i="171"/>
  <c r="B5256" i="106"/>
  <c r="D5256" i="106" s="1"/>
  <c r="C209" i="5"/>
  <c r="B5672" i="106"/>
  <c r="D5672" i="106" s="1"/>
  <c r="B6671" i="106"/>
  <c r="D6671" i="106" s="1"/>
  <c r="B5988" i="106"/>
  <c r="D5988" i="106" s="1"/>
  <c r="K18" i="5"/>
  <c r="B5992" i="106" s="1"/>
  <c r="D5992" i="106" s="1"/>
  <c r="B6958" i="106"/>
  <c r="D6958" i="106" s="1"/>
  <c r="B4376" i="106"/>
  <c r="D4376" i="106" s="1"/>
  <c r="B6779" i="106"/>
  <c r="D6779" i="106" s="1"/>
  <c r="B6775" i="106"/>
  <c r="D6775" i="106" s="1"/>
  <c r="B4380" i="106"/>
  <c r="D4380" i="106" s="1"/>
  <c r="B5569" i="106"/>
  <c r="D5569" i="106" s="1"/>
  <c r="F21" i="34"/>
  <c r="B6182" i="106"/>
  <c r="D6182" i="106" s="1"/>
  <c r="B5242" i="106"/>
  <c r="D5242" i="106" s="1"/>
  <c r="B5346" i="106"/>
  <c r="D5346" i="106" s="1"/>
  <c r="B5872" i="106"/>
  <c r="D5872" i="106" s="1"/>
  <c r="B6653" i="106"/>
  <c r="D6653" i="106" s="1"/>
  <c r="B7808" i="106"/>
  <c r="D7808" i="106" s="1"/>
  <c r="F121" i="34"/>
  <c r="B4329" i="106"/>
  <c r="D4329" i="106" s="1"/>
  <c r="B7882" i="106"/>
  <c r="D7882" i="106" s="1"/>
  <c r="H122" i="5"/>
  <c r="B6097" i="106"/>
  <c r="D6097" i="106" s="1"/>
  <c r="B88" i="106"/>
  <c r="D88" i="106" s="1"/>
  <c r="B6093" i="106"/>
  <c r="D6093" i="106" s="1"/>
  <c r="B6145" i="106"/>
  <c r="D6145" i="106" s="1"/>
  <c r="B950" i="106"/>
  <c r="D950" i="106" s="1"/>
  <c r="F13" i="3"/>
  <c r="B157" i="106" s="1"/>
  <c r="D157" i="106" s="1"/>
  <c r="B3419" i="106"/>
  <c r="D3419" i="106" s="1"/>
  <c r="D37" i="36"/>
  <c r="H24" i="118"/>
  <c r="B6135" i="106"/>
  <c r="D6135" i="106" s="1"/>
  <c r="B7691" i="106"/>
  <c r="D7691" i="106" s="1"/>
  <c r="F110" i="34"/>
  <c r="B7845" i="106" s="1"/>
  <c r="D7845" i="106" s="1"/>
  <c r="B4351" i="106"/>
  <c r="D4351" i="106" s="1"/>
  <c r="B6906" i="106"/>
  <c r="D6906" i="106" s="1"/>
  <c r="B7675" i="106"/>
  <c r="D7675" i="106" s="1"/>
  <c r="F30" i="34"/>
  <c r="B7823" i="106" s="1"/>
  <c r="B4313" i="106"/>
  <c r="D4313" i="106" s="1"/>
  <c r="B6235" i="106"/>
  <c r="D6235" i="106" s="1"/>
  <c r="B7806" i="106"/>
  <c r="D7806" i="106" s="1"/>
  <c r="B1237" i="106"/>
  <c r="D1237" i="106" s="1"/>
  <c r="B6864" i="106"/>
  <c r="D6864" i="106" s="1"/>
  <c r="B6233" i="106"/>
  <c r="D6233" i="106" s="1"/>
  <c r="B6259" i="106"/>
  <c r="D6259" i="106" s="1"/>
  <c r="B6692" i="106"/>
  <c r="D6692" i="106" s="1"/>
  <c r="B7173" i="106"/>
  <c r="D7173" i="106" s="1"/>
  <c r="B6143" i="106"/>
  <c r="D6143" i="106" s="1"/>
  <c r="B6678" i="106"/>
  <c r="D6678" i="106" s="1"/>
  <c r="K130" i="29"/>
  <c r="B2797" i="106"/>
  <c r="D2797" i="106" s="1"/>
  <c r="B4853" i="106"/>
  <c r="D4853" i="106" s="1"/>
  <c r="B865" i="106"/>
  <c r="D865" i="106" s="1"/>
  <c r="B1244" i="106"/>
  <c r="D1244" i="106" s="1"/>
  <c r="B2722" i="106"/>
  <c r="D2722" i="106" s="1"/>
  <c r="B2996" i="106"/>
  <c r="D2996" i="106" s="1"/>
  <c r="B3583" i="106"/>
  <c r="D3583" i="106" s="1"/>
  <c r="B5106" i="106"/>
  <c r="D5106" i="106" s="1"/>
  <c r="F98" i="34"/>
  <c r="B930" i="106"/>
  <c r="D930" i="106" s="1"/>
  <c r="B6989" i="106"/>
  <c r="D6989" i="106" s="1"/>
  <c r="K89" i="29"/>
  <c r="B6990" i="106" s="1"/>
  <c r="D6990" i="106" s="1"/>
  <c r="B4332" i="106"/>
  <c r="D4332" i="106" s="1"/>
  <c r="B7158" i="106"/>
  <c r="D7158" i="106" s="1"/>
  <c r="B6713" i="106"/>
  <c r="D6713" i="106" s="1"/>
  <c r="B6744" i="106"/>
  <c r="D6744" i="106" s="1"/>
  <c r="B5997" i="106"/>
  <c r="D5997" i="106" s="1"/>
  <c r="J127" i="29"/>
  <c r="B7034" i="106" s="1"/>
  <c r="D7034" i="106" s="1"/>
  <c r="B7025" i="106"/>
  <c r="D7025" i="106" s="1"/>
  <c r="B3374" i="106"/>
  <c r="D3374" i="106" s="1"/>
  <c r="B725" i="106"/>
  <c r="D725" i="106" s="1"/>
  <c r="K40" i="29"/>
  <c r="B1113" i="106" s="1"/>
  <c r="D1113" i="106" s="1"/>
  <c r="K276" i="29"/>
  <c r="B1506" i="106" s="1"/>
  <c r="D1506" i="106" s="1"/>
  <c r="B1442" i="106"/>
  <c r="D1442" i="106" s="1"/>
  <c r="B7676" i="106"/>
  <c r="D7676" i="106" s="1"/>
  <c r="B3534" i="106"/>
  <c r="D3534" i="106" s="1"/>
  <c r="B6758" i="106"/>
  <c r="D6758" i="106" s="1"/>
  <c r="B4946" i="106"/>
  <c r="D4946" i="106" s="1"/>
  <c r="B6715" i="106"/>
  <c r="D6715" i="106" s="1"/>
  <c r="B6254" i="106"/>
  <c r="D6254" i="106" s="1"/>
  <c r="B7639" i="106"/>
  <c r="B7752" i="106"/>
  <c r="D7752" i="106" s="1"/>
  <c r="G44" i="4"/>
  <c r="B3258" i="106" s="1"/>
  <c r="D3258" i="106" s="1"/>
  <c r="B7816" i="106"/>
  <c r="D7816" i="106" s="1"/>
  <c r="B1014" i="106"/>
  <c r="D1014" i="106" s="1"/>
  <c r="B7137" i="106"/>
  <c r="D7137" i="106" s="1"/>
  <c r="B3055" i="106"/>
  <c r="D3055" i="106" s="1"/>
  <c r="K10" i="29"/>
  <c r="B3062" i="106" s="1"/>
  <c r="D3062" i="106" s="1"/>
  <c r="B6676" i="106"/>
  <c r="D6676" i="106" s="1"/>
  <c r="B4352" i="106"/>
  <c r="D4352" i="106" s="1"/>
  <c r="B6971" i="106"/>
  <c r="D6971" i="106" s="1"/>
  <c r="B4799" i="106"/>
  <c r="D4799" i="106" s="1"/>
  <c r="B3058" i="106"/>
  <c r="D3058" i="106" s="1"/>
  <c r="B6633" i="106"/>
  <c r="D6633" i="106" s="1"/>
  <c r="B7058" i="106"/>
  <c r="D7058" i="106" s="1"/>
  <c r="J184" i="29"/>
  <c r="B6636" i="106"/>
  <c r="D6636" i="106" s="1"/>
  <c r="B763" i="106"/>
  <c r="D763" i="106" s="1"/>
  <c r="D33" i="29"/>
  <c r="B778" i="106" s="1"/>
  <c r="D778" i="106" s="1"/>
  <c r="B4408" i="106"/>
  <c r="D4408" i="106" s="1"/>
  <c r="B4877" i="106"/>
  <c r="D4877" i="106" s="1"/>
  <c r="C198" i="5"/>
  <c r="B6401" i="106"/>
  <c r="D6401" i="106" s="1"/>
  <c r="E12" i="5"/>
  <c r="B5509" i="106"/>
  <c r="D5509" i="106" s="1"/>
  <c r="B6" i="7"/>
  <c r="L33" i="29"/>
  <c r="B6231" i="106"/>
  <c r="D6231" i="106" s="1"/>
  <c r="B5875" i="106"/>
  <c r="D5875" i="106" s="1"/>
  <c r="B7686" i="106"/>
  <c r="D7686" i="106" s="1"/>
  <c r="B6625" i="106"/>
  <c r="D6625" i="106" s="1"/>
  <c r="B807" i="106"/>
  <c r="D807" i="106" s="1"/>
  <c r="B179" i="106"/>
  <c r="D179" i="106" s="1"/>
  <c r="B6820" i="106"/>
  <c r="D6820" i="106" s="1"/>
  <c r="K16" i="29"/>
  <c r="B1094" i="106" s="1"/>
  <c r="D1094" i="106" s="1"/>
  <c r="B706" i="106"/>
  <c r="D706" i="106" s="1"/>
  <c r="B6309" i="106"/>
  <c r="D6309" i="106" s="1"/>
  <c r="B6133" i="106"/>
  <c r="D6133" i="106" s="1"/>
  <c r="B6180" i="106"/>
  <c r="D6180" i="106" s="1"/>
  <c r="B1252" i="106"/>
  <c r="D1252" i="106" s="1"/>
  <c r="B6311" i="106"/>
  <c r="D6311" i="106" s="1"/>
  <c r="B3632" i="106"/>
  <c r="D3632" i="106" s="1"/>
  <c r="B16" i="7"/>
  <c r="B5723" i="106"/>
  <c r="D5723" i="106" s="1"/>
  <c r="B5561" i="106"/>
  <c r="D5561" i="106" s="1"/>
  <c r="B7665" i="106"/>
  <c r="D7665" i="106" s="1"/>
  <c r="B6776" i="106"/>
  <c r="D6776" i="106" s="1"/>
  <c r="B1012" i="106"/>
  <c r="D1012" i="106" s="1"/>
  <c r="B2762" i="106"/>
  <c r="D2762" i="106" s="1"/>
  <c r="F122" i="5"/>
  <c r="B5599" i="106" s="1"/>
  <c r="D5599" i="106" s="1"/>
  <c r="B5593" i="106"/>
  <c r="D5593" i="106" s="1"/>
  <c r="B6367" i="106"/>
  <c r="D6367" i="106" s="1"/>
  <c r="B6620" i="106"/>
  <c r="D6620" i="106" s="1"/>
  <c r="J252" i="5"/>
  <c r="K27" i="29"/>
  <c r="B6890" i="106"/>
  <c r="D6890" i="106" s="1"/>
  <c r="B6861" i="106"/>
  <c r="D6861" i="106" s="1"/>
  <c r="B7262" i="106"/>
  <c r="B6356" i="106"/>
  <c r="D6356" i="106" s="1"/>
  <c r="B6931" i="106"/>
  <c r="D6931" i="106" s="1"/>
  <c r="B6310" i="106"/>
  <c r="D6310" i="106" s="1"/>
  <c r="B1019" i="106"/>
  <c r="D1019" i="106" s="1"/>
  <c r="B7112" i="106"/>
  <c r="D7112" i="106" s="1"/>
  <c r="K309" i="29"/>
  <c r="B3717" i="106" s="1"/>
  <c r="D3717" i="106" s="1"/>
  <c r="B6785" i="106"/>
  <c r="D6785" i="106" s="1"/>
  <c r="B6813" i="106"/>
  <c r="D6813" i="106" s="1"/>
  <c r="B6849" i="106"/>
  <c r="D6849" i="106" s="1"/>
  <c r="B4331" i="106"/>
  <c r="D4331" i="106" s="1"/>
  <c r="K251" i="29"/>
  <c r="B7088" i="106" s="1"/>
  <c r="D7088" i="106" s="1"/>
  <c r="B7087" i="106"/>
  <c r="D7087" i="106" s="1"/>
  <c r="E169" i="5"/>
  <c r="B5537" i="106" s="1"/>
  <c r="D5537" i="106" s="1"/>
  <c r="B6368" i="106"/>
  <c r="D6368" i="106" s="1"/>
  <c r="B5058" i="106"/>
  <c r="D5058" i="106" s="1"/>
  <c r="K166" i="29"/>
  <c r="B2819" i="106" s="1"/>
  <c r="D2819" i="106" s="1"/>
  <c r="B2813" i="106"/>
  <c r="D2813" i="106" s="1"/>
  <c r="L238" i="29"/>
  <c r="B838" i="106"/>
  <c r="D838" i="106" s="1"/>
  <c r="B3057" i="106"/>
  <c r="D3057" i="106" s="1"/>
  <c r="L277" i="29"/>
  <c r="C204" i="5"/>
  <c r="B5247" i="106"/>
  <c r="D5247" i="106" s="1"/>
  <c r="B4192" i="106"/>
  <c r="D4192" i="106" s="1"/>
  <c r="B6346" i="106"/>
  <c r="D6346" i="106" s="1"/>
  <c r="B4808" i="106"/>
  <c r="D4808" i="106" s="1"/>
  <c r="H12" i="5"/>
  <c r="B5871" i="106"/>
  <c r="D5871" i="106" s="1"/>
  <c r="B9" i="7"/>
  <c r="B839" i="106"/>
  <c r="D839" i="106" s="1"/>
  <c r="B980" i="106"/>
  <c r="D980" i="106" s="1"/>
  <c r="F18" i="34"/>
  <c r="B5564" i="106"/>
  <c r="D5564" i="106" s="1"/>
  <c r="B5354" i="106"/>
  <c r="D5354" i="106" s="1"/>
  <c r="B5763" i="106"/>
  <c r="D5763" i="106" s="1"/>
  <c r="B822" i="106"/>
  <c r="D822" i="106" s="1"/>
  <c r="G221" i="5"/>
  <c r="B5847" i="106" s="1"/>
  <c r="D5847" i="106" s="1"/>
  <c r="B5844" i="106"/>
  <c r="D5844" i="106" s="1"/>
  <c r="B1431" i="106"/>
  <c r="D1431" i="106" s="1"/>
  <c r="K266" i="29"/>
  <c r="B1495" i="106" s="1"/>
  <c r="D1495" i="106" s="1"/>
  <c r="K93" i="29"/>
  <c r="B6997" i="106" s="1"/>
  <c r="D6997" i="106" s="1"/>
  <c r="B6996" i="106"/>
  <c r="D6996" i="106" s="1"/>
  <c r="H100" i="29"/>
  <c r="B7012" i="106" s="1"/>
  <c r="D7012" i="106" s="1"/>
  <c r="B2848" i="106"/>
  <c r="D2848" i="106" s="1"/>
  <c r="K364" i="29"/>
  <c r="B7746" i="106" s="1"/>
  <c r="D7746" i="106" s="1"/>
  <c r="B7745" i="106"/>
  <c r="D7745" i="106" s="1"/>
  <c r="B6353" i="106"/>
  <c r="D6353" i="106" s="1"/>
  <c r="J122" i="5"/>
  <c r="B7122" i="106"/>
  <c r="D7122" i="106" s="1"/>
  <c r="G330" i="29"/>
  <c r="B6359" i="106"/>
  <c r="D6359" i="106" s="1"/>
  <c r="B5754" i="106"/>
  <c r="D5754" i="106" s="1"/>
  <c r="G145" i="5"/>
  <c r="B5756" i="106" s="1"/>
  <c r="D5756" i="106" s="1"/>
  <c r="B3060" i="106"/>
  <c r="D3060" i="106" s="1"/>
  <c r="B5353" i="106"/>
  <c r="D5353" i="106" s="1"/>
  <c r="L229" i="29"/>
  <c r="B5732" i="106"/>
  <c r="D5732" i="106" s="1"/>
  <c r="B2792" i="106"/>
  <c r="D2792" i="106" s="1"/>
  <c r="K108" i="29"/>
  <c r="B2796" i="106" s="1"/>
  <c r="D2796" i="106" s="1"/>
  <c r="B872" i="106"/>
  <c r="D872" i="106" s="1"/>
  <c r="B6723" i="106"/>
  <c r="D6723" i="106" s="1"/>
  <c r="B5519" i="106"/>
  <c r="D5519" i="106" s="1"/>
  <c r="E67" i="5"/>
  <c r="B5521" i="106" s="1"/>
  <c r="D5521" i="106" s="1"/>
  <c r="B6743" i="106"/>
  <c r="D6743" i="106" s="1"/>
  <c r="B6174" i="106"/>
  <c r="D6174" i="106" s="1"/>
  <c r="B5312" i="106"/>
  <c r="D5312" i="106" s="1"/>
  <c r="F161" i="34"/>
  <c r="B7868" i="106" s="1"/>
  <c r="D7868" i="106" s="1"/>
  <c r="B6711" i="106"/>
  <c r="D6711" i="106" s="1"/>
  <c r="F22" i="34"/>
  <c r="B6313" i="106"/>
  <c r="D6313" i="106" s="1"/>
  <c r="B6217" i="106"/>
  <c r="D6217" i="106" s="1"/>
  <c r="J13" i="3"/>
  <c r="B6124" i="106" s="1"/>
  <c r="D6124" i="106" s="1"/>
  <c r="D41" i="36"/>
  <c r="B6630" i="106"/>
  <c r="D6630" i="106" s="1"/>
  <c r="B7027" i="106"/>
  <c r="D7027" i="106" s="1"/>
  <c r="B3370" i="106"/>
  <c r="D3370" i="106" s="1"/>
  <c r="B6965" i="106"/>
  <c r="D6965" i="106" s="1"/>
  <c r="B1245" i="106"/>
  <c r="D1245" i="106" s="1"/>
  <c r="B6167" i="106"/>
  <c r="D6167" i="106" s="1"/>
  <c r="B5239" i="106"/>
  <c r="D5239" i="106" s="1"/>
  <c r="B3376" i="106"/>
  <c r="D3376" i="106" s="1"/>
  <c r="B4341" i="106"/>
  <c r="D4341" i="106" s="1"/>
  <c r="B6147" i="106"/>
  <c r="D6147" i="106" s="1"/>
  <c r="B7263" i="106"/>
  <c r="K17" i="29"/>
  <c r="B6871" i="106" s="1"/>
  <c r="D6871" i="106" s="1"/>
  <c r="B3059" i="106"/>
  <c r="D3059" i="106" s="1"/>
  <c r="B5736" i="106"/>
  <c r="D5736" i="106" s="1"/>
  <c r="D71" i="36"/>
  <c r="B5012" i="106"/>
  <c r="D5012" i="106" s="1"/>
  <c r="B1038" i="106"/>
  <c r="D1038" i="106" s="1"/>
  <c r="B7089" i="106"/>
  <c r="D7089" i="106" s="1"/>
  <c r="K252" i="29"/>
  <c r="B7090" i="106" s="1"/>
  <c r="D7090" i="106" s="1"/>
  <c r="B7657" i="106"/>
  <c r="D7657" i="106" s="1"/>
  <c r="B774" i="106"/>
  <c r="D774" i="106" s="1"/>
  <c r="B6878" i="106"/>
  <c r="D6878" i="106" s="1"/>
  <c r="K21" i="29"/>
  <c r="F141" i="34"/>
  <c r="B6674" i="106"/>
  <c r="D6674" i="106" s="1"/>
  <c r="B324" i="106"/>
  <c r="D324" i="106" s="1"/>
  <c r="B5855" i="106"/>
  <c r="D5855" i="106" s="1"/>
  <c r="B6784" i="106"/>
  <c r="D6784" i="106" s="1"/>
  <c r="B6088" i="106"/>
  <c r="D6088" i="106" s="1"/>
  <c r="B921" i="106"/>
  <c r="D921" i="106" s="1"/>
  <c r="B913" i="106"/>
  <c r="D913" i="106" s="1"/>
  <c r="B7660" i="106"/>
  <c r="D7660" i="106" s="1"/>
  <c r="B859" i="106"/>
  <c r="D859" i="106" s="1"/>
  <c r="B6954" i="106"/>
  <c r="D6954" i="106" s="1"/>
  <c r="B7132" i="106"/>
  <c r="D7132" i="106" s="1"/>
  <c r="B5352" i="106"/>
  <c r="D5352" i="106" s="1"/>
  <c r="B3295" i="106"/>
  <c r="D3295" i="106" s="1"/>
  <c r="B3582" i="106"/>
  <c r="D3582" i="106" s="1"/>
  <c r="B6660" i="106"/>
  <c r="D6660" i="106" s="1"/>
  <c r="B4079" i="106"/>
  <c r="D4079" i="106" s="1"/>
  <c r="B173" i="106"/>
  <c r="D173" i="106" s="1"/>
  <c r="B4230" i="106"/>
  <c r="D4230" i="106" s="1"/>
  <c r="L330" i="29"/>
  <c r="F115" i="34"/>
  <c r="B7849" i="106" s="1"/>
  <c r="D7849" i="106" s="1"/>
  <c r="B5194" i="106"/>
  <c r="D5194" i="106" s="1"/>
  <c r="B3699" i="106"/>
  <c r="D3699" i="106" s="1"/>
  <c r="K53" i="4"/>
  <c r="B3703" i="106" s="1"/>
  <c r="D3703" i="106" s="1"/>
  <c r="B6675" i="106"/>
  <c r="D6675" i="106" s="1"/>
  <c r="B7192" i="106"/>
  <c r="D7192" i="106" s="1"/>
  <c r="B6103" i="106"/>
  <c r="D6103" i="106" s="1"/>
  <c r="B4948" i="106"/>
  <c r="D4948" i="106" s="1"/>
  <c r="B938" i="106"/>
  <c r="D938" i="106" s="1"/>
  <c r="F76" i="4"/>
  <c r="B3254" i="106" s="1"/>
  <c r="D3254" i="106" s="1"/>
  <c r="B5024" i="106"/>
  <c r="D5024" i="106" s="1"/>
  <c r="B7690" i="106"/>
  <c r="D7690" i="106" s="1"/>
  <c r="B863" i="106"/>
  <c r="D863" i="106" s="1"/>
  <c r="H169" i="5"/>
  <c r="B5899" i="106" s="1"/>
  <c r="D5899" i="106" s="1"/>
  <c r="B6371" i="106"/>
  <c r="D6371" i="106" s="1"/>
  <c r="K308" i="29"/>
  <c r="B4100" i="106" s="1"/>
  <c r="D4100" i="106" s="1"/>
  <c r="B7110" i="106"/>
  <c r="D7110" i="106" s="1"/>
  <c r="B6921" i="106"/>
  <c r="D6921" i="106" s="1"/>
  <c r="K207" i="29"/>
  <c r="B7070" i="106" s="1"/>
  <c r="D7070" i="106" s="1"/>
  <c r="B7069" i="106"/>
  <c r="D7069" i="106" s="1"/>
  <c r="B3234" i="106"/>
  <c r="D3234" i="106" s="1"/>
  <c r="B6106" i="106"/>
  <c r="D6106" i="106" s="1"/>
  <c r="B1369" i="106"/>
  <c r="D1369" i="106" s="1"/>
  <c r="B7208" i="106"/>
  <c r="D7208" i="106" s="1"/>
  <c r="K337" i="29"/>
  <c r="H340" i="29"/>
  <c r="B7214" i="106" s="1"/>
  <c r="D7214" i="106" s="1"/>
  <c r="B4346" i="106"/>
  <c r="D4346" i="106" s="1"/>
  <c r="B6772" i="106"/>
  <c r="D6772" i="106" s="1"/>
  <c r="B2880" i="106"/>
  <c r="D2880" i="106" s="1"/>
  <c r="B6770" i="106"/>
  <c r="D6770" i="106" s="1"/>
  <c r="B4358" i="106"/>
  <c r="D4358" i="106" s="1"/>
  <c r="F169" i="34"/>
  <c r="B7874" i="106" s="1"/>
  <c r="D7874" i="106" s="1"/>
  <c r="B6662" i="106"/>
  <c r="D6662" i="106" s="1"/>
  <c r="B164" i="106"/>
  <c r="D164" i="106" s="1"/>
  <c r="B3236" i="106"/>
  <c r="D3236" i="106" s="1"/>
  <c r="B7140" i="106"/>
  <c r="D7140" i="106" s="1"/>
  <c r="B325" i="106"/>
  <c r="D325" i="106" s="1"/>
  <c r="B944" i="106"/>
  <c r="D944" i="106" s="1"/>
  <c r="B6726" i="106"/>
  <c r="D6726" i="106" s="1"/>
  <c r="J169" i="5"/>
  <c r="B6396" i="106" s="1"/>
  <c r="D6396" i="106" s="1"/>
  <c r="B6373" i="106"/>
  <c r="D6373" i="106" s="1"/>
  <c r="K348" i="29"/>
  <c r="B3617" i="106"/>
  <c r="D3617" i="106" s="1"/>
  <c r="C350" i="29"/>
  <c r="B3377" i="106"/>
  <c r="D3377" i="106" s="1"/>
  <c r="B6189" i="106"/>
  <c r="D6189" i="106" s="1"/>
  <c r="B6617" i="106"/>
  <c r="D6617" i="106" s="1"/>
  <c r="F252" i="5"/>
  <c r="B6836" i="106" s="1"/>
  <c r="D6836" i="106" s="1"/>
  <c r="B6846" i="106"/>
  <c r="D6846" i="106" s="1"/>
  <c r="B6710" i="106"/>
  <c r="D6710" i="106" s="1"/>
  <c r="B6349" i="106"/>
  <c r="D6349" i="106" s="1"/>
  <c r="B6868" i="106"/>
  <c r="D6868" i="106" s="1"/>
  <c r="B6627" i="106"/>
  <c r="D6627" i="106" s="1"/>
  <c r="B6972" i="106"/>
  <c r="D6972" i="106" s="1"/>
  <c r="B202" i="106"/>
  <c r="D202" i="106" s="1"/>
  <c r="B3375" i="106"/>
  <c r="D3375" i="106" s="1"/>
  <c r="B6098" i="106"/>
  <c r="D6098" i="106" s="1"/>
  <c r="B5853" i="106"/>
  <c r="D5853" i="106" s="1"/>
  <c r="B6915" i="106"/>
  <c r="D6915" i="106" s="1"/>
  <c r="F104" i="34"/>
  <c r="B7841" i="106" s="1"/>
  <c r="D7841" i="106" s="1"/>
  <c r="B4761" i="106"/>
  <c r="D4761" i="106" s="1"/>
  <c r="B6646" i="106"/>
  <c r="D6646" i="106" s="1"/>
  <c r="B2960" i="106"/>
  <c r="D2960" i="106" s="1"/>
  <c r="B6930" i="106"/>
  <c r="D6930" i="106" s="1"/>
  <c r="B7706" i="106"/>
  <c r="D7706" i="106" s="1"/>
  <c r="B1032" i="106"/>
  <c r="D1032" i="106" s="1"/>
  <c r="B6241" i="106"/>
  <c r="D6241" i="106" s="1"/>
  <c r="B6317" i="106"/>
  <c r="D6317" i="106" s="1"/>
  <c r="B6763" i="106"/>
  <c r="D6763" i="106" s="1"/>
  <c r="B5617" i="106"/>
  <c r="D5617" i="106" s="1"/>
  <c r="B6998" i="106"/>
  <c r="D6998" i="106" s="1"/>
  <c r="K94" i="29"/>
  <c r="B6999" i="106" s="1"/>
  <c r="D6999" i="106" s="1"/>
  <c r="B6379" i="106"/>
  <c r="D6379" i="106" s="1"/>
  <c r="L303" i="29"/>
  <c r="G184" i="29"/>
  <c r="B4085" i="106"/>
  <c r="D4085" i="106" s="1"/>
  <c r="B7109" i="106"/>
  <c r="D7109" i="106" s="1"/>
  <c r="C217" i="5"/>
  <c r="B5286" i="106" s="1"/>
  <c r="D5286" i="106" s="1"/>
  <c r="B5274" i="106"/>
  <c r="D5274" i="106" s="1"/>
  <c r="B5798" i="106"/>
  <c r="D5798" i="106" s="1"/>
  <c r="B783" i="106"/>
  <c r="D783" i="106" s="1"/>
  <c r="D76" i="4"/>
  <c r="B3237" i="106" s="1"/>
  <c r="D3237" i="106" s="1"/>
  <c r="B5023" i="106"/>
  <c r="D5023" i="106" s="1"/>
  <c r="B5107" i="106"/>
  <c r="D5107" i="106" s="1"/>
  <c r="F99" i="34"/>
  <c r="B4881" i="106"/>
  <c r="D4881" i="106" s="1"/>
  <c r="B6953" i="106"/>
  <c r="D6953" i="106" s="1"/>
  <c r="K302" i="29"/>
  <c r="B1558" i="106" s="1"/>
  <c r="D1558" i="106" s="1"/>
  <c r="B1522" i="106"/>
  <c r="D1522" i="106" s="1"/>
  <c r="B2956" i="106"/>
  <c r="D2956" i="106" s="1"/>
  <c r="B7044" i="106"/>
  <c r="D7044" i="106" s="1"/>
  <c r="B184" i="106"/>
  <c r="D184" i="106" s="1"/>
  <c r="F157" i="34"/>
  <c r="B6825" i="106"/>
  <c r="D6825" i="106" s="1"/>
  <c r="F34" i="3"/>
  <c r="B169" i="106" s="1"/>
  <c r="D169" i="106" s="1"/>
  <c r="B6128" i="106"/>
  <c r="D6128" i="106" s="1"/>
  <c r="K96" i="29"/>
  <c r="B7003" i="106" s="1"/>
  <c r="D7003" i="106" s="1"/>
  <c r="B7002" i="106"/>
  <c r="D7002" i="106" s="1"/>
  <c r="B3251" i="106"/>
  <c r="D3251" i="106" s="1"/>
  <c r="B6165" i="106"/>
  <c r="D6165" i="106" s="1"/>
  <c r="B4792" i="106"/>
  <c r="D4792" i="106" s="1"/>
  <c r="F122" i="34"/>
  <c r="B7855" i="106" s="1"/>
  <c r="D7855" i="106" s="1"/>
  <c r="B4382" i="106"/>
  <c r="D4382" i="106" s="1"/>
  <c r="B6163" i="106"/>
  <c r="D6163" i="106" s="1"/>
  <c r="E18" i="5"/>
  <c r="B5518" i="106" s="1"/>
  <c r="D5518" i="106" s="1"/>
  <c r="B5514" i="106"/>
  <c r="D5514" i="106" s="1"/>
  <c r="B6252" i="106"/>
  <c r="D6252" i="106" s="1"/>
  <c r="B6141" i="106"/>
  <c r="D6141" i="106" s="1"/>
  <c r="B7731" i="106"/>
  <c r="D7731" i="106" s="1"/>
  <c r="B1354" i="106"/>
  <c r="D1354" i="106" s="1"/>
  <c r="G18" i="4"/>
  <c r="B4176" i="106" s="1"/>
  <c r="D4176" i="106" s="1"/>
  <c r="B4117" i="106"/>
  <c r="D4117" i="106" s="1"/>
  <c r="B6292" i="106"/>
  <c r="D6292" i="106" s="1"/>
  <c r="B86" i="106"/>
  <c r="D86" i="106" s="1"/>
  <c r="B6679" i="106"/>
  <c r="D6679" i="106" s="1"/>
  <c r="K19" i="29"/>
  <c r="B3381" i="106" s="1"/>
  <c r="D3381" i="106" s="1"/>
  <c r="B3367" i="106"/>
  <c r="D3367" i="106" s="1"/>
  <c r="H175" i="5"/>
  <c r="B4365" i="106"/>
  <c r="D4365" i="106" s="1"/>
  <c r="B3297" i="106"/>
  <c r="D3297" i="106" s="1"/>
  <c r="B2799" i="106"/>
  <c r="D2799" i="106" s="1"/>
  <c r="B6219" i="106"/>
  <c r="D6219" i="106" s="1"/>
  <c r="K223" i="29"/>
  <c r="B1472" i="106" s="1"/>
  <c r="D1472" i="106" s="1"/>
  <c r="B1408" i="106"/>
  <c r="D1408" i="106" s="1"/>
  <c r="B5074" i="106"/>
  <c r="D5074" i="106" s="1"/>
  <c r="E76" i="4"/>
  <c r="B3276" i="106" s="1"/>
  <c r="D3276" i="106" s="1"/>
  <c r="B2817" i="106"/>
  <c r="D2817" i="106" s="1"/>
  <c r="B6095" i="106"/>
  <c r="D6095" i="106" s="1"/>
  <c r="B6847" i="106"/>
  <c r="D6847" i="106" s="1"/>
  <c r="B5391" i="106"/>
  <c r="D5391" i="106" s="1"/>
  <c r="D155" i="5"/>
  <c r="B5394" i="106" s="1"/>
  <c r="D5394" i="106" s="1"/>
  <c r="B6680" i="106"/>
  <c r="D6680" i="106" s="1"/>
  <c r="K18" i="4"/>
  <c r="B4135" i="106" s="1"/>
  <c r="D4135" i="106" s="1"/>
  <c r="B4121" i="106"/>
  <c r="D4121" i="106" s="1"/>
  <c r="B856" i="106"/>
  <c r="D856" i="106" s="1"/>
  <c r="B6181" i="106"/>
  <c r="D6181" i="106" s="1"/>
  <c r="D108" i="5"/>
  <c r="B5355" i="106" s="1"/>
  <c r="D5355" i="106" s="1"/>
  <c r="B5349" i="106"/>
  <c r="D5349" i="106" s="1"/>
  <c r="B895" i="106"/>
  <c r="D895" i="106" s="1"/>
  <c r="F42" i="29"/>
  <c r="K63" i="29"/>
  <c r="E30" i="108" s="1"/>
  <c r="B742" i="106"/>
  <c r="D742" i="106" s="1"/>
  <c r="B3533" i="106"/>
  <c r="D3533" i="106" s="1"/>
  <c r="B6950" i="106"/>
  <c r="D6950" i="106" s="1"/>
  <c r="I65" i="29"/>
  <c r="B6961" i="106" s="1"/>
  <c r="D6961" i="106" s="1"/>
  <c r="F132" i="5"/>
  <c r="B5600" i="106"/>
  <c r="D5600" i="106" s="1"/>
  <c r="B7812" i="106"/>
  <c r="D7812" i="106" s="1"/>
  <c r="B967" i="106"/>
  <c r="D967" i="106" s="1"/>
  <c r="G57" i="29"/>
  <c r="B969" i="106" s="1"/>
  <c r="D969" i="106" s="1"/>
  <c r="B3079" i="106"/>
  <c r="D3079" i="106" s="1"/>
  <c r="B6338" i="106"/>
  <c r="D6338" i="106" s="1"/>
  <c r="K224" i="29"/>
  <c r="B1409" i="106"/>
  <c r="D1409" i="106" s="1"/>
  <c r="B6682" i="106"/>
  <c r="D6682" i="106" s="1"/>
  <c r="F142" i="34"/>
  <c r="B145" i="106"/>
  <c r="D145" i="106" s="1"/>
  <c r="B6255" i="106"/>
  <c r="D6255" i="106" s="1"/>
  <c r="B6873" i="106"/>
  <c r="D6873" i="106" s="1"/>
  <c r="B6658" i="106"/>
  <c r="D6658" i="106" s="1"/>
  <c r="B6668" i="106"/>
  <c r="D6668" i="106" s="1"/>
  <c r="B500" i="106"/>
  <c r="D500" i="106" s="1"/>
  <c r="B7168" i="106"/>
  <c r="D7168" i="106" s="1"/>
  <c r="B4181" i="106"/>
  <c r="D4181" i="106" s="1"/>
  <c r="B7750" i="106"/>
  <c r="D7750" i="106" s="1"/>
  <c r="B7186" i="106"/>
  <c r="D7186" i="106" s="1"/>
  <c r="B7768" i="106"/>
  <c r="D7768" i="106" s="1"/>
  <c r="B6938" i="106"/>
  <c r="D6938" i="106" s="1"/>
  <c r="B6818" i="106"/>
  <c r="D6818" i="106" s="1"/>
  <c r="B1270" i="106"/>
  <c r="D1270" i="106" s="1"/>
  <c r="K146" i="29"/>
  <c r="B1285" i="106" s="1"/>
  <c r="D1285" i="106" s="1"/>
  <c r="B5119" i="106"/>
  <c r="D5119" i="106" s="1"/>
  <c r="F26" i="34"/>
  <c r="B5577" i="106"/>
  <c r="D5577" i="106" s="1"/>
  <c r="B6810" i="106"/>
  <c r="D6810" i="106" s="1"/>
  <c r="K148" i="29"/>
  <c r="B7050" i="106" s="1"/>
  <c r="D7050" i="106" s="1"/>
  <c r="B7049" i="106"/>
  <c r="D7049" i="106" s="1"/>
  <c r="B833" i="106"/>
  <c r="D833" i="106" s="1"/>
  <c r="B5338" i="106"/>
  <c r="D5338" i="106" s="1"/>
  <c r="F118" i="34"/>
  <c r="B7852" i="106" s="1"/>
  <c r="D7852" i="106" s="1"/>
  <c r="B4915" i="106"/>
  <c r="D4915" i="106" s="1"/>
  <c r="B756" i="106"/>
  <c r="D756" i="106" s="1"/>
  <c r="K75" i="29"/>
  <c r="B6390" i="106"/>
  <c r="D6390" i="106" s="1"/>
  <c r="B6641" i="106"/>
  <c r="D6641" i="106" s="1"/>
  <c r="B2758" i="106"/>
  <c r="D2758" i="106" s="1"/>
  <c r="B5574" i="106"/>
  <c r="D5574" i="106" s="1"/>
  <c r="F24" i="34"/>
  <c r="B880" i="106"/>
  <c r="D880" i="106" s="1"/>
  <c r="B6112" i="106"/>
  <c r="D6112" i="106" s="1"/>
  <c r="B6361" i="106"/>
  <c r="D6361" i="106" s="1"/>
  <c r="B1316" i="106"/>
  <c r="D1316" i="106" s="1"/>
  <c r="L53" i="29"/>
  <c r="L74" i="29" s="1"/>
  <c r="B7073" i="106"/>
  <c r="D7073" i="106" s="1"/>
  <c r="K216" i="29"/>
  <c r="B7259" i="106"/>
  <c r="B1013" i="106"/>
  <c r="D1013" i="106" s="1"/>
  <c r="B3551" i="106"/>
  <c r="D3551" i="106" s="1"/>
  <c r="L110" i="29"/>
  <c r="L112" i="29" s="1"/>
  <c r="B1044" i="106"/>
  <c r="D1044" i="106" s="1"/>
  <c r="B958" i="106"/>
  <c r="D958" i="106" s="1"/>
  <c r="B6293" i="106"/>
  <c r="D6293" i="106" s="1"/>
  <c r="B6340" i="106"/>
  <c r="D6340" i="106" s="1"/>
  <c r="F93" i="34"/>
  <c r="B5575" i="106"/>
  <c r="D5575" i="106" s="1"/>
  <c r="B6657" i="106"/>
  <c r="D6657" i="106" s="1"/>
  <c r="K142" i="29"/>
  <c r="B1268" i="106"/>
  <c r="D1268" i="106" s="1"/>
  <c r="H147" i="29"/>
  <c r="H149" i="29" s="1"/>
  <c r="B1272" i="106" s="1"/>
  <c r="D1272" i="106" s="1"/>
  <c r="B900" i="106"/>
  <c r="D900" i="106" s="1"/>
  <c r="B6975" i="106"/>
  <c r="D6975" i="106" s="1"/>
  <c r="B7228" i="106"/>
  <c r="D7228" i="106" s="1"/>
  <c r="B6939" i="106"/>
  <c r="D6939" i="106" s="1"/>
  <c r="B6370" i="106"/>
  <c r="D6370" i="106" s="1"/>
  <c r="B4310" i="106"/>
  <c r="D4310" i="106" s="1"/>
  <c r="B3639" i="106"/>
  <c r="D3639" i="106" s="1"/>
  <c r="B6160" i="106"/>
  <c r="D6160" i="106" s="1"/>
  <c r="B7161" i="106"/>
  <c r="D7161" i="106" s="1"/>
  <c r="B4797" i="106"/>
  <c r="D4797" i="106" s="1"/>
  <c r="B5175" i="106"/>
  <c r="D5175" i="106" s="1"/>
  <c r="C155" i="5"/>
  <c r="B6686" i="106"/>
  <c r="D6686" i="106" s="1"/>
  <c r="B72" i="106"/>
  <c r="D72" i="106" s="1"/>
  <c r="B5224" i="106"/>
  <c r="D5224" i="106" s="1"/>
  <c r="C175" i="5"/>
  <c r="B5225" i="106" s="1"/>
  <c r="D5225" i="106" s="1"/>
  <c r="B897" i="106"/>
  <c r="D897" i="106" s="1"/>
  <c r="B3228" i="106"/>
  <c r="D3228" i="106" s="1"/>
  <c r="B2721" i="106"/>
  <c r="D2721" i="106" s="1"/>
  <c r="B6378" i="106"/>
  <c r="D6378" i="106" s="1"/>
  <c r="B6082" i="106"/>
  <c r="D6082" i="106" s="1"/>
  <c r="B917" i="106"/>
  <c r="D917" i="106" s="1"/>
  <c r="B1414" i="106"/>
  <c r="D1414" i="106" s="1"/>
  <c r="K235" i="29"/>
  <c r="B1478" i="106" s="1"/>
  <c r="D1478" i="106" s="1"/>
  <c r="B7652" i="106"/>
  <c r="D7652" i="106" s="1"/>
  <c r="B6144" i="106"/>
  <c r="D6144" i="106" s="1"/>
  <c r="B6152" i="106"/>
  <c r="D6152" i="106" s="1"/>
  <c r="B7667" i="106"/>
  <c r="D7667" i="106" s="1"/>
  <c r="B7264" i="106"/>
  <c r="B951" i="106"/>
  <c r="D951" i="106" s="1"/>
  <c r="B6327" i="106"/>
  <c r="D6327" i="106" s="1"/>
  <c r="B6175" i="106"/>
  <c r="D6175" i="106" s="1"/>
  <c r="B6334" i="106"/>
  <c r="D6334" i="106" s="1"/>
  <c r="K339" i="29"/>
  <c r="B7213" i="106" s="1"/>
  <c r="D7213" i="106" s="1"/>
  <c r="B7212" i="106"/>
  <c r="D7212" i="106" s="1"/>
  <c r="B6092" i="106"/>
  <c r="D6092" i="106" s="1"/>
  <c r="B4328" i="106"/>
  <c r="D4328" i="106" s="1"/>
  <c r="K248" i="29"/>
  <c r="B7082" i="106" s="1"/>
  <c r="D7082" i="106" s="1"/>
  <c r="B7081" i="106"/>
  <c r="D7081" i="106" s="1"/>
  <c r="B7654" i="106"/>
  <c r="D7654" i="106" s="1"/>
  <c r="B5589" i="106"/>
  <c r="D5589" i="106" s="1"/>
  <c r="F114" i="5"/>
  <c r="B7185" i="106"/>
  <c r="D7185" i="106" s="1"/>
  <c r="K86" i="29"/>
  <c r="B6984" i="106" s="1"/>
  <c r="D6984" i="106" s="1"/>
  <c r="B6983" i="106"/>
  <c r="D6983" i="106" s="1"/>
  <c r="F117" i="34"/>
  <c r="B7851" i="106" s="1"/>
  <c r="D7851" i="106" s="1"/>
  <c r="B5060" i="106"/>
  <c r="D5060" i="106" s="1"/>
  <c r="B5082" i="106"/>
  <c r="D5082" i="106" s="1"/>
  <c r="B3561" i="106"/>
  <c r="D3561" i="106" s="1"/>
  <c r="L285" i="29"/>
  <c r="B2720" i="106"/>
  <c r="D2720" i="106" s="1"/>
  <c r="B3648" i="106"/>
  <c r="D3648" i="106" s="1"/>
  <c r="B6913" i="106"/>
  <c r="D6913" i="106" s="1"/>
  <c r="B3483" i="106"/>
  <c r="D3483" i="106" s="1"/>
  <c r="B4343" i="106"/>
  <c r="D4343" i="106" s="1"/>
  <c r="B5710" i="106"/>
  <c r="D5710" i="106" s="1"/>
  <c r="B6081" i="106"/>
  <c r="D6081" i="106" s="1"/>
  <c r="B7755" i="106"/>
  <c r="D7755" i="106" s="1"/>
  <c r="K44" i="4"/>
  <c r="B3584" i="106" s="1"/>
  <c r="D3584" i="106" s="1"/>
  <c r="K349" i="29"/>
  <c r="B3669" i="106" s="1"/>
  <c r="D3669" i="106" s="1"/>
  <c r="B3618" i="106"/>
  <c r="D3618" i="106" s="1"/>
  <c r="B7637" i="106"/>
  <c r="B5127" i="106"/>
  <c r="D5127" i="106" s="1"/>
  <c r="B6693" i="106"/>
  <c r="D6693" i="106" s="1"/>
  <c r="B7805" i="106"/>
  <c r="D7805" i="106" s="1"/>
  <c r="B6651" i="106"/>
  <c r="D6651" i="106" s="1"/>
  <c r="B7636" i="106"/>
  <c r="B1265" i="106"/>
  <c r="D1265" i="106" s="1"/>
  <c r="B6664" i="106"/>
  <c r="D6664" i="106" s="1"/>
  <c r="B5568" i="106"/>
  <c r="D5568" i="106" s="1"/>
  <c r="F20" i="34"/>
  <c r="K126" i="29"/>
  <c r="B1277" i="106" s="1"/>
  <c r="D1277" i="106" s="1"/>
  <c r="B1254" i="106"/>
  <c r="D1254" i="106" s="1"/>
  <c r="B7136" i="106"/>
  <c r="D7136" i="106" s="1"/>
  <c r="K321" i="29"/>
  <c r="B4795" i="106"/>
  <c r="D4795" i="106" s="1"/>
  <c r="B7671" i="106"/>
  <c r="D7671" i="106" s="1"/>
  <c r="J76" i="4"/>
  <c r="B6261" i="106" s="1"/>
  <c r="D6261" i="106" s="1"/>
  <c r="B6239" i="106"/>
  <c r="D6239" i="106" s="1"/>
  <c r="B6702" i="106"/>
  <c r="D6702" i="106" s="1"/>
  <c r="B6107" i="106"/>
  <c r="D6107" i="106" s="1"/>
  <c r="B6392" i="106"/>
  <c r="D6392" i="106" s="1"/>
  <c r="B6695" i="106"/>
  <c r="D6695" i="106" s="1"/>
  <c r="B6393" i="106"/>
  <c r="D6393" i="106" s="1"/>
  <c r="B7683" i="106"/>
  <c r="D7683" i="106" s="1"/>
  <c r="L293" i="29"/>
  <c r="B6714" i="106"/>
  <c r="D6714" i="106" s="1"/>
  <c r="F350" i="29"/>
  <c r="F352" i="29" s="1"/>
  <c r="B3638" i="106"/>
  <c r="D3638" i="106" s="1"/>
  <c r="B4375" i="106"/>
  <c r="D4375" i="106" s="1"/>
  <c r="B6697" i="106"/>
  <c r="D6697" i="106" s="1"/>
  <c r="B5516" i="106"/>
  <c r="D5516" i="106" s="1"/>
  <c r="K22" i="29"/>
  <c r="B6880" i="106"/>
  <c r="D6880" i="106" s="1"/>
  <c r="H51" i="4"/>
  <c r="B3170" i="106" s="1"/>
  <c r="D3170" i="106" s="1"/>
  <c r="B3161" i="106"/>
  <c r="D3161" i="106" s="1"/>
  <c r="B6406" i="106"/>
  <c r="D6406" i="106" s="1"/>
  <c r="B1008" i="106"/>
  <c r="D1008" i="106" s="1"/>
  <c r="B7150" i="106"/>
  <c r="D7150" i="106" s="1"/>
  <c r="B3490" i="106"/>
  <c r="D3490" i="106" s="1"/>
  <c r="B6706" i="106"/>
  <c r="D6706" i="106" s="1"/>
  <c r="B7682" i="106"/>
  <c r="D7682" i="106" s="1"/>
  <c r="D270" i="29"/>
  <c r="B1436" i="106" s="1"/>
  <c r="D1436" i="106" s="1"/>
  <c r="K263" i="29"/>
  <c r="B1428" i="106"/>
  <c r="D1428" i="106" s="1"/>
  <c r="B814" i="106"/>
  <c r="D814" i="106" s="1"/>
  <c r="B920" i="106"/>
  <c r="D920" i="106" s="1"/>
  <c r="F72" i="29"/>
  <c r="B927" i="106" s="1"/>
  <c r="D927" i="106" s="1"/>
  <c r="B5989" i="106"/>
  <c r="D5989" i="106" s="1"/>
  <c r="B130" i="106"/>
  <c r="D130" i="106" s="1"/>
  <c r="B6875" i="106"/>
  <c r="D6875" i="106" s="1"/>
  <c r="B979" i="106"/>
  <c r="D979" i="106" s="1"/>
  <c r="B7781" i="106"/>
  <c r="D7781" i="106" s="1"/>
  <c r="K159" i="29"/>
  <c r="B7782" i="106" s="1"/>
  <c r="D7782" i="106" s="1"/>
  <c r="B6234" i="106"/>
  <c r="D6234" i="106" s="1"/>
  <c r="B7261" i="106"/>
  <c r="B6342" i="106"/>
  <c r="D6342" i="106" s="1"/>
  <c r="B3078" i="106"/>
  <c r="D3078" i="106" s="1"/>
  <c r="B7250" i="106"/>
  <c r="D7250" i="106" s="1"/>
  <c r="B5331" i="106"/>
  <c r="D5331" i="106" s="1"/>
  <c r="B6731" i="106"/>
  <c r="D6731" i="106" s="1"/>
  <c r="B3646" i="106"/>
  <c r="D3646" i="106" s="1"/>
  <c r="B6158" i="106"/>
  <c r="D6158" i="106" s="1"/>
  <c r="B6912" i="106"/>
  <c r="D6912" i="106" s="1"/>
  <c r="B5919" i="106"/>
  <c r="D5919" i="106" s="1"/>
  <c r="I18" i="5"/>
  <c r="B5923" i="106" s="1"/>
  <c r="D5923" i="106" s="1"/>
  <c r="B5664" i="106"/>
  <c r="D5664" i="106" s="1"/>
  <c r="F204" i="5"/>
  <c r="B5677" i="106" s="1"/>
  <c r="D5677" i="106" s="1"/>
  <c r="K249" i="29"/>
  <c r="B7084" i="106" s="1"/>
  <c r="D7084" i="106" s="1"/>
  <c r="B7083" i="106"/>
  <c r="D7083" i="106" s="1"/>
  <c r="B6629" i="106"/>
  <c r="D6629" i="106" s="1"/>
  <c r="B6852" i="106"/>
  <c r="D6852" i="106" s="1"/>
  <c r="B5110" i="106"/>
  <c r="D5110" i="106" s="1"/>
  <c r="F100" i="34"/>
  <c r="B4393" i="106"/>
  <c r="D4393" i="106" s="1"/>
  <c r="B4865" i="106"/>
  <c r="D4865" i="106" s="1"/>
  <c r="B7102" i="106"/>
  <c r="D7102" i="106" s="1"/>
  <c r="B7233" i="106"/>
  <c r="D7233" i="106" s="1"/>
  <c r="B7701" i="106"/>
  <c r="D7701" i="106" s="1"/>
  <c r="B3578" i="106"/>
  <c r="D3578" i="106" s="1"/>
  <c r="B5073" i="106"/>
  <c r="D5073" i="106" s="1"/>
  <c r="B6237" i="106"/>
  <c r="D6237" i="106" s="1"/>
  <c r="B5393" i="106"/>
  <c r="D5393" i="106" s="1"/>
  <c r="C188" i="5"/>
  <c r="B5233" i="106"/>
  <c r="D5233" i="106" s="1"/>
  <c r="K13" i="29"/>
  <c r="B1105" i="106" s="1"/>
  <c r="D1105" i="106" s="1"/>
  <c r="B717" i="106"/>
  <c r="D717" i="106" s="1"/>
  <c r="C221" i="5"/>
  <c r="B5304" i="106" s="1"/>
  <c r="D5304" i="106" s="1"/>
  <c r="B5301" i="106"/>
  <c r="D5301" i="106" s="1"/>
  <c r="B4339" i="106"/>
  <c r="D4339" i="106" s="1"/>
  <c r="B6845" i="106"/>
  <c r="D6845" i="106" s="1"/>
  <c r="J33" i="29"/>
  <c r="B6903" i="106" s="1"/>
  <c r="D6903" i="106" s="1"/>
  <c r="B6086" i="106"/>
  <c r="D6086" i="106" s="1"/>
  <c r="B4916" i="106"/>
  <c r="D4916" i="106" s="1"/>
  <c r="B784" i="106"/>
  <c r="D784" i="106" s="1"/>
  <c r="B3531" i="106"/>
  <c r="D3531" i="106" s="1"/>
  <c r="B4335" i="106"/>
  <c r="D4335" i="106" s="1"/>
  <c r="B7238" i="106"/>
  <c r="D7238" i="106" s="1"/>
  <c r="K361" i="29"/>
  <c r="B7239" i="106" s="1"/>
  <c r="D7239" i="106" s="1"/>
  <c r="B5907" i="106"/>
  <c r="D5907" i="106" s="1"/>
  <c r="H181" i="5"/>
  <c r="B5908" i="106" s="1"/>
  <c r="D5908" i="106" s="1"/>
  <c r="B6328" i="106"/>
  <c r="D6328" i="106" s="1"/>
  <c r="B6979" i="106"/>
  <c r="D6979" i="106" s="1"/>
  <c r="B1439" i="106"/>
  <c r="D1439" i="106" s="1"/>
  <c r="K274" i="29"/>
  <c r="B1503" i="106" s="1"/>
  <c r="D1503" i="106" s="1"/>
  <c r="B6616" i="106"/>
  <c r="D6616" i="106" s="1"/>
  <c r="E252" i="5"/>
  <c r="K120" i="29"/>
  <c r="B4080" i="106" s="1"/>
  <c r="D4080" i="106" s="1"/>
  <c r="B4074" i="106"/>
  <c r="D4074" i="106" s="1"/>
  <c r="C129" i="29"/>
  <c r="L261" i="29"/>
  <c r="B7095" i="106"/>
  <c r="D7095" i="106" s="1"/>
  <c r="K255" i="29"/>
  <c r="B7096" i="106" s="1"/>
  <c r="D7096" i="106" s="1"/>
  <c r="L362" i="29"/>
  <c r="L365" i="29" s="1"/>
  <c r="K26" i="29"/>
  <c r="B6888" i="106"/>
  <c r="D6888" i="106" s="1"/>
  <c r="B6294" i="106"/>
  <c r="D6294" i="106" s="1"/>
  <c r="B6741" i="106"/>
  <c r="D6741" i="106" s="1"/>
  <c r="B7783" i="106"/>
  <c r="D7783" i="106" s="1"/>
  <c r="K282" i="29"/>
  <c r="D285" i="29"/>
  <c r="B3722" i="106" s="1"/>
  <c r="D3722" i="106" s="1"/>
  <c r="B6701" i="106"/>
  <c r="D6701" i="106" s="1"/>
  <c r="B6685" i="106"/>
  <c r="D6685" i="106" s="1"/>
  <c r="B806" i="106"/>
  <c r="D806" i="106" s="1"/>
  <c r="B5344" i="106"/>
  <c r="D5344" i="106" s="1"/>
  <c r="B6164" i="106"/>
  <c r="D6164" i="106" s="1"/>
  <c r="B5560" i="106"/>
  <c r="D5560" i="106" s="1"/>
  <c r="B7147" i="106"/>
  <c r="D7147" i="106" s="1"/>
  <c r="B2802" i="106"/>
  <c r="D2802" i="106" s="1"/>
  <c r="B5705" i="106"/>
  <c r="D5705" i="106" s="1"/>
  <c r="B3624" i="106"/>
  <c r="D3624" i="106" s="1"/>
  <c r="D350" i="29"/>
  <c r="B3626" i="106" s="1"/>
  <c r="D3626" i="106" s="1"/>
  <c r="B890" i="106"/>
  <c r="D890" i="106" s="1"/>
  <c r="L47" i="29"/>
  <c r="B6251" i="106"/>
  <c r="D6251" i="106" s="1"/>
  <c r="B6121" i="106"/>
  <c r="D6121" i="106" s="1"/>
  <c r="B6910" i="106"/>
  <c r="D6910" i="106" s="1"/>
  <c r="B4084" i="106"/>
  <c r="D4084" i="106" s="1"/>
  <c r="F184" i="29"/>
  <c r="B4420" i="106"/>
  <c r="D4420" i="106" s="1"/>
  <c r="B6722" i="106"/>
  <c r="D6722" i="106" s="1"/>
  <c r="K138" i="29"/>
  <c r="B2094" i="106" s="1"/>
  <c r="D2094" i="106" s="1"/>
  <c r="B2092" i="106"/>
  <c r="D2092" i="106" s="1"/>
  <c r="B6694" i="106"/>
  <c r="D6694" i="106" s="1"/>
  <c r="G34" i="3"/>
  <c r="B188" i="106" s="1"/>
  <c r="D188" i="106" s="1"/>
  <c r="B6129" i="106"/>
  <c r="D6129" i="106" s="1"/>
  <c r="B7133" i="106"/>
  <c r="D7133" i="106" s="1"/>
  <c r="B7787" i="106"/>
  <c r="D7787" i="106" s="1"/>
  <c r="K333" i="29"/>
  <c r="B7788" i="106" s="1"/>
  <c r="D7788" i="106" s="1"/>
  <c r="B928" i="106"/>
  <c r="D928" i="106" s="1"/>
  <c r="C34" i="3"/>
  <c r="B91" i="106" s="1"/>
  <c r="D91" i="106" s="1"/>
  <c r="B6125" i="106"/>
  <c r="D6125" i="106" s="1"/>
  <c r="B6398" i="106"/>
  <c r="D6398" i="106" s="1"/>
  <c r="J175" i="5"/>
  <c r="B907" i="106"/>
  <c r="D907" i="106" s="1"/>
  <c r="B4878" i="106"/>
  <c r="D4878" i="106" s="1"/>
  <c r="L137" i="29"/>
  <c r="L139" i="29" s="1"/>
  <c r="B909" i="106"/>
  <c r="D909" i="106" s="1"/>
  <c r="F57" i="29"/>
  <c r="B911" i="106" s="1"/>
  <c r="D911" i="106" s="1"/>
  <c r="L257" i="29"/>
  <c r="B6089" i="106"/>
  <c r="D6089" i="106" s="1"/>
  <c r="B4805" i="106"/>
  <c r="D4805" i="106" s="1"/>
  <c r="B6190" i="106"/>
  <c r="D6190" i="106" s="1"/>
  <c r="B5068" i="106"/>
  <c r="D5068" i="106" s="1"/>
  <c r="B1525" i="106"/>
  <c r="D1525" i="106" s="1"/>
  <c r="D303" i="29"/>
  <c r="B1420" i="106"/>
  <c r="D1420" i="106" s="1"/>
  <c r="K242" i="29"/>
  <c r="B1484" i="106" s="1"/>
  <c r="D1484" i="106" s="1"/>
  <c r="B855" i="106"/>
  <c r="D855" i="106" s="1"/>
  <c r="B6762" i="106"/>
  <c r="D6762" i="106" s="1"/>
  <c r="B3427" i="106"/>
  <c r="D3427" i="106" s="1"/>
  <c r="I13" i="3"/>
  <c r="B2888" i="106" s="1"/>
  <c r="D2888" i="106" s="1"/>
  <c r="D40" i="36"/>
  <c r="B7146" i="106"/>
  <c r="D7146" i="106" s="1"/>
  <c r="L357" i="29"/>
  <c r="B1313" i="106"/>
  <c r="D1313" i="106" s="1"/>
  <c r="K167" i="29"/>
  <c r="B1327" i="106" s="1"/>
  <c r="D1327" i="106" s="1"/>
  <c r="B5124" i="106"/>
  <c r="D5124" i="106" s="1"/>
  <c r="D72" i="29"/>
  <c r="B811" i="106" s="1"/>
  <c r="D811" i="106" s="1"/>
  <c r="B804" i="106"/>
  <c r="D804" i="106" s="1"/>
  <c r="B2808" i="106"/>
  <c r="D2808" i="106" s="1"/>
  <c r="K145" i="29"/>
  <c r="B2811" i="106" s="1"/>
  <c r="D2811" i="106" s="1"/>
  <c r="B1534" i="106"/>
  <c r="D1534" i="106" s="1"/>
  <c r="K124" i="29"/>
  <c r="B1276" i="106" s="1"/>
  <c r="D1276" i="106" s="1"/>
  <c r="B1221" i="106"/>
  <c r="D1221" i="106" s="1"/>
  <c r="E33" i="29"/>
  <c r="B836" i="106" s="1"/>
  <c r="D836" i="106" s="1"/>
  <c r="B821" i="106"/>
  <c r="D821" i="106" s="1"/>
  <c r="B898" i="106"/>
  <c r="D898" i="106" s="1"/>
  <c r="B7268" i="106"/>
  <c r="B6296" i="106"/>
  <c r="D6296" i="106" s="1"/>
  <c r="B5858" i="106"/>
  <c r="D5858" i="106" s="1"/>
  <c r="B7178" i="106"/>
  <c r="D7178" i="106" s="1"/>
  <c r="B3080" i="106"/>
  <c r="D3080" i="106" s="1"/>
  <c r="B6746" i="106"/>
  <c r="D6746" i="106" s="1"/>
  <c r="B6161" i="106"/>
  <c r="D6161" i="106" s="1"/>
  <c r="B6364" i="106"/>
  <c r="D6364" i="106" s="1"/>
  <c r="B5063" i="106"/>
  <c r="D5063" i="106" s="1"/>
  <c r="B14" i="7"/>
  <c r="H5" i="12"/>
  <c r="B6376" i="106"/>
  <c r="D6376" i="106" s="1"/>
  <c r="B7247" i="106"/>
  <c r="D7247" i="106" s="1"/>
  <c r="B7253" i="106"/>
  <c r="D7253" i="106" s="1"/>
  <c r="B6718" i="106"/>
  <c r="D6718" i="106" s="1"/>
  <c r="B4077" i="106"/>
  <c r="D4077" i="106" s="1"/>
  <c r="K227" i="29"/>
  <c r="B1466" i="106" s="1"/>
  <c r="D1466" i="106" s="1"/>
  <c r="B1402" i="106"/>
  <c r="D1402" i="106" s="1"/>
  <c r="B5785" i="106"/>
  <c r="D5785" i="106" s="1"/>
  <c r="G188" i="5"/>
  <c r="B1232" i="106"/>
  <c r="D1232" i="106" s="1"/>
  <c r="B6649" i="106"/>
  <c r="D6649" i="106" s="1"/>
  <c r="B3000" i="106"/>
  <c r="D3000" i="106" s="1"/>
  <c r="B6968" i="106"/>
  <c r="D6968" i="106" s="1"/>
  <c r="K51" i="29"/>
  <c r="B2718" i="106"/>
  <c r="D2718" i="106" s="1"/>
  <c r="B974" i="106"/>
  <c r="D974" i="106" s="1"/>
  <c r="B7197" i="106"/>
  <c r="D7197" i="106" s="1"/>
  <c r="B7672" i="106"/>
  <c r="D7672" i="106" s="1"/>
  <c r="F88" i="34"/>
  <c r="B6312" i="106"/>
  <c r="D6312" i="106" s="1"/>
  <c r="F303" i="29"/>
  <c r="B1537" i="106"/>
  <c r="D1537" i="106" s="1"/>
  <c r="B6157" i="106"/>
  <c r="D6157" i="106" s="1"/>
  <c r="B6876" i="106"/>
  <c r="D6876" i="106" s="1"/>
  <c r="K20" i="29"/>
  <c r="K135" i="29"/>
  <c r="B2987" i="106" s="1"/>
  <c r="D2987" i="106" s="1"/>
  <c r="B4200" i="106"/>
  <c r="D4200" i="106" s="1"/>
  <c r="B4813" i="106"/>
  <c r="D4813" i="106" s="1"/>
  <c r="B7046" i="106"/>
  <c r="D7046" i="106" s="1"/>
  <c r="B6689" i="106"/>
  <c r="D6689" i="106" s="1"/>
  <c r="K203" i="29"/>
  <c r="B1385" i="106" s="1"/>
  <c r="D1385" i="106" s="1"/>
  <c r="B1373" i="106"/>
  <c r="D1373" i="106" s="1"/>
  <c r="B6102" i="106"/>
  <c r="D6102" i="106" s="1"/>
  <c r="B126" i="106"/>
  <c r="D126" i="106" s="1"/>
  <c r="B7035" i="106"/>
  <c r="D7035" i="106" s="1"/>
  <c r="B4394" i="106"/>
  <c r="D4394" i="106" s="1"/>
  <c r="B7804" i="106"/>
  <c r="D7804" i="106" s="1"/>
  <c r="B7151" i="106"/>
  <c r="D7151" i="106" s="1"/>
  <c r="B6365" i="106"/>
  <c r="D6365" i="106" s="1"/>
  <c r="B6372" i="106"/>
  <c r="D6372" i="106" s="1"/>
  <c r="I169" i="5"/>
  <c r="I170" i="5" s="1"/>
  <c r="B5494" i="106"/>
  <c r="D5494" i="106" s="1"/>
  <c r="F33" i="34"/>
  <c r="B7813" i="106"/>
  <c r="D7813" i="106" s="1"/>
  <c r="F168" i="34"/>
  <c r="K351" i="29"/>
  <c r="B3671" i="106" s="1"/>
  <c r="D3671" i="106" s="1"/>
  <c r="B3620" i="106"/>
  <c r="D3620" i="106" s="1"/>
  <c r="B6257" i="106"/>
  <c r="D6257" i="106" s="1"/>
  <c r="L168" i="29"/>
  <c r="L172" i="29" s="1"/>
  <c r="L174" i="29" s="1"/>
  <c r="B4210" i="106"/>
  <c r="D4210" i="106" s="1"/>
  <c r="K206" i="29"/>
  <c r="H33" i="29"/>
  <c r="B1010" i="106" s="1"/>
  <c r="D1010" i="106" s="1"/>
  <c r="B995" i="106"/>
  <c r="D995" i="106" s="1"/>
  <c r="B5142" i="106"/>
  <c r="D5142" i="106" s="1"/>
  <c r="B970" i="106"/>
  <c r="D970" i="106" s="1"/>
  <c r="G65" i="29"/>
  <c r="B977" i="106" s="1"/>
  <c r="D977" i="106" s="1"/>
  <c r="B5359" i="106"/>
  <c r="D5359" i="106" s="1"/>
  <c r="B6150" i="106"/>
  <c r="D6150" i="106" s="1"/>
  <c r="B4419" i="106"/>
  <c r="D4419" i="106" s="1"/>
  <c r="B6717" i="106"/>
  <c r="D6717" i="106" s="1"/>
  <c r="B6750" i="106"/>
  <c r="D6750" i="106" s="1"/>
  <c r="B3631" i="106"/>
  <c r="D3631" i="106" s="1"/>
  <c r="E350" i="29"/>
  <c r="B6639" i="106"/>
  <c r="D6639" i="106" s="1"/>
  <c r="B4421" i="106"/>
  <c r="D4421" i="106" s="1"/>
  <c r="B1371" i="106"/>
  <c r="D1371" i="106" s="1"/>
  <c r="H204" i="29"/>
  <c r="K199" i="29"/>
  <c r="L184" i="29"/>
  <c r="G175" i="5"/>
  <c r="B5780" i="106" s="1"/>
  <c r="D5780" i="106" s="1"/>
  <c r="B5779" i="106"/>
  <c r="D5779" i="106" s="1"/>
  <c r="B4922" i="106"/>
  <c r="D4922" i="106" s="1"/>
  <c r="B6904" i="106"/>
  <c r="D6904" i="106" s="1"/>
  <c r="I42" i="29"/>
  <c r="B4407" i="106"/>
  <c r="D4407" i="106" s="1"/>
  <c r="B6797" i="106"/>
  <c r="D6797" i="106" s="1"/>
  <c r="B1016" i="106"/>
  <c r="D1016" i="106" s="1"/>
  <c r="K356" i="29"/>
  <c r="B3673" i="106" s="1"/>
  <c r="D3673" i="106" s="1"/>
  <c r="B7236" i="106"/>
  <c r="D7236" i="106" s="1"/>
  <c r="B6728" i="106"/>
  <c r="D6728" i="106" s="1"/>
  <c r="B6615" i="106"/>
  <c r="D6615" i="106" s="1"/>
  <c r="D252" i="5"/>
  <c r="B6834" i="106" s="1"/>
  <c r="D6834" i="106" s="1"/>
  <c r="B6755" i="106"/>
  <c r="D6755" i="106" s="1"/>
  <c r="B7664" i="106"/>
  <c r="D7664" i="106" s="1"/>
  <c r="K56" i="29"/>
  <c r="K57" i="29" s="1"/>
  <c r="B736" i="106"/>
  <c r="D736" i="106" s="1"/>
  <c r="B5027" i="106"/>
  <c r="D5027" i="106" s="1"/>
  <c r="L100" i="29"/>
  <c r="B7246" i="106"/>
  <c r="D7246" i="106" s="1"/>
  <c r="K288" i="29"/>
  <c r="H293" i="29"/>
  <c r="B1449" i="106"/>
  <c r="D1449" i="106" s="1"/>
  <c r="B5606" i="106"/>
  <c r="D5606" i="106" s="1"/>
  <c r="B5117" i="106"/>
  <c r="D5117" i="106" s="1"/>
  <c r="B6377" i="106"/>
  <c r="D6377" i="106" s="1"/>
  <c r="B6699" i="106"/>
  <c r="D6699" i="106" s="1"/>
  <c r="B953" i="106"/>
  <c r="D953" i="106" s="1"/>
  <c r="G42" i="29"/>
  <c r="B986" i="106"/>
  <c r="D986" i="106" s="1"/>
  <c r="B7138" i="106"/>
  <c r="D7138" i="106" s="1"/>
  <c r="B7118" i="106"/>
  <c r="D7118" i="106" s="1"/>
  <c r="K319" i="29"/>
  <c r="C330" i="29"/>
  <c r="B5335" i="106"/>
  <c r="D5335" i="106" s="1"/>
  <c r="D18" i="5"/>
  <c r="B5339" i="106" s="1"/>
  <c r="D5339" i="106" s="1"/>
  <c r="B104" i="106"/>
  <c r="D104" i="106" s="1"/>
  <c r="B1531" i="106"/>
  <c r="D1531" i="106" s="1"/>
  <c r="E303" i="29"/>
  <c r="L243" i="29"/>
  <c r="K69" i="29"/>
  <c r="B748" i="106"/>
  <c r="D748" i="106" s="1"/>
  <c r="B7191" i="106"/>
  <c r="D7191" i="106" s="1"/>
  <c r="F32" i="34"/>
  <c r="B7825" i="106" s="1"/>
  <c r="D7825" i="106" s="1"/>
  <c r="B5459" i="106"/>
  <c r="D5459" i="106" s="1"/>
  <c r="B620" i="106"/>
  <c r="D620" i="106" s="1"/>
  <c r="B805" i="106"/>
  <c r="D805" i="106" s="1"/>
  <c r="B7809" i="106"/>
  <c r="D7809" i="106" s="1"/>
  <c r="F167" i="34"/>
  <c r="K246" i="29"/>
  <c r="B1487" i="106" s="1"/>
  <c r="D1487" i="106" s="1"/>
  <c r="B1423" i="106"/>
  <c r="D1423" i="106" s="1"/>
  <c r="B6740" i="106"/>
  <c r="D6740" i="106" s="1"/>
  <c r="B6119" i="106"/>
  <c r="D6119" i="106" s="1"/>
  <c r="B6348" i="106"/>
  <c r="D6348" i="106" s="1"/>
  <c r="K219" i="29"/>
  <c r="B3065" i="106" s="1"/>
  <c r="D3065" i="106" s="1"/>
  <c r="B3064" i="106"/>
  <c r="D3064" i="106" s="1"/>
  <c r="B6634" i="106"/>
  <c r="D6634" i="106" s="1"/>
  <c r="F136" i="34"/>
  <c r="B6806" i="106"/>
  <c r="D6806" i="106" s="1"/>
  <c r="B712" i="106"/>
  <c r="D712" i="106" s="1"/>
  <c r="K18" i="29"/>
  <c r="B1100" i="106" s="1"/>
  <c r="D1100" i="106" s="1"/>
  <c r="B7175" i="106"/>
  <c r="D7175" i="106" s="1"/>
  <c r="B6808" i="106"/>
  <c r="D6808" i="106" s="1"/>
  <c r="B7149" i="106"/>
  <c r="D7149" i="106" s="1"/>
  <c r="F153" i="34"/>
  <c r="B6793" i="106"/>
  <c r="D6793" i="106" s="1"/>
  <c r="B5231" i="106"/>
  <c r="D5231" i="106" s="1"/>
  <c r="B6295" i="106"/>
  <c r="D6295" i="106" s="1"/>
  <c r="F94" i="34"/>
  <c r="B7764" i="106"/>
  <c r="D7764" i="106" s="1"/>
  <c r="B5122" i="106"/>
  <c r="D5122" i="106" s="1"/>
  <c r="C114" i="5"/>
  <c r="B5125" i="106" s="1"/>
  <c r="D5125" i="106" s="1"/>
  <c r="B5749" i="106"/>
  <c r="D5749" i="106" s="1"/>
  <c r="G141" i="5"/>
  <c r="B7039" i="106"/>
  <c r="D7039" i="106" s="1"/>
  <c r="D257" i="29"/>
  <c r="B1424" i="106" s="1"/>
  <c r="D1424" i="106" s="1"/>
  <c r="K245" i="29"/>
  <c r="B1422" i="106"/>
  <c r="D1422" i="106" s="1"/>
  <c r="B7803" i="106"/>
  <c r="D7803" i="106" s="1"/>
  <c r="B6816" i="106"/>
  <c r="D6816" i="106" s="1"/>
  <c r="B7166" i="106"/>
  <c r="D7166" i="106" s="1"/>
  <c r="B801" i="106"/>
  <c r="D801" i="106" s="1"/>
  <c r="B1235" i="106"/>
  <c r="D1235" i="106" s="1"/>
  <c r="E127" i="29"/>
  <c r="B1239" i="106" s="1"/>
  <c r="D1239" i="106" s="1"/>
  <c r="B6090" i="106"/>
  <c r="D6090" i="106" s="1"/>
  <c r="B108" i="106"/>
  <c r="D108" i="106" s="1"/>
  <c r="B7036" i="106"/>
  <c r="D7036" i="106" s="1"/>
  <c r="K280" i="29"/>
  <c r="G14" i="4" s="1"/>
  <c r="B2609" i="106" s="1"/>
  <c r="D2609" i="106" s="1"/>
  <c r="B1447" i="106"/>
  <c r="D1447" i="106" s="1"/>
  <c r="B1227" i="106"/>
  <c r="D1227" i="106" s="1"/>
  <c r="D127" i="29"/>
  <c r="B1231" i="106" s="1"/>
  <c r="D1231" i="106" s="1"/>
  <c r="K222" i="29"/>
  <c r="B1471" i="106" s="1"/>
  <c r="D1471" i="106" s="1"/>
  <c r="B1407" i="106"/>
  <c r="D1407" i="106" s="1"/>
  <c r="B6826" i="106"/>
  <c r="D6826" i="106" s="1"/>
  <c r="B7031" i="106"/>
  <c r="D7031" i="106" s="1"/>
  <c r="B4381" i="106"/>
  <c r="D4381" i="106" s="1"/>
  <c r="B5790" i="106"/>
  <c r="D5790" i="106" s="1"/>
  <c r="G204" i="5"/>
  <c r="B5803" i="106" s="1"/>
  <c r="D5803" i="106" s="1"/>
  <c r="B5555" i="106"/>
  <c r="D5555" i="106" s="1"/>
  <c r="B6783" i="106"/>
  <c r="D6783" i="106" s="1"/>
  <c r="B6791" i="106"/>
  <c r="D6791" i="106" s="1"/>
  <c r="B2989" i="106"/>
  <c r="D2989" i="106" s="1"/>
  <c r="K188" i="29"/>
  <c r="E194" i="29"/>
  <c r="B6667" i="106"/>
  <c r="D6667" i="106" s="1"/>
  <c r="B3316" i="106"/>
  <c r="D3316" i="106" s="1"/>
  <c r="B6736" i="106"/>
  <c r="D6736" i="106" s="1"/>
  <c r="B5093" i="106"/>
  <c r="D5093" i="106" s="1"/>
  <c r="B3493" i="106"/>
  <c r="D3493" i="106" s="1"/>
  <c r="E39" i="4"/>
  <c r="B6287" i="106" s="1"/>
  <c r="D6287" i="106" s="1"/>
  <c r="B6246" i="106"/>
  <c r="D6246" i="106" s="1"/>
  <c r="B5485" i="106"/>
  <c r="D5485" i="106" s="1"/>
  <c r="D221" i="5"/>
  <c r="B5488" i="106" s="1"/>
  <c r="D5488" i="106" s="1"/>
  <c r="B7653" i="106"/>
  <c r="D7653" i="106" s="1"/>
  <c r="B6381" i="106"/>
  <c r="D6381" i="106" s="1"/>
  <c r="B6084" i="106"/>
  <c r="D6084" i="106" s="1"/>
  <c r="B7688" i="106"/>
  <c r="D7688" i="106" s="1"/>
  <c r="K328" i="29"/>
  <c r="B800" i="106"/>
  <c r="D800" i="106" s="1"/>
  <c r="B1552" i="106"/>
  <c r="D1552" i="106" s="1"/>
  <c r="B962" i="106"/>
  <c r="D962" i="106" s="1"/>
  <c r="K128" i="29"/>
  <c r="B1280" i="106" s="1"/>
  <c r="D1280" i="106" s="1"/>
  <c r="B1224" i="106"/>
  <c r="D1224" i="106" s="1"/>
  <c r="B6727" i="106"/>
  <c r="D6727" i="106" s="1"/>
  <c r="K7" i="29"/>
  <c r="B7177" i="106"/>
  <c r="D7177" i="106" s="1"/>
  <c r="B6648" i="106"/>
  <c r="D6648" i="106" s="1"/>
  <c r="B6094" i="106"/>
  <c r="D6094" i="106" s="1"/>
  <c r="B117" i="106"/>
  <c r="D117" i="106" s="1"/>
  <c r="B7695" i="106"/>
  <c r="D7695" i="106" s="1"/>
  <c r="B7093" i="106"/>
  <c r="D7093" i="106" s="1"/>
  <c r="K254" i="29"/>
  <c r="B7094" i="106" s="1"/>
  <c r="D7094" i="106" s="1"/>
  <c r="B6760" i="106"/>
  <c r="D6760" i="106" s="1"/>
  <c r="B6851" i="106"/>
  <c r="D6851" i="106" s="1"/>
  <c r="B7884" i="106"/>
  <c r="D7884" i="106" s="1"/>
  <c r="D65" i="29"/>
  <c r="B803" i="106" s="1"/>
  <c r="D803" i="106" s="1"/>
  <c r="B796" i="106"/>
  <c r="D796" i="106" s="1"/>
  <c r="E38" i="4"/>
  <c r="B6286" i="106" s="1"/>
  <c r="D6286" i="106" s="1"/>
  <c r="B6243" i="106"/>
  <c r="D6243" i="106" s="1"/>
  <c r="B6155" i="106"/>
  <c r="D6155" i="106" s="1"/>
  <c r="B6923" i="106"/>
  <c r="D6923" i="106" s="1"/>
  <c r="B1262" i="106"/>
  <c r="D1262" i="106" s="1"/>
  <c r="B7014" i="106"/>
  <c r="D7014" i="106" s="1"/>
  <c r="B6705" i="106"/>
  <c r="D6705" i="106" s="1"/>
  <c r="B6369" i="106"/>
  <c r="D6369" i="106" s="1"/>
  <c r="B7043" i="106"/>
  <c r="D7043" i="106" s="1"/>
  <c r="B5591" i="106"/>
  <c r="D5591" i="106" s="1"/>
  <c r="B6258" i="106"/>
  <c r="D6258" i="106" s="1"/>
  <c r="B858" i="106"/>
  <c r="D858" i="106" s="1"/>
  <c r="B5133" i="106"/>
  <c r="D5133" i="106" s="1"/>
  <c r="C132" i="5"/>
  <c r="B1041" i="106"/>
  <c r="D1041" i="106" s="1"/>
  <c r="B6934" i="106"/>
  <c r="D6934" i="106" s="1"/>
  <c r="B6687" i="106"/>
  <c r="D6687" i="106" s="1"/>
  <c r="K164" i="29"/>
  <c r="B1325" i="106" s="1"/>
  <c r="D1325" i="106" s="1"/>
  <c r="B1311" i="106"/>
  <c r="D1311" i="106" s="1"/>
  <c r="B5994" i="106"/>
  <c r="D5994" i="106" s="1"/>
  <c r="B2812" i="106"/>
  <c r="D2812" i="106" s="1"/>
  <c r="K165" i="29"/>
  <c r="B2818" i="106" s="1"/>
  <c r="D2818" i="106" s="1"/>
  <c r="B812" i="106"/>
  <c r="D812" i="106" s="1"/>
  <c r="K9" i="29"/>
  <c r="B7251" i="106"/>
  <c r="D7251" i="106" s="1"/>
  <c r="B730" i="106"/>
  <c r="D730" i="106" s="1"/>
  <c r="K46" i="29"/>
  <c r="B1118" i="106" s="1"/>
  <c r="D1118" i="106" s="1"/>
  <c r="I53" i="29"/>
  <c r="B6942" i="106" s="1"/>
  <c r="D6942" i="106" s="1"/>
  <c r="B6926" i="106"/>
  <c r="D6926" i="106" s="1"/>
  <c r="B4355" i="106"/>
  <c r="D4355" i="106" s="1"/>
  <c r="B4377" i="106"/>
  <c r="D4377" i="106" s="1"/>
  <c r="B5084" i="106"/>
  <c r="D5084" i="106" s="1"/>
  <c r="B6681" i="106"/>
  <c r="D6681" i="106" s="1"/>
  <c r="B7062" i="106"/>
  <c r="D7062" i="106" s="1"/>
  <c r="B4409" i="106"/>
  <c r="D4409" i="106" s="1"/>
  <c r="B6402" i="106"/>
  <c r="D6402" i="106" s="1"/>
  <c r="G198" i="5"/>
  <c r="B6409" i="106" s="1"/>
  <c r="D6409" i="106" s="1"/>
  <c r="B776" i="106"/>
  <c r="D776" i="106" s="1"/>
  <c r="B4391" i="106"/>
  <c r="D4391" i="106" s="1"/>
  <c r="B5498" i="106"/>
  <c r="D5498" i="106" s="1"/>
  <c r="B2840" i="106"/>
  <c r="D2840" i="106" s="1"/>
  <c r="B2887" i="106"/>
  <c r="D2887" i="106" s="1"/>
  <c r="B6856" i="106"/>
  <c r="D6856" i="106" s="1"/>
  <c r="B740" i="106"/>
  <c r="D740" i="106" s="1"/>
  <c r="K61" i="29"/>
  <c r="B6874" i="106"/>
  <c r="D6874" i="106" s="1"/>
  <c r="B5692" i="106"/>
  <c r="D5692" i="106" s="1"/>
  <c r="H67" i="5"/>
  <c r="B5881" i="106" s="1"/>
  <c r="D5881" i="106" s="1"/>
  <c r="B5879" i="106"/>
  <c r="D5879" i="106" s="1"/>
  <c r="B3641" i="106"/>
  <c r="D3641" i="106" s="1"/>
  <c r="B1046" i="106"/>
  <c r="D1046" i="106" s="1"/>
  <c r="B1438" i="106"/>
  <c r="D1438" i="106" s="1"/>
  <c r="K273" i="29"/>
  <c r="B1502" i="106" s="1"/>
  <c r="D1502" i="106" s="1"/>
  <c r="B6698" i="106"/>
  <c r="D6698" i="106" s="1"/>
  <c r="B957" i="106"/>
  <c r="D957" i="106" s="1"/>
  <c r="B5345" i="106"/>
  <c r="D5345" i="106" s="1"/>
  <c r="B7704" i="106"/>
  <c r="D7704" i="106" s="1"/>
  <c r="K7" i="12"/>
  <c r="B6339" i="106"/>
  <c r="D6339" i="106" s="1"/>
  <c r="B7762" i="106"/>
  <c r="D7762" i="106" s="1"/>
  <c r="K6" i="29"/>
  <c r="B7763" i="106" s="1"/>
  <c r="D7763" i="106" s="1"/>
  <c r="B3627" i="106"/>
  <c r="D3627" i="106" s="1"/>
  <c r="B4165" i="106"/>
  <c r="D4165" i="106" s="1"/>
  <c r="K284" i="29"/>
  <c r="B4166" i="106" s="1"/>
  <c r="D4166" i="106" s="1"/>
  <c r="B6186" i="106"/>
  <c r="D6186" i="106" s="1"/>
  <c r="B7677" i="106"/>
  <c r="D7677" i="106" s="1"/>
  <c r="B1229" i="106"/>
  <c r="D1229" i="106" s="1"/>
  <c r="B6168" i="106"/>
  <c r="D6168" i="106" s="1"/>
  <c r="B6137" i="106"/>
  <c r="D6137" i="106" s="1"/>
  <c r="B7687" i="106"/>
  <c r="D7687" i="106" s="1"/>
  <c r="H310" i="29"/>
  <c r="B7115" i="106" s="1"/>
  <c r="D7115" i="106" s="1"/>
  <c r="B7106" i="106"/>
  <c r="D7106" i="106" s="1"/>
  <c r="K99" i="29"/>
  <c r="B7010" i="106" s="1"/>
  <c r="D7010" i="106" s="1"/>
  <c r="B7008" i="106"/>
  <c r="D7008" i="106" s="1"/>
  <c r="E100" i="29"/>
  <c r="B7011" i="106" s="1"/>
  <c r="D7011" i="106" s="1"/>
  <c r="B5917" i="106"/>
  <c r="D5917" i="106" s="1"/>
  <c r="B7097" i="106"/>
  <c r="D7097" i="106" s="1"/>
  <c r="K256" i="29"/>
  <c r="B7098" i="106" s="1"/>
  <c r="D7098" i="106" s="1"/>
  <c r="J330" i="29"/>
  <c r="J342" i="29" s="1"/>
  <c r="B7223" i="106" s="1"/>
  <c r="D7223" i="106" s="1"/>
  <c r="B7125" i="106"/>
  <c r="D7125" i="106" s="1"/>
  <c r="K105" i="29"/>
  <c r="B1048" i="106"/>
  <c r="D1048" i="106" s="1"/>
  <c r="H110" i="29"/>
  <c r="B5370" i="106"/>
  <c r="D5370" i="106" s="1"/>
  <c r="D141" i="5"/>
  <c r="B5383" i="106" s="1"/>
  <c r="D5383" i="106" s="1"/>
  <c r="B1433" i="106"/>
  <c r="D1433" i="106" s="1"/>
  <c r="K268" i="29"/>
  <c r="B1497" i="106" s="1"/>
  <c r="D1497" i="106" s="1"/>
  <c r="B321" i="106"/>
  <c r="D321" i="106" s="1"/>
  <c r="I48" i="4"/>
  <c r="B2106" i="106" s="1"/>
  <c r="D2106" i="106" s="1"/>
  <c r="B6109" i="106"/>
  <c r="D6109" i="106" s="1"/>
  <c r="B5708" i="106"/>
  <c r="D5708" i="106" s="1"/>
  <c r="E184" i="29"/>
  <c r="B4083" i="106"/>
  <c r="D4083" i="106" s="1"/>
  <c r="B809" i="106"/>
  <c r="D809" i="106" s="1"/>
  <c r="B6323" i="106"/>
  <c r="D6323" i="106" s="1"/>
  <c r="F155" i="34"/>
  <c r="B6809" i="106"/>
  <c r="D6809" i="106" s="1"/>
  <c r="B1029" i="106"/>
  <c r="D1029" i="106" s="1"/>
  <c r="B7810" i="106"/>
  <c r="D7810" i="106" s="1"/>
  <c r="B960" i="106"/>
  <c r="D960" i="106" s="1"/>
  <c r="G47" i="29"/>
  <c r="B963" i="106" s="1"/>
  <c r="D963" i="106" s="1"/>
  <c r="B983" i="106"/>
  <c r="D983" i="106" s="1"/>
  <c r="B6115" i="106"/>
  <c r="D6115" i="106" s="1"/>
  <c r="B6937" i="106"/>
  <c r="D6937" i="106" s="1"/>
  <c r="B1002" i="106"/>
  <c r="D1002" i="106" s="1"/>
  <c r="B4918" i="106"/>
  <c r="D4918" i="106" s="1"/>
  <c r="B4366" i="106"/>
  <c r="D4366" i="106" s="1"/>
  <c r="I175" i="5"/>
  <c r="F102" i="34"/>
  <c r="B7839" i="106" s="1"/>
  <c r="D7839" i="106" s="1"/>
  <c r="C108" i="5"/>
  <c r="B5120" i="106" s="1"/>
  <c r="D5120" i="106" s="1"/>
  <c r="B5113" i="106"/>
  <c r="D5113" i="106" s="1"/>
  <c r="J42" i="29"/>
  <c r="B6905" i="106"/>
  <c r="D6905" i="106" s="1"/>
  <c r="B5375" i="106"/>
  <c r="D5375" i="106" s="1"/>
  <c r="B3373" i="106"/>
  <c r="D3373" i="106" s="1"/>
  <c r="B6796" i="106"/>
  <c r="D6796" i="106" s="1"/>
  <c r="B6336" i="106"/>
  <c r="D6336" i="106" s="1"/>
  <c r="B6748" i="106"/>
  <c r="D6748" i="106" s="1"/>
  <c r="B7807" i="106"/>
  <c r="D7807" i="106" s="1"/>
  <c r="B5330" i="106"/>
  <c r="D5330" i="106" s="1"/>
  <c r="K95" i="29"/>
  <c r="B7001" i="106" s="1"/>
  <c r="D7001" i="106" s="1"/>
  <c r="B7000" i="106"/>
  <c r="D7000" i="106" s="1"/>
  <c r="B1009" i="106"/>
  <c r="D1009" i="106" s="1"/>
  <c r="B2829" i="106"/>
  <c r="D2829" i="106" s="1"/>
  <c r="B5426" i="106"/>
  <c r="D5426" i="106" s="1"/>
  <c r="D188" i="5"/>
  <c r="B5139" i="106"/>
  <c r="D5139" i="106" s="1"/>
  <c r="B6967" i="106"/>
  <c r="D6967" i="106" s="1"/>
  <c r="B5362" i="106"/>
  <c r="D5362" i="106" s="1"/>
  <c r="F89" i="34"/>
  <c r="B5570" i="106"/>
  <c r="D5570" i="106" s="1"/>
  <c r="B5014" i="106"/>
  <c r="D5014" i="106" s="1"/>
  <c r="B6963" i="106"/>
  <c r="D6963" i="106" s="1"/>
  <c r="I72" i="29"/>
  <c r="B6973" i="106" s="1"/>
  <c r="D6973" i="106" s="1"/>
  <c r="C53" i="29"/>
  <c r="B734" i="106" s="1"/>
  <c r="D734" i="106" s="1"/>
  <c r="K49" i="29"/>
  <c r="B732" i="106"/>
  <c r="D732" i="106" s="1"/>
  <c r="B2954" i="106"/>
  <c r="D2954" i="106" s="1"/>
  <c r="K83" i="29"/>
  <c r="B2978" i="106" s="1"/>
  <c r="D2978" i="106" s="1"/>
  <c r="B6929" i="106"/>
  <c r="D6929" i="106" s="1"/>
  <c r="L204" i="29"/>
  <c r="L208" i="29" s="1"/>
  <c r="B7059" i="106"/>
  <c r="D7059" i="106" s="1"/>
  <c r="B6815" i="106"/>
  <c r="D6815" i="106" s="1"/>
  <c r="B5986" i="106"/>
  <c r="D5986" i="106" s="1"/>
  <c r="B6886" i="106"/>
  <c r="D6886" i="106" s="1"/>
  <c r="K25" i="29"/>
  <c r="B5072" i="106"/>
  <c r="D5072" i="106" s="1"/>
  <c r="C40" i="5"/>
  <c r="B5087" i="106" s="1"/>
  <c r="D5087" i="106" s="1"/>
  <c r="B6981" i="106"/>
  <c r="D6981" i="106" s="1"/>
  <c r="H92" i="29"/>
  <c r="K85" i="29"/>
  <c r="B6982" i="106" s="1"/>
  <c r="D6982" i="106" s="1"/>
  <c r="B5013" i="106"/>
  <c r="D5013" i="106" s="1"/>
  <c r="B1240" i="106"/>
  <c r="D1240" i="106" s="1"/>
  <c r="B6859" i="106"/>
  <c r="D6859" i="106" s="1"/>
  <c r="B6914" i="106"/>
  <c r="D6914" i="106" s="1"/>
  <c r="B6672" i="106"/>
  <c r="D6672" i="106" s="1"/>
  <c r="B4417" i="106"/>
  <c r="D4417" i="106" s="1"/>
  <c r="B6729" i="106"/>
  <c r="D6729" i="106" s="1"/>
  <c r="F146" i="34"/>
  <c r="B6928" i="106"/>
  <c r="D6928" i="106" s="1"/>
  <c r="B723" i="106"/>
  <c r="D723" i="106" s="1"/>
  <c r="K38" i="29"/>
  <c r="B1111" i="106" s="1"/>
  <c r="D1111" i="106" s="1"/>
  <c r="B5696" i="106"/>
  <c r="D5696" i="106" s="1"/>
  <c r="B4886" i="106"/>
  <c r="D4886" i="106" s="1"/>
  <c r="B7032" i="106"/>
  <c r="D7032" i="106" s="1"/>
  <c r="B3253" i="106"/>
  <c r="D3253" i="106" s="1"/>
  <c r="B6148" i="106"/>
  <c r="D6148" i="106" s="1"/>
  <c r="B6733" i="106"/>
  <c r="D6733" i="106" s="1"/>
  <c r="B904" i="106"/>
  <c r="D904" i="106" s="1"/>
  <c r="B6083" i="106"/>
  <c r="D6083" i="106" s="1"/>
  <c r="B903" i="106"/>
  <c r="D903" i="106" s="1"/>
  <c r="B5573" i="106"/>
  <c r="D5573" i="106" s="1"/>
  <c r="F92" i="34"/>
  <c r="B3369" i="106"/>
  <c r="D3369" i="106" s="1"/>
  <c r="B6187" i="106"/>
  <c r="D6187" i="106" s="1"/>
  <c r="B3387" i="106"/>
  <c r="D3387" i="106" s="1"/>
  <c r="D229" i="29"/>
  <c r="B1410" i="106" s="1"/>
  <c r="D1410" i="106" s="1"/>
  <c r="K215" i="29"/>
  <c r="B7702" i="106"/>
  <c r="D7702" i="106" s="1"/>
  <c r="B5731" i="106"/>
  <c r="D5731" i="106" s="1"/>
  <c r="G67" i="5"/>
  <c r="B5733" i="106" s="1"/>
  <c r="D5733" i="106" s="1"/>
  <c r="B6944" i="106"/>
  <c r="D6944" i="106" s="1"/>
  <c r="I57" i="29"/>
  <c r="B6948" i="106" s="1"/>
  <c r="D6948" i="106" s="1"/>
  <c r="K232" i="29"/>
  <c r="D238" i="29"/>
  <c r="B1411" i="106"/>
  <c r="D1411" i="106" s="1"/>
  <c r="B845" i="106"/>
  <c r="D845" i="106" s="1"/>
  <c r="K329" i="29"/>
  <c r="B7697" i="106"/>
  <c r="D7697" i="106" s="1"/>
  <c r="B5168" i="106"/>
  <c r="D5168" i="106" s="1"/>
  <c r="F111" i="34"/>
  <c r="B7846" i="106" s="1"/>
  <c r="D7846" i="106" s="1"/>
  <c r="K9" i="12"/>
  <c r="B7714" i="106" s="1"/>
  <c r="D7714" i="106" s="1"/>
  <c r="B6955" i="106"/>
  <c r="D6955" i="106" s="1"/>
  <c r="B6782" i="106"/>
  <c r="D6782" i="106" s="1"/>
  <c r="B6794" i="106"/>
  <c r="D6794" i="106" s="1"/>
  <c r="B7022" i="106"/>
  <c r="D7022" i="106" s="1"/>
  <c r="I129" i="29"/>
  <c r="B7651" i="106"/>
  <c r="D7651" i="106" s="1"/>
  <c r="B152" i="106"/>
  <c r="D152" i="106" s="1"/>
  <c r="B1528" i="106"/>
  <c r="D1528" i="106" s="1"/>
  <c r="I12" i="5"/>
  <c r="B5916" i="106"/>
  <c r="D5916" i="106" s="1"/>
  <c r="B10" i="7"/>
  <c r="B7793" i="106"/>
  <c r="D7793" i="106" s="1"/>
  <c r="K355" i="29"/>
  <c r="B7794" i="106" s="1"/>
  <c r="D7794" i="106" s="1"/>
  <c r="B6408" i="106"/>
  <c r="D6408" i="106" s="1"/>
  <c r="K169" i="29"/>
  <c r="B1326" i="106" s="1"/>
  <c r="D1326" i="106" s="1"/>
  <c r="B1312" i="106"/>
  <c r="D1312" i="106" s="1"/>
  <c r="B7188" i="106"/>
  <c r="D7188" i="106" s="1"/>
  <c r="B1018" i="106"/>
  <c r="D1018" i="106" s="1"/>
  <c r="H47" i="29"/>
  <c r="B1021" i="106" s="1"/>
  <c r="D1021" i="106" s="1"/>
  <c r="B2760" i="106"/>
  <c r="D2760" i="106" s="1"/>
  <c r="B6331" i="106"/>
  <c r="D6331" i="106" s="1"/>
  <c r="B3634" i="106"/>
  <c r="D3634" i="106" s="1"/>
  <c r="B1023" i="106"/>
  <c r="D1023" i="106" s="1"/>
  <c r="B7815" i="106"/>
  <c r="D7815" i="106" s="1"/>
  <c r="B844" i="106"/>
  <c r="D844" i="106" s="1"/>
  <c r="E47" i="29"/>
  <c r="B847" i="106" s="1"/>
  <c r="D847" i="106" s="1"/>
  <c r="B4855" i="106"/>
  <c r="D4855" i="106" s="1"/>
  <c r="B4336" i="106"/>
  <c r="D4336" i="106" s="1"/>
  <c r="B4369" i="106"/>
  <c r="D4369" i="106" s="1"/>
  <c r="B6798" i="106"/>
  <c r="D6798" i="106" s="1"/>
  <c r="B1440" i="106"/>
  <c r="D1440" i="106" s="1"/>
  <c r="K275" i="29"/>
  <c r="B1504" i="106" s="1"/>
  <c r="D1504" i="106" s="1"/>
  <c r="B721" i="106"/>
  <c r="D721" i="106" s="1"/>
  <c r="C42" i="29"/>
  <c r="K36" i="29"/>
  <c r="B4794" i="106"/>
  <c r="D4794" i="106" s="1"/>
  <c r="K133" i="29"/>
  <c r="B7774" i="106"/>
  <c r="D7774" i="106" s="1"/>
  <c r="E137" i="29"/>
  <c r="B4322" i="106"/>
  <c r="D4322" i="106" s="1"/>
  <c r="L127" i="29"/>
  <c r="L129" i="29" s="1"/>
  <c r="L151" i="29" s="1"/>
  <c r="B7260" i="106"/>
  <c r="B5523" i="106"/>
  <c r="D5523" i="106" s="1"/>
  <c r="B6909" i="106"/>
  <c r="D6909" i="106" s="1"/>
  <c r="B7030" i="106"/>
  <c r="D7030" i="106" s="1"/>
  <c r="B5078" i="106"/>
  <c r="D5078" i="106" s="1"/>
  <c r="B5077" i="106"/>
  <c r="D5077" i="106" s="1"/>
  <c r="B6927" i="106"/>
  <c r="D6927" i="106" s="1"/>
  <c r="J53" i="29"/>
  <c r="B6943" i="106" s="1"/>
  <c r="D6943" i="106" s="1"/>
  <c r="B7167" i="106"/>
  <c r="D7167" i="106" s="1"/>
  <c r="B5163" i="106"/>
  <c r="D5163" i="106" s="1"/>
  <c r="C145" i="5"/>
  <c r="D184" i="29"/>
  <c r="B4082" i="106"/>
  <c r="D4082" i="106" s="1"/>
  <c r="B7266" i="106"/>
  <c r="B5884" i="106"/>
  <c r="D5884" i="106" s="1"/>
  <c r="B6637" i="106"/>
  <c r="D6637" i="106" s="1"/>
  <c r="B4811" i="106"/>
  <c r="D4811" i="106" s="1"/>
  <c r="B4875" i="106"/>
  <c r="D4875" i="106" s="1"/>
  <c r="B837" i="106"/>
  <c r="D837" i="106" s="1"/>
  <c r="E42" i="29"/>
  <c r="K283" i="29"/>
  <c r="B3723" i="106" s="1"/>
  <c r="D3723" i="106" s="1"/>
  <c r="B3721" i="106"/>
  <c r="D3721" i="106" s="1"/>
  <c r="B3056" i="106"/>
  <c r="D3056" i="106" s="1"/>
  <c r="B6146" i="106"/>
  <c r="D6146" i="106" s="1"/>
  <c r="B6635" i="106"/>
  <c r="D6635" i="106" s="1"/>
  <c r="G181" i="5"/>
  <c r="B5784" i="106" s="1"/>
  <c r="D5784" i="106" s="1"/>
  <c r="B4810" i="106"/>
  <c r="D4810" i="106" s="1"/>
  <c r="D47" i="29"/>
  <c r="B789" i="106" s="1"/>
  <c r="D789" i="106" s="1"/>
  <c r="B786" i="106"/>
  <c r="D786" i="106" s="1"/>
  <c r="B6308" i="106"/>
  <c r="D6308" i="106" s="1"/>
  <c r="K205" i="29"/>
  <c r="B7068" i="106" s="1"/>
  <c r="D7068" i="106" s="1"/>
  <c r="B7067" i="106"/>
  <c r="D7067" i="106" s="1"/>
  <c r="B5757" i="106"/>
  <c r="D5757" i="106" s="1"/>
  <c r="B7131" i="106"/>
  <c r="D7131" i="106" s="1"/>
  <c r="B5065" i="106"/>
  <c r="D5065" i="106" s="1"/>
  <c r="B18" i="7"/>
  <c r="B5604" i="106"/>
  <c r="D5604" i="106" s="1"/>
  <c r="H330" i="29"/>
  <c r="B7204" i="106" s="1"/>
  <c r="D7204" i="106" s="1"/>
  <c r="B7123" i="106"/>
  <c r="D7123" i="106" s="1"/>
  <c r="K97" i="29"/>
  <c r="B7005" i="106" s="1"/>
  <c r="D7005" i="106" s="1"/>
  <c r="B7004" i="106"/>
  <c r="D7004" i="106" s="1"/>
  <c r="B3257" i="106"/>
  <c r="D3257" i="106" s="1"/>
  <c r="F28" i="34"/>
  <c r="B6315" i="106"/>
  <c r="D6315" i="106" s="1"/>
  <c r="B3530" i="106"/>
  <c r="D3530" i="106" s="1"/>
  <c r="B6325" i="106"/>
  <c r="D6325" i="106" s="1"/>
  <c r="B794" i="106"/>
  <c r="D794" i="106" s="1"/>
  <c r="B4883" i="106"/>
  <c r="D4883" i="106" s="1"/>
  <c r="B7129" i="106"/>
  <c r="D7129" i="106" s="1"/>
  <c r="B5874" i="106"/>
  <c r="D5874" i="106" s="1"/>
  <c r="H18" i="5"/>
  <c r="B5878" i="106" s="1"/>
  <c r="D5878" i="106" s="1"/>
  <c r="B7801" i="106"/>
  <c r="D7801" i="106" s="1"/>
  <c r="B5177" i="106"/>
  <c r="D5177" i="106" s="1"/>
  <c r="B6957" i="106"/>
  <c r="D6957" i="106" s="1"/>
  <c r="B5920" i="106"/>
  <c r="D5920" i="106" s="1"/>
  <c r="B955" i="106"/>
  <c r="D955" i="106" s="1"/>
  <c r="B6138" i="106"/>
  <c r="D6138" i="106" s="1"/>
  <c r="B3549" i="106"/>
  <c r="D3549" i="106" s="1"/>
  <c r="B7728" i="106"/>
  <c r="D7728" i="106" s="1"/>
  <c r="B6650" i="106"/>
  <c r="D6650" i="106" s="1"/>
  <c r="F138" i="34"/>
  <c r="B6831" i="106"/>
  <c r="D6831" i="106" s="1"/>
  <c r="K190" i="29"/>
  <c r="B3009" i="106" s="1"/>
  <c r="D3009" i="106" s="1"/>
  <c r="B2991" i="106"/>
  <c r="D2991" i="106" s="1"/>
  <c r="B5384" i="106"/>
  <c r="D5384" i="106" s="1"/>
  <c r="B6787" i="106"/>
  <c r="D6787" i="106" s="1"/>
  <c r="B5576" i="106"/>
  <c r="D5576" i="106" s="1"/>
  <c r="F25" i="34"/>
  <c r="B896" i="106"/>
  <c r="D896" i="106" s="1"/>
  <c r="F149" i="34"/>
  <c r="B6761" i="106"/>
  <c r="D6761" i="106" s="1"/>
  <c r="B6882" i="106"/>
  <c r="D6882" i="106" s="1"/>
  <c r="K23" i="29"/>
  <c r="B841" i="106"/>
  <c r="D841" i="106" s="1"/>
  <c r="B981" i="106"/>
  <c r="D981" i="106" s="1"/>
  <c r="B3083" i="106"/>
  <c r="D3083" i="106" s="1"/>
  <c r="K267" i="29"/>
  <c r="B1496" i="106" s="1"/>
  <c r="D1496" i="106" s="1"/>
  <c r="B1432" i="106"/>
  <c r="D1432" i="106" s="1"/>
  <c r="K252" i="5"/>
  <c r="B6621" i="106"/>
  <c r="D6621" i="106" s="1"/>
  <c r="B971" i="106"/>
  <c r="D971" i="106" s="1"/>
  <c r="B7174" i="106"/>
  <c r="D7174" i="106" s="1"/>
  <c r="B6324" i="106"/>
  <c r="D6324" i="106" s="1"/>
  <c r="B5439" i="106"/>
  <c r="D5439" i="106" s="1"/>
  <c r="B6104" i="106"/>
  <c r="D6104" i="106" s="1"/>
  <c r="B5990" i="106"/>
  <c r="D5990" i="106" s="1"/>
  <c r="B4874" i="106"/>
  <c r="D4874" i="106" s="1"/>
  <c r="B5925" i="106"/>
  <c r="D5925" i="106" s="1"/>
  <c r="B846" i="106"/>
  <c r="D846" i="106" s="1"/>
  <c r="B6656" i="106"/>
  <c r="D6656" i="106" s="1"/>
  <c r="B1037" i="106"/>
  <c r="D1037" i="106" s="1"/>
  <c r="B5996" i="106"/>
  <c r="D5996" i="106" s="1"/>
  <c r="K108" i="5"/>
  <c r="B5999" i="106" s="1"/>
  <c r="D5999" i="106" s="1"/>
  <c r="B6156" i="106"/>
  <c r="D6156" i="106" s="1"/>
  <c r="B6345" i="106"/>
  <c r="D6345" i="106" s="1"/>
  <c r="B1546" i="106"/>
  <c r="D1546" i="106" s="1"/>
  <c r="B4311" i="106"/>
  <c r="D4311" i="106" s="1"/>
  <c r="B5697" i="106"/>
  <c r="D5697" i="106" s="1"/>
  <c r="B6111" i="106"/>
  <c r="D6111" i="106" s="1"/>
  <c r="B2957" i="106"/>
  <c r="D2957" i="106" s="1"/>
  <c r="F67" i="5"/>
  <c r="B5582" i="106" s="1"/>
  <c r="D5582" i="106" s="1"/>
  <c r="B5581" i="106"/>
  <c r="D5581" i="106" s="1"/>
  <c r="B3388" i="106"/>
  <c r="D3388" i="106" s="1"/>
  <c r="K217" i="29"/>
  <c r="B3391" i="106" s="1"/>
  <c r="D3391" i="106" s="1"/>
  <c r="B6178" i="106"/>
  <c r="D6178" i="106" s="1"/>
  <c r="B5111" i="106"/>
  <c r="D5111" i="106" s="1"/>
  <c r="F101" i="34"/>
  <c r="B3625" i="106"/>
  <c r="D3625" i="106" s="1"/>
  <c r="B5921" i="106"/>
  <c r="D5921" i="106" s="1"/>
  <c r="B7249" i="106"/>
  <c r="D7249" i="106" s="1"/>
  <c r="B4345" i="106"/>
  <c r="D4345" i="106" s="1"/>
  <c r="B6956" i="106"/>
  <c r="D6956" i="106" s="1"/>
  <c r="B7661" i="106"/>
  <c r="D7661" i="106" s="1"/>
  <c r="F217" i="5"/>
  <c r="B5703" i="106" s="1"/>
  <c r="D5703" i="106" s="1"/>
  <c r="B5691" i="106"/>
  <c r="D5691" i="106" s="1"/>
  <c r="B5929" i="106"/>
  <c r="D5929" i="106" s="1"/>
  <c r="B6802" i="106"/>
  <c r="D6802" i="106" s="1"/>
  <c r="B1341" i="106"/>
  <c r="D1341" i="106" s="1"/>
  <c r="B870" i="106"/>
  <c r="D870" i="106" s="1"/>
  <c r="B5240" i="106"/>
  <c r="D5240" i="106" s="1"/>
  <c r="B6857" i="106"/>
  <c r="D6857" i="106" s="1"/>
  <c r="B1028" i="106"/>
  <c r="D1028" i="106" s="1"/>
  <c r="H65" i="29"/>
  <c r="B1035" i="106" s="1"/>
  <c r="D1035" i="106" s="1"/>
  <c r="B840" i="106"/>
  <c r="D840" i="106" s="1"/>
  <c r="D204" i="5"/>
  <c r="B5444" i="106" s="1"/>
  <c r="D5444" i="106" s="1"/>
  <c r="B5431" i="106"/>
  <c r="D5431" i="106" s="1"/>
  <c r="B2798" i="106"/>
  <c r="D2798" i="106" s="1"/>
  <c r="H18" i="4"/>
  <c r="B4134" i="106" s="1"/>
  <c r="D4134" i="106" s="1"/>
  <c r="B4118" i="106"/>
  <c r="D4118" i="106" s="1"/>
  <c r="B1451" i="106"/>
  <c r="D1451" i="106" s="1"/>
  <c r="K292" i="29"/>
  <c r="B1514" i="106" s="1"/>
  <c r="D1514" i="106" s="1"/>
  <c r="B7128" i="106"/>
  <c r="D7128" i="106" s="1"/>
  <c r="B6757" i="106"/>
  <c r="D6757" i="106" s="1"/>
  <c r="B4340" i="106"/>
  <c r="D4340" i="106" s="1"/>
  <c r="F132" i="34"/>
  <c r="B7864" i="106" s="1"/>
  <c r="D7864" i="106" s="1"/>
  <c r="B4316" i="106"/>
  <c r="D4316" i="106" s="1"/>
  <c r="B975" i="106"/>
  <c r="D975" i="106" s="1"/>
  <c r="B5522" i="106"/>
  <c r="D5522" i="106" s="1"/>
  <c r="E108" i="5"/>
  <c r="B5526" i="106" s="1"/>
  <c r="D5526" i="106" s="1"/>
  <c r="L84" i="29"/>
  <c r="B6767" i="106"/>
  <c r="D6767" i="106" s="1"/>
  <c r="B5817" i="106"/>
  <c r="D5817" i="106" s="1"/>
  <c r="G217" i="5"/>
  <c r="B5829" i="106" s="1"/>
  <c r="D5829" i="106" s="1"/>
  <c r="B5665" i="106"/>
  <c r="D5665" i="106" s="1"/>
  <c r="K264" i="29"/>
  <c r="B1493" i="106" s="1"/>
  <c r="D1493" i="106" s="1"/>
  <c r="B1429" i="106"/>
  <c r="D1429" i="106" s="1"/>
  <c r="B6232" i="106"/>
  <c r="D6232" i="106" s="1"/>
  <c r="B4889" i="106"/>
  <c r="D4889" i="106" s="1"/>
  <c r="B6788" i="106"/>
  <c r="D6788" i="106" s="1"/>
  <c r="B6134" i="106"/>
  <c r="D6134" i="106" s="1"/>
  <c r="B7184" i="106"/>
  <c r="D7184" i="106" s="1"/>
  <c r="B7673" i="106"/>
  <c r="D7673" i="106" s="1"/>
  <c r="B7694" i="106"/>
  <c r="D7694" i="106" s="1"/>
  <c r="B4354" i="106"/>
  <c r="D4354" i="106" s="1"/>
  <c r="B5097" i="106"/>
  <c r="D5097" i="106" s="1"/>
  <c r="C82" i="5"/>
  <c r="B6120" i="106"/>
  <c r="D6120" i="106" s="1"/>
  <c r="E72" i="29"/>
  <c r="B869" i="106" s="1"/>
  <c r="D869" i="106" s="1"/>
  <c r="B862" i="106"/>
  <c r="D862" i="106" s="1"/>
  <c r="B7155" i="106"/>
  <c r="D7155" i="106" s="1"/>
  <c r="B3085" i="106"/>
  <c r="D3085" i="106" s="1"/>
  <c r="B6153" i="106"/>
  <c r="D6153" i="106" s="1"/>
  <c r="B13" i="7"/>
  <c r="B5026" i="106"/>
  <c r="D5026" i="106" s="1"/>
  <c r="B5108" i="106"/>
  <c r="D5108" i="106" s="1"/>
  <c r="B6844" i="106"/>
  <c r="D6844" i="106" s="1"/>
  <c r="I33" i="29"/>
  <c r="B6902" i="106" s="1"/>
  <c r="D6902" i="106" s="1"/>
  <c r="B6752" i="106"/>
  <c r="D6752" i="106" s="1"/>
  <c r="B867" i="106"/>
  <c r="D867" i="106" s="1"/>
  <c r="B1350" i="106"/>
  <c r="D1350" i="106" s="1"/>
  <c r="B4814" i="106"/>
  <c r="D4814" i="106" s="1"/>
  <c r="B185" i="106"/>
  <c r="D185" i="106" s="1"/>
  <c r="B4446" i="106"/>
  <c r="D4446" i="106" s="1"/>
  <c r="B6920" i="106"/>
  <c r="D6920" i="106" s="1"/>
  <c r="B7164" i="106"/>
  <c r="D7164" i="106" s="1"/>
  <c r="B7258" i="106"/>
  <c r="B5118" i="106"/>
  <c r="D5118" i="106" s="1"/>
  <c r="F105" i="34"/>
  <c r="B6824" i="106"/>
  <c r="D6824" i="106" s="1"/>
  <c r="B6256" i="106"/>
  <c r="D6256" i="106" s="1"/>
  <c r="B716" i="106"/>
  <c r="D716" i="106" s="1"/>
  <c r="K12" i="29"/>
  <c r="B7026" i="106"/>
  <c r="D7026" i="106" s="1"/>
  <c r="C122" i="5"/>
  <c r="B5132" i="106" s="1"/>
  <c r="D5132" i="106" s="1"/>
  <c r="B5126" i="106"/>
  <c r="D5126" i="106" s="1"/>
  <c r="B6898" i="106"/>
  <c r="D6898" i="106" s="1"/>
  <c r="K31" i="29"/>
  <c r="B791" i="106"/>
  <c r="D791" i="106" s="1"/>
  <c r="B2801" i="106"/>
  <c r="D2801" i="106" s="1"/>
  <c r="G114" i="5"/>
  <c r="B5738" i="106"/>
  <c r="D5738" i="106" s="1"/>
  <c r="B781" i="106"/>
  <c r="D781" i="106" s="1"/>
  <c r="B1366" i="106"/>
  <c r="D1366" i="106" s="1"/>
  <c r="B6166" i="106"/>
  <c r="D6166" i="106" s="1"/>
  <c r="B978" i="106"/>
  <c r="D978" i="106" s="1"/>
  <c r="G72" i="29"/>
  <c r="B985" i="106" s="1"/>
  <c r="D985" i="106" s="1"/>
  <c r="B7703" i="106"/>
  <c r="D7703" i="106" s="1"/>
  <c r="B6932" i="106"/>
  <c r="D6932" i="106" s="1"/>
  <c r="K52" i="29"/>
  <c r="B6940" i="106" s="1"/>
  <c r="D6940" i="106" s="1"/>
  <c r="B7120" i="106"/>
  <c r="D7120" i="106" s="1"/>
  <c r="E330" i="29"/>
  <c r="B7257" i="106"/>
  <c r="D7257" i="106" s="1"/>
  <c r="K11" i="29"/>
  <c r="B6631" i="106"/>
  <c r="D6631" i="106" s="1"/>
  <c r="B7142" i="106"/>
  <c r="D7142" i="106" s="1"/>
  <c r="B7248" i="106"/>
  <c r="D7248" i="106" s="1"/>
  <c r="B5104" i="106"/>
  <c r="D5104" i="106" s="1"/>
  <c r="B2958" i="106"/>
  <c r="D2958" i="106" s="1"/>
  <c r="B6832" i="106"/>
  <c r="D6832" i="106" s="1"/>
  <c r="B1006" i="106"/>
  <c r="D1006" i="106" s="1"/>
  <c r="B2757" i="106"/>
  <c r="D2757" i="106" s="1"/>
  <c r="D72" i="36"/>
  <c r="B797" i="106"/>
  <c r="D797" i="106" s="1"/>
  <c r="C93" i="5"/>
  <c r="B5112" i="106" s="1"/>
  <c r="D5112" i="106" s="1"/>
  <c r="B5103" i="106"/>
  <c r="D5103" i="106" s="1"/>
  <c r="F97" i="34"/>
  <c r="B5079" i="106"/>
  <c r="D5079" i="106" s="1"/>
  <c r="E34" i="3"/>
  <c r="B139" i="106" s="1"/>
  <c r="D139" i="106" s="1"/>
  <c r="B6127" i="106"/>
  <c r="D6127" i="106" s="1"/>
  <c r="B6862" i="106"/>
  <c r="D6862" i="106" s="1"/>
  <c r="B7670" i="106"/>
  <c r="D7670" i="106" s="1"/>
  <c r="B7256" i="106"/>
  <c r="D7256" i="106" s="1"/>
  <c r="B1357" i="106"/>
  <c r="D1357" i="106" s="1"/>
  <c r="B891" i="106"/>
  <c r="D891" i="106" s="1"/>
  <c r="B2998" i="106"/>
  <c r="D2998" i="106" s="1"/>
  <c r="B7143" i="106"/>
  <c r="D7143" i="106" s="1"/>
  <c r="B7028" i="106"/>
  <c r="D7028" i="106" s="1"/>
  <c r="B2719" i="106"/>
  <c r="D2719" i="106" s="1"/>
  <c r="B5395" i="106"/>
  <c r="D5395" i="106" s="1"/>
  <c r="B6184" i="106"/>
  <c r="D6184" i="106" s="1"/>
  <c r="B5" i="7"/>
  <c r="D12" i="5"/>
  <c r="B5328" i="106"/>
  <c r="D5328" i="106" s="1"/>
  <c r="B6980" i="106"/>
  <c r="D6980" i="106" s="1"/>
  <c r="B5464" i="106"/>
  <c r="D5464" i="106" s="1"/>
  <c r="B7127" i="106"/>
  <c r="D7127" i="106" s="1"/>
  <c r="K320" i="29"/>
  <c r="B6907" i="106"/>
  <c r="D6907" i="106" s="1"/>
  <c r="B5332" i="106"/>
  <c r="D5332" i="106" s="1"/>
  <c r="B15" i="7"/>
  <c r="B7761" i="106"/>
  <c r="D7761" i="106" s="1"/>
  <c r="F159" i="34"/>
  <c r="B835" i="106"/>
  <c r="D835" i="106" s="1"/>
  <c r="B5659" i="106"/>
  <c r="D5659" i="106" s="1"/>
  <c r="F188" i="5"/>
  <c r="B6792" i="106"/>
  <c r="D6792" i="106" s="1"/>
  <c r="B6703" i="106"/>
  <c r="D6703" i="106" s="1"/>
  <c r="B937" i="106"/>
  <c r="D937" i="106" s="1"/>
  <c r="G33" i="29"/>
  <c r="B952" i="106" s="1"/>
  <c r="D952" i="106" s="1"/>
  <c r="B6330" i="106"/>
  <c r="D6330" i="106" s="1"/>
  <c r="B6732" i="106"/>
  <c r="D6732" i="106" s="1"/>
  <c r="B726" i="106"/>
  <c r="D726" i="106" s="1"/>
  <c r="K41" i="29"/>
  <c r="B1114" i="106" s="1"/>
  <c r="D1114" i="106" s="1"/>
  <c r="K324" i="29"/>
  <c r="B7171" i="106" s="1"/>
  <c r="D7171" i="106" s="1"/>
  <c r="B7163" i="106"/>
  <c r="D7163" i="106" s="1"/>
  <c r="B3580" i="106"/>
  <c r="D3580" i="106" s="1"/>
  <c r="B5601" i="106"/>
  <c r="D5601" i="106" s="1"/>
  <c r="B4189" i="106"/>
  <c r="D4189" i="106" s="1"/>
  <c r="F166" i="34"/>
  <c r="B7873" i="106" s="1"/>
  <c r="D7873" i="106" s="1"/>
  <c r="B5739" i="106"/>
  <c r="D5739" i="106" s="1"/>
  <c r="B4361" i="106"/>
  <c r="D4361" i="106" s="1"/>
  <c r="B6691" i="106"/>
  <c r="D6691" i="106" s="1"/>
  <c r="B6959" i="106"/>
  <c r="D6959" i="106" s="1"/>
  <c r="B6329" i="106"/>
  <c r="D6329" i="106" s="1"/>
  <c r="B1260" i="106"/>
  <c r="D1260" i="106" s="1"/>
  <c r="H127" i="29"/>
  <c r="B1264" i="106" s="1"/>
  <c r="D1264" i="106" s="1"/>
  <c r="B6321" i="106"/>
  <c r="D6321" i="106" s="1"/>
  <c r="B6669" i="106"/>
  <c r="D6669" i="106" s="1"/>
  <c r="B6773" i="106"/>
  <c r="D6773" i="106" s="1"/>
  <c r="B5059" i="106"/>
  <c r="D5059" i="106" s="1"/>
  <c r="K236" i="29"/>
  <c r="B1479" i="106" s="1"/>
  <c r="D1479" i="106" s="1"/>
  <c r="B1415" i="106"/>
  <c r="D1415" i="106" s="1"/>
  <c r="K269" i="29"/>
  <c r="B1498" i="106" s="1"/>
  <c r="D1498" i="106" s="1"/>
  <c r="B1434" i="106"/>
  <c r="D1434" i="106" s="1"/>
  <c r="B4115" i="106"/>
  <c r="D4115" i="106" s="1"/>
  <c r="E18" i="4"/>
  <c r="B4175" i="106" s="1"/>
  <c r="D4175" i="106" s="1"/>
  <c r="B6645" i="106"/>
  <c r="D6645" i="106" s="1"/>
  <c r="B6244" i="106"/>
  <c r="D6244" i="106" s="1"/>
  <c r="B2950" i="106"/>
  <c r="D2950" i="106" s="1"/>
  <c r="K79" i="29"/>
  <c r="B2974" i="106" s="1"/>
  <c r="D2974" i="106" s="1"/>
  <c r="B6811" i="106"/>
  <c r="D6811" i="106" s="1"/>
  <c r="K136" i="29"/>
  <c r="B2988" i="106" s="1"/>
  <c r="D2988" i="106" s="1"/>
  <c r="B4201" i="106"/>
  <c r="D4201" i="106" s="1"/>
  <c r="B6790" i="106"/>
  <c r="D6790" i="106" s="1"/>
  <c r="B6619" i="106"/>
  <c r="D6619" i="106" s="1"/>
  <c r="H252" i="5"/>
  <c r="H266" i="5" s="1"/>
  <c r="B4441" i="106" s="1"/>
  <c r="D4441" i="106" s="1"/>
  <c r="B5255" i="106"/>
  <c r="D5255" i="106" s="1"/>
  <c r="B5729" i="106"/>
  <c r="D5729" i="106" s="1"/>
  <c r="B6170" i="106"/>
  <c r="D6170" i="106" s="1"/>
  <c r="B6969" i="106"/>
  <c r="D6969" i="106" s="1"/>
  <c r="B5572" i="106"/>
  <c r="D5572" i="106" s="1"/>
  <c r="F90" i="34"/>
  <c r="F144" i="34"/>
  <c r="B6712" i="106"/>
  <c r="D6712" i="106" s="1"/>
  <c r="B5743" i="106"/>
  <c r="D5743" i="106" s="1"/>
  <c r="B6684" i="106"/>
  <c r="D6684" i="106" s="1"/>
  <c r="B852" i="106"/>
  <c r="D852" i="106" s="1"/>
  <c r="B4944" i="106"/>
  <c r="D4944" i="106" s="1"/>
  <c r="B6666" i="106"/>
  <c r="D6666" i="106" s="1"/>
  <c r="F140" i="34"/>
  <c r="B3655" i="106"/>
  <c r="D3655" i="106" s="1"/>
  <c r="B6031" i="106"/>
  <c r="D6031" i="106" s="1"/>
  <c r="C75" i="5"/>
  <c r="B5524" i="106"/>
  <c r="D5524" i="106" s="1"/>
  <c r="B5135" i="106"/>
  <c r="D5135" i="106" s="1"/>
  <c r="B6673" i="106"/>
  <c r="D6673" i="106" s="1"/>
  <c r="B5114" i="106"/>
  <c r="D5114" i="106" s="1"/>
  <c r="H41" i="4"/>
  <c r="B6250" i="106"/>
  <c r="D6250" i="106" s="1"/>
  <c r="K134" i="29"/>
  <c r="B2986" i="106" s="1"/>
  <c r="D2986" i="106" s="1"/>
  <c r="B4199" i="106"/>
  <c r="D4199" i="106" s="1"/>
  <c r="B6745" i="106"/>
  <c r="D6745" i="106" s="1"/>
  <c r="B5057" i="106"/>
  <c r="D5057" i="106" s="1"/>
  <c r="B972" i="106"/>
  <c r="D972" i="106" s="1"/>
  <c r="K325" i="29"/>
  <c r="B7172" i="106"/>
  <c r="D7172" i="106" s="1"/>
  <c r="B6765" i="106"/>
  <c r="D6765" i="106" s="1"/>
  <c r="B1253" i="106"/>
  <c r="D1253" i="106" s="1"/>
  <c r="B7099" i="106"/>
  <c r="D7099" i="106" s="1"/>
  <c r="I303" i="29"/>
  <c r="K175" i="5"/>
  <c r="B4368" i="106"/>
  <c r="D4368" i="106" s="1"/>
  <c r="B988" i="106"/>
  <c r="D988" i="106" s="1"/>
  <c r="B7040" i="106"/>
  <c r="D7040" i="106" s="1"/>
  <c r="L350" i="29"/>
  <c r="L352" i="29" s="1"/>
  <c r="L367" i="29" s="1"/>
  <c r="H53" i="29"/>
  <c r="B1024" i="106" s="1"/>
  <c r="D1024" i="106" s="1"/>
  <c r="B1022" i="106"/>
  <c r="D1022" i="106" s="1"/>
  <c r="B4410" i="106"/>
  <c r="D4410" i="106" s="1"/>
  <c r="B3487" i="106"/>
  <c r="D3487" i="106" s="1"/>
  <c r="B7769" i="106"/>
  <c r="D7769" i="106" s="1"/>
  <c r="H184" i="29"/>
  <c r="B1370" i="106" s="1"/>
  <c r="D1370" i="106" s="1"/>
  <c r="B4086" i="106"/>
  <c r="D4086" i="106" s="1"/>
  <c r="B5196" i="106"/>
  <c r="D5196" i="106" s="1"/>
  <c r="B1031" i="106"/>
  <c r="D1031" i="106" s="1"/>
  <c r="B6140" i="106"/>
  <c r="D6140" i="106" s="1"/>
  <c r="B719" i="106"/>
  <c r="D719" i="106" s="1"/>
  <c r="K15" i="29"/>
  <c r="B6260" i="106"/>
  <c r="D6260" i="106" s="1"/>
  <c r="B892" i="106"/>
  <c r="D892" i="106" s="1"/>
  <c r="B6821" i="106"/>
  <c r="D6821" i="106" s="1"/>
  <c r="F116" i="34"/>
  <c r="B7850" i="106" s="1"/>
  <c r="D7850" i="106" s="1"/>
  <c r="B5056" i="106"/>
  <c r="D5056" i="106" s="1"/>
  <c r="B6358" i="106"/>
  <c r="D6358" i="106" s="1"/>
  <c r="B3645" i="106"/>
  <c r="D3645" i="106" s="1"/>
  <c r="G350" i="29"/>
  <c r="C72" i="29"/>
  <c r="B753" i="106" s="1"/>
  <c r="D753" i="106" s="1"/>
  <c r="B746" i="106"/>
  <c r="D746" i="106" s="1"/>
  <c r="K67" i="29"/>
  <c r="B729" i="106"/>
  <c r="D729" i="106" s="1"/>
  <c r="K45" i="29"/>
  <c r="B1117" i="106" s="1"/>
  <c r="D1117" i="106" s="1"/>
  <c r="B5358" i="106"/>
  <c r="D5358" i="106" s="1"/>
  <c r="K55" i="29"/>
  <c r="B1123" i="106" s="1"/>
  <c r="D1123" i="106" s="1"/>
  <c r="B735" i="106"/>
  <c r="D735" i="106" s="1"/>
  <c r="C57" i="29"/>
  <c r="B737" i="106" s="1"/>
  <c r="D737" i="106" s="1"/>
  <c r="K240" i="29"/>
  <c r="B1418" i="106"/>
  <c r="D1418" i="106" s="1"/>
  <c r="D243" i="29"/>
  <c r="B1421" i="106" s="1"/>
  <c r="D1421" i="106" s="1"/>
  <c r="B7061" i="106"/>
  <c r="D7061" i="106" s="1"/>
  <c r="B5463" i="106"/>
  <c r="D5463" i="106" s="1"/>
  <c r="B6688" i="106"/>
  <c r="D6688" i="106" s="1"/>
  <c r="C141" i="5"/>
  <c r="B5148" i="106"/>
  <c r="D5148" i="106" s="1"/>
  <c r="B2769" i="106"/>
  <c r="D2769" i="106" s="1"/>
  <c r="L65" i="29"/>
  <c r="J303" i="29"/>
  <c r="B7100" i="106"/>
  <c r="D7100" i="106" s="1"/>
  <c r="B7148" i="106"/>
  <c r="D7148" i="106" s="1"/>
  <c r="B5243" i="106"/>
  <c r="D5243" i="106" s="1"/>
  <c r="B5278" i="106"/>
  <c r="D5278" i="106" s="1"/>
  <c r="F129" i="34"/>
  <c r="B7861" i="106" s="1"/>
  <c r="D7861" i="106" s="1"/>
  <c r="B4228" i="106"/>
  <c r="D4228" i="106" s="1"/>
  <c r="L42" i="29"/>
  <c r="D82" i="5"/>
  <c r="B5348" i="106" s="1"/>
  <c r="D5348" i="106" s="1"/>
  <c r="B5343" i="106"/>
  <c r="D5343" i="106" s="1"/>
  <c r="B4330" i="106"/>
  <c r="D4330" i="106" s="1"/>
  <c r="B6240" i="106"/>
  <c r="D6240" i="106" s="1"/>
  <c r="H14" i="118"/>
  <c r="H19" i="118"/>
  <c r="E37" i="4"/>
  <c r="B6285" i="106" s="1"/>
  <c r="D6285" i="106" s="1"/>
  <c r="B5594" i="106"/>
  <c r="D5594" i="106" s="1"/>
  <c r="B6614" i="106"/>
  <c r="D6614" i="106" s="1"/>
  <c r="C252" i="5"/>
  <c r="B6833" i="106" s="1"/>
  <c r="D6833" i="106" s="1"/>
  <c r="C76" i="4"/>
  <c r="B3231" i="106" s="1"/>
  <c r="D3231" i="106" s="1"/>
  <c r="B5022" i="106"/>
  <c r="D5022" i="106" s="1"/>
  <c r="B6768" i="106"/>
  <c r="D6768" i="106" s="1"/>
  <c r="B6388" i="106"/>
  <c r="D6388" i="106" s="1"/>
  <c r="F119" i="34"/>
  <c r="B7853" i="106" s="1"/>
  <c r="D7853" i="106" s="1"/>
  <c r="B1413" i="106"/>
  <c r="D1413" i="106" s="1"/>
  <c r="K234" i="29"/>
  <c r="B1477" i="106" s="1"/>
  <c r="D1477" i="106" s="1"/>
  <c r="B1445" i="106"/>
  <c r="D1445" i="106" s="1"/>
  <c r="K278" i="29"/>
  <c r="B1509" i="106" s="1"/>
  <c r="D1509" i="106" s="1"/>
  <c r="L194" i="29"/>
  <c r="L196" i="29" s="1"/>
  <c r="K192" i="29"/>
  <c r="B3011" i="106" s="1"/>
  <c r="D3011" i="106" s="1"/>
  <c r="B2993" i="106"/>
  <c r="D2993" i="106" s="1"/>
  <c r="B790" i="106"/>
  <c r="D790" i="106" s="1"/>
  <c r="D53" i="29"/>
  <c r="B792" i="106" s="1"/>
  <c r="D792" i="106" s="1"/>
  <c r="B7111" i="106"/>
  <c r="D7111" i="106" s="1"/>
  <c r="F165" i="34"/>
  <c r="B7872" i="106" s="1"/>
  <c r="D7872" i="106" s="1"/>
  <c r="B4418" i="106"/>
  <c r="D4418" i="106" s="1"/>
  <c r="B6085" i="106"/>
  <c r="D6085" i="106" s="1"/>
  <c r="B6253" i="106"/>
  <c r="D6253" i="106" s="1"/>
  <c r="B4796" i="106"/>
  <c r="D4796" i="106" s="1"/>
  <c r="B97" i="106"/>
  <c r="D97" i="106" s="1"/>
  <c r="D13" i="3"/>
  <c r="B109" i="106" s="1"/>
  <c r="D109" i="106" s="1"/>
  <c r="B6670" i="106"/>
  <c r="D6670" i="106" s="1"/>
  <c r="B6632" i="106"/>
  <c r="D6632" i="106" s="1"/>
  <c r="B799" i="106"/>
  <c r="D799" i="106" s="1"/>
  <c r="B4076" i="106"/>
  <c r="D4076" i="106" s="1"/>
  <c r="B6101" i="106"/>
  <c r="D6101" i="106" s="1"/>
  <c r="B5740" i="106"/>
  <c r="D5740" i="106" s="1"/>
  <c r="B7679" i="106"/>
  <c r="D7679" i="106" s="1"/>
  <c r="K306" i="29"/>
  <c r="B7105" i="106"/>
  <c r="D7105" i="106" s="1"/>
  <c r="E310" i="29"/>
  <c r="B7114" i="106" s="1"/>
  <c r="D7114" i="106" s="1"/>
  <c r="B4333" i="106"/>
  <c r="D4333" i="106" s="1"/>
  <c r="B6867" i="106"/>
  <c r="D6867" i="106" s="1"/>
  <c r="B1540" i="106"/>
  <c r="D1540" i="106" s="1"/>
  <c r="B6807" i="106"/>
  <c r="D6807" i="106" s="1"/>
  <c r="B6870" i="106"/>
  <c r="D6870" i="106" s="1"/>
  <c r="B6707" i="106"/>
  <c r="D6707" i="106" s="1"/>
  <c r="B1030" i="106"/>
  <c r="D1030" i="106" s="1"/>
  <c r="B3273" i="106"/>
  <c r="D3273" i="106" s="1"/>
  <c r="F127" i="29"/>
  <c r="B1247" i="106" s="1"/>
  <c r="D1247" i="106" s="1"/>
  <c r="B1243" i="106"/>
  <c r="D1243" i="106" s="1"/>
  <c r="B6640" i="106"/>
  <c r="D6640" i="106" s="1"/>
  <c r="B5101" i="106"/>
  <c r="D5101" i="106" s="1"/>
  <c r="B6116" i="106"/>
  <c r="D6116" i="106" s="1"/>
  <c r="B7196" i="106"/>
  <c r="D7196" i="106" s="1"/>
  <c r="B4315" i="106"/>
  <c r="D4315" i="106" s="1"/>
  <c r="B3653" i="106"/>
  <c r="D3653" i="106" s="1"/>
  <c r="K80" i="29"/>
  <c r="B2975" i="106" s="1"/>
  <c r="D2975" i="106" s="1"/>
  <c r="B2951" i="106"/>
  <c r="D2951" i="106" s="1"/>
  <c r="B922" i="106"/>
  <c r="D922" i="106" s="1"/>
  <c r="L340" i="29"/>
  <c r="B6800" i="106"/>
  <c r="D6800" i="106" s="1"/>
  <c r="B7075" i="106"/>
  <c r="D7075" i="106" s="1"/>
  <c r="K218" i="29"/>
  <c r="B6399" i="106"/>
  <c r="D6399" i="106" s="1"/>
  <c r="B4917" i="106"/>
  <c r="D4917" i="106" s="1"/>
  <c r="B1450" i="106"/>
  <c r="D1450" i="106" s="1"/>
  <c r="K289" i="29"/>
  <c r="B1513" i="106" s="1"/>
  <c r="D1513" i="106" s="1"/>
  <c r="B4947" i="106"/>
  <c r="D4947" i="106" s="1"/>
  <c r="L92" i="29"/>
  <c r="B925" i="106"/>
  <c r="D925" i="106" s="1"/>
  <c r="H42" i="29"/>
  <c r="B1011" i="106"/>
  <c r="D1011" i="106" s="1"/>
  <c r="B7232" i="106"/>
  <c r="D7232" i="106" s="1"/>
  <c r="B842" i="106"/>
  <c r="D842" i="106" s="1"/>
  <c r="B733" i="106"/>
  <c r="D733" i="106" s="1"/>
  <c r="K50" i="29"/>
  <c r="B1228" i="106"/>
  <c r="D1228" i="106" s="1"/>
  <c r="B5089" i="106"/>
  <c r="D5089" i="106" s="1"/>
  <c r="C67" i="5"/>
  <c r="B5090" i="106" s="1"/>
  <c r="D5090" i="106" s="1"/>
  <c r="B5880" i="106"/>
  <c r="D5880" i="106" s="1"/>
  <c r="L334" i="29"/>
  <c r="F147" i="34"/>
  <c r="B6737" i="106"/>
  <c r="D6737" i="106" s="1"/>
  <c r="B1033" i="106"/>
  <c r="D1033" i="106" s="1"/>
  <c r="B782" i="106"/>
  <c r="D782" i="106" s="1"/>
  <c r="B6647" i="106"/>
  <c r="D6647" i="106" s="1"/>
  <c r="B5109" i="106"/>
  <c r="D5109" i="106" s="1"/>
  <c r="B5876" i="106"/>
  <c r="D5876" i="106" s="1"/>
  <c r="D330" i="29"/>
  <c r="B7119" i="106"/>
  <c r="D7119" i="106" s="1"/>
  <c r="B5171" i="106"/>
  <c r="D5171" i="106" s="1"/>
  <c r="B6751" i="106"/>
  <c r="D6751" i="106" s="1"/>
  <c r="B6966" i="106"/>
  <c r="D6966" i="106" s="1"/>
  <c r="B5080" i="106"/>
  <c r="D5080" i="106" s="1"/>
  <c r="B4356" i="106"/>
  <c r="D4356" i="106" s="1"/>
  <c r="B7668" i="106"/>
  <c r="D7668" i="106" s="1"/>
  <c r="B7656" i="106"/>
  <c r="D7656" i="106" s="1"/>
  <c r="B6786" i="106"/>
  <c r="D6786" i="106" s="1"/>
  <c r="B6188" i="106"/>
  <c r="D6188" i="106" s="1"/>
  <c r="B747" i="106"/>
  <c r="D747" i="106" s="1"/>
  <c r="K68" i="29"/>
  <c r="B849" i="106"/>
  <c r="D849" i="106" s="1"/>
  <c r="B4876" i="106"/>
  <c r="D4876" i="106" s="1"/>
  <c r="B6822" i="106"/>
  <c r="D6822" i="106" s="1"/>
  <c r="J65" i="29"/>
  <c r="B6962" i="106" s="1"/>
  <c r="D6962" i="106" s="1"/>
  <c r="B6951" i="106"/>
  <c r="D6951" i="106" s="1"/>
  <c r="F162" i="34"/>
  <c r="B7869" i="106" s="1"/>
  <c r="D7869" i="106" s="1"/>
  <c r="B4415" i="106"/>
  <c r="D4415" i="106" s="1"/>
  <c r="K233" i="29"/>
  <c r="B1476" i="106" s="1"/>
  <c r="D1476" i="106" s="1"/>
  <c r="B1412" i="106"/>
  <c r="D1412" i="106" s="1"/>
  <c r="B7187" i="106"/>
  <c r="D7187" i="106" s="1"/>
  <c r="B3230" i="106"/>
  <c r="D3230" i="106" s="1"/>
  <c r="B5529" i="106"/>
  <c r="D5529" i="106" s="1"/>
  <c r="B996" i="106"/>
  <c r="D996" i="106" s="1"/>
  <c r="B6805" i="106"/>
  <c r="D6805" i="106" s="1"/>
  <c r="B1039" i="106"/>
  <c r="D1039" i="106" s="1"/>
  <c r="B954" i="106"/>
  <c r="D954" i="106" s="1"/>
  <c r="B7130" i="106"/>
  <c r="D7130" i="106" s="1"/>
  <c r="B7023" i="106"/>
  <c r="D7023" i="106" s="1"/>
  <c r="J129" i="29"/>
  <c r="B788" i="106"/>
  <c r="D788" i="106" s="1"/>
  <c r="B6663" i="106"/>
  <c r="D6663" i="106" s="1"/>
  <c r="B1549" i="106"/>
  <c r="D1549" i="106" s="1"/>
  <c r="H303" i="29"/>
  <c r="B1553" i="106" s="1"/>
  <c r="D1553" i="106" s="1"/>
  <c r="B4191" i="106"/>
  <c r="D4191" i="106" s="1"/>
  <c r="B6172" i="106"/>
  <c r="D6172" i="106" s="1"/>
  <c r="B6362" i="106"/>
  <c r="D6362" i="106" s="1"/>
  <c r="B6976" i="106"/>
  <c r="D6976" i="106" s="1"/>
  <c r="K24" i="29"/>
  <c r="B6884" i="106"/>
  <c r="D6884" i="106" s="1"/>
  <c r="B2981" i="106"/>
  <c r="D2981" i="106" s="1"/>
  <c r="B5654" i="106"/>
  <c r="D5654" i="106" s="1"/>
  <c r="F175" i="5"/>
  <c r="B5655" i="106" s="1"/>
  <c r="D5655" i="106" s="1"/>
  <c r="B6716" i="106"/>
  <c r="D6716" i="106" s="1"/>
  <c r="B1344" i="106"/>
  <c r="D1344" i="106" s="1"/>
  <c r="B6764" i="106"/>
  <c r="D6764" i="106" s="1"/>
  <c r="B6677" i="106"/>
  <c r="D6677" i="106" s="1"/>
  <c r="B3372" i="106"/>
  <c r="D3372" i="106" s="1"/>
  <c r="B5086" i="106"/>
  <c r="D5086" i="106" s="1"/>
  <c r="B6347" i="106"/>
  <c r="D6347" i="106" s="1"/>
  <c r="B5818" i="106"/>
  <c r="D5818" i="106" s="1"/>
  <c r="B2990" i="106"/>
  <c r="D2990" i="106" s="1"/>
  <c r="K189" i="29"/>
  <c r="B3008" i="106" s="1"/>
  <c r="D3008" i="106" s="1"/>
  <c r="B6704" i="106"/>
  <c r="D6704" i="106" s="1"/>
  <c r="B6354" i="106"/>
  <c r="D6354" i="106" s="1"/>
  <c r="B5081" i="106"/>
  <c r="D5081" i="106" s="1"/>
  <c r="G127" i="29"/>
  <c r="B1256" i="106" s="1"/>
  <c r="D1256" i="106" s="1"/>
  <c r="B1251" i="106"/>
  <c r="D1251" i="106" s="1"/>
  <c r="B5927" i="106"/>
  <c r="D5927" i="106" s="1"/>
  <c r="I108" i="5"/>
  <c r="B5930" i="106" s="1"/>
  <c r="D5930" i="106" s="1"/>
  <c r="B2844" i="106"/>
  <c r="D2844" i="106" s="1"/>
  <c r="K291" i="29"/>
  <c r="B2846" i="106" s="1"/>
  <c r="D2846" i="106" s="1"/>
  <c r="B7113" i="106"/>
  <c r="D7113" i="106" s="1"/>
  <c r="B6830" i="106"/>
  <c r="D6830" i="106" s="1"/>
  <c r="I184" i="29"/>
  <c r="B7057" i="106"/>
  <c r="D7057" i="106" s="1"/>
  <c r="B5602" i="106"/>
  <c r="D5602" i="106" s="1"/>
  <c r="F156" i="34"/>
  <c r="B6817" i="106"/>
  <c r="D6817" i="106" s="1"/>
  <c r="B134" i="106"/>
  <c r="D134" i="106" s="1"/>
  <c r="B6860" i="106"/>
  <c r="D6860" i="106" s="1"/>
  <c r="K322" i="29"/>
  <c r="B7145" i="106"/>
  <c r="D7145" i="106" s="1"/>
  <c r="B4312" i="106"/>
  <c r="D4312" i="106" s="1"/>
  <c r="B6863" i="106"/>
  <c r="D6863" i="106" s="1"/>
  <c r="B5337" i="106"/>
  <c r="D5337" i="106" s="1"/>
  <c r="B879" i="106"/>
  <c r="D879" i="106" s="1"/>
  <c r="F33" i="29"/>
  <c r="B894" i="106" s="1"/>
  <c r="D894" i="106" s="1"/>
  <c r="B7684" i="106"/>
  <c r="D7684" i="106" s="1"/>
  <c r="K327" i="29"/>
  <c r="B7190" i="106"/>
  <c r="D7190" i="106" s="1"/>
  <c r="B4180" i="106"/>
  <c r="D4180" i="106" s="1"/>
  <c r="G209" i="5"/>
  <c r="B4414" i="106" s="1"/>
  <c r="D4414" i="106" s="1"/>
  <c r="B5799" i="106"/>
  <c r="D5799" i="106" s="1"/>
  <c r="F63" i="5"/>
  <c r="B5579" i="106" s="1"/>
  <c r="D5579" i="106" s="1"/>
  <c r="B5563" i="106"/>
  <c r="D5563" i="106" s="1"/>
  <c r="F85" i="34"/>
  <c r="B6866" i="106"/>
  <c r="D6866" i="106" s="1"/>
  <c r="B3484" i="106"/>
  <c r="D3484" i="106" s="1"/>
  <c r="B724" i="106"/>
  <c r="D724" i="106" s="1"/>
  <c r="K39" i="29"/>
  <c r="B1112" i="106" s="1"/>
  <c r="D1112" i="106" s="1"/>
  <c r="B2980" i="106"/>
  <c r="D2980" i="106" s="1"/>
  <c r="B6316" i="106"/>
  <c r="D6316" i="106" s="1"/>
  <c r="J67" i="5"/>
  <c r="B6318" i="106" s="1"/>
  <c r="D6318" i="106" s="1"/>
  <c r="B7229" i="106"/>
  <c r="D7229" i="106" s="1"/>
  <c r="K265" i="29"/>
  <c r="B1494" i="106" s="1"/>
  <c r="D1494" i="106" s="1"/>
  <c r="B1430" i="106"/>
  <c r="D1430" i="106" s="1"/>
  <c r="B4852" i="106"/>
  <c r="D4852" i="106" s="1"/>
  <c r="F171" i="34"/>
  <c r="B7876" i="106" s="1"/>
  <c r="D7876" i="106" s="1"/>
  <c r="B6854" i="106"/>
  <c r="D6854" i="106" s="1"/>
  <c r="B780" i="106"/>
  <c r="D780" i="106" s="1"/>
  <c r="J57" i="29"/>
  <c r="B6949" i="106" s="1"/>
  <c r="D6949" i="106" s="1"/>
  <c r="B6945" i="106"/>
  <c r="D6945" i="106" s="1"/>
  <c r="B5075" i="106"/>
  <c r="D5075" i="106" s="1"/>
  <c r="G12" i="5"/>
  <c r="B5725" i="106" s="1"/>
  <c r="D5725" i="106" s="1"/>
  <c r="B5722" i="106"/>
  <c r="D5722" i="106" s="1"/>
  <c r="B3585" i="106"/>
  <c r="D3585" i="106" s="1"/>
  <c r="K101" i="29"/>
  <c r="B7015" i="106" s="1"/>
  <c r="D7015" i="106" s="1"/>
  <c r="B2947" i="106"/>
  <c r="D2947" i="106" s="1"/>
  <c r="D42" i="29"/>
  <c r="B779" i="106"/>
  <c r="D779" i="106" s="1"/>
  <c r="K191" i="29"/>
  <c r="B3010" i="106" s="1"/>
  <c r="D3010" i="106" s="1"/>
  <c r="B2992" i="106"/>
  <c r="D2992" i="106" s="1"/>
  <c r="B6366" i="106"/>
  <c r="D6366" i="106" s="1"/>
  <c r="B1269" i="106"/>
  <c r="D1269" i="106" s="1"/>
  <c r="K143" i="29"/>
  <c r="B1284" i="106" s="1"/>
  <c r="D1284" i="106" s="1"/>
  <c r="B1396" i="106"/>
  <c r="D1396" i="106" s="1"/>
  <c r="K225" i="29"/>
  <c r="B1460" i="106" s="1"/>
  <c r="D1460" i="106" s="1"/>
  <c r="B2723" i="106"/>
  <c r="D2723" i="106" s="1"/>
  <c r="B5462" i="106"/>
  <c r="D5462" i="106" s="1"/>
  <c r="B7678" i="106"/>
  <c r="D7678" i="106" s="1"/>
  <c r="F155" i="5"/>
  <c r="B5618" i="106" s="1"/>
  <c r="D5618" i="106" s="1"/>
  <c r="B5615" i="106"/>
  <c r="D5615" i="106" s="1"/>
  <c r="B7152" i="106"/>
  <c r="D7152" i="106" s="1"/>
  <c r="B6291" i="106"/>
  <c r="D6291" i="106" s="1"/>
  <c r="L270" i="29"/>
  <c r="B6652" i="106"/>
  <c r="D6652" i="106" s="1"/>
  <c r="B5619" i="106"/>
  <c r="D5619" i="106" s="1"/>
  <c r="B5860" i="106"/>
  <c r="D5860" i="106" s="1"/>
  <c r="B7159" i="106"/>
  <c r="D7159" i="106" s="1"/>
  <c r="F150" i="34"/>
  <c r="B6769" i="106"/>
  <c r="D6769" i="106" s="1"/>
  <c r="B2766" i="106"/>
  <c r="D2766" i="106" s="1"/>
  <c r="B6319" i="106"/>
  <c r="D6319" i="106" s="1"/>
  <c r="J108" i="5"/>
  <c r="B6351" i="106" s="1"/>
  <c r="D6351" i="106" s="1"/>
  <c r="B5511" i="106"/>
  <c r="D5511" i="106" s="1"/>
  <c r="B5351" i="106"/>
  <c r="D5351" i="106" s="1"/>
  <c r="B5991" i="106"/>
  <c r="D5991" i="106" s="1"/>
  <c r="B5821" i="106"/>
  <c r="D5821" i="106" s="1"/>
  <c r="B1051" i="106"/>
  <c r="D1051" i="106" s="1"/>
  <c r="K109" i="29"/>
  <c r="B1149" i="106" s="1"/>
  <c r="D1149" i="106" s="1"/>
  <c r="B4806" i="106"/>
  <c r="D4806" i="106" s="1"/>
  <c r="B7157" i="106"/>
  <c r="D7157" i="106" s="1"/>
  <c r="B2794" i="106"/>
  <c r="D2794" i="106" s="1"/>
  <c r="B7777" i="106"/>
  <c r="D7777" i="106" s="1"/>
  <c r="K157" i="29"/>
  <c r="H160" i="29"/>
  <c r="B7053" i="106" s="1"/>
  <c r="D7053" i="106" s="1"/>
  <c r="B6970" i="106"/>
  <c r="D6970" i="106" s="1"/>
  <c r="B6696" i="106"/>
  <c r="D6696" i="106" s="1"/>
  <c r="C181" i="5"/>
  <c r="B5232" i="106" s="1"/>
  <c r="D5232" i="106" s="1"/>
  <c r="B5230" i="106"/>
  <c r="D5230" i="106" s="1"/>
  <c r="F123" i="34"/>
  <c r="B6900" i="106"/>
  <c r="D6900" i="106" s="1"/>
  <c r="K32" i="29"/>
  <c r="F51" i="34" s="1"/>
  <c r="K182" i="29"/>
  <c r="B1377" i="106" s="1"/>
  <c r="D1377" i="106" s="1"/>
  <c r="B1335" i="106"/>
  <c r="D1335" i="106" s="1"/>
  <c r="B6655" i="106"/>
  <c r="D6655" i="106" s="1"/>
  <c r="B5566" i="106"/>
  <c r="D5566" i="106" s="1"/>
  <c r="F87" i="34"/>
  <c r="B6132" i="106"/>
  <c r="D6132" i="106" s="1"/>
  <c r="K34" i="3"/>
  <c r="B3565" i="106" s="1"/>
  <c r="D3565" i="106" s="1"/>
  <c r="B5496" i="106"/>
  <c r="D5496" i="106" s="1"/>
  <c r="B5368" i="106"/>
  <c r="D5368" i="106" s="1"/>
  <c r="D132" i="5"/>
  <c r="B6814" i="106"/>
  <c r="D6814" i="106" s="1"/>
  <c r="H44" i="4"/>
  <c r="B6289" i="106"/>
  <c r="D6289" i="106" s="1"/>
  <c r="F124" i="34"/>
  <c r="B7856" i="106" s="1"/>
  <c r="D7856" i="106" s="1"/>
  <c r="B785" i="106"/>
  <c r="D785" i="106" s="1"/>
  <c r="B7107" i="106"/>
  <c r="D7107" i="106" s="1"/>
  <c r="K310" i="29"/>
  <c r="B7198" i="106"/>
  <c r="D7198" i="106" s="1"/>
  <c r="E65" i="184"/>
  <c r="N65" i="184" s="1"/>
  <c r="B7153" i="106"/>
  <c r="D7153" i="106" s="1"/>
  <c r="E60" i="184"/>
  <c r="N60" i="184" s="1"/>
  <c r="B1745" i="106"/>
  <c r="D1745" i="106" s="1"/>
  <c r="D5" i="7"/>
  <c r="B1761" i="106" s="1"/>
  <c r="D1761" i="106" s="1"/>
  <c r="K266" i="5"/>
  <c r="B4442" i="106" s="1"/>
  <c r="D4442" i="106" s="1"/>
  <c r="B6840" i="106"/>
  <c r="D6840" i="106" s="1"/>
  <c r="B1482" i="106"/>
  <c r="D1482" i="106" s="1"/>
  <c r="K243" i="29"/>
  <c r="B1485" i="106" s="1"/>
  <c r="D1485" i="106" s="1"/>
  <c r="B4951" i="106"/>
  <c r="D4951" i="106" s="1"/>
  <c r="B1541" i="106"/>
  <c r="D1541" i="106" s="1"/>
  <c r="F312" i="29"/>
  <c r="B1542" i="106" s="1"/>
  <c r="D1542" i="106" s="1"/>
  <c r="B7696" i="106"/>
  <c r="D7696" i="106" s="1"/>
  <c r="E66" i="184"/>
  <c r="N66" i="184" s="1"/>
  <c r="B843" i="106"/>
  <c r="D843" i="106" s="1"/>
  <c r="F129" i="29"/>
  <c r="B1109" i="106"/>
  <c r="D1109" i="106" s="1"/>
  <c r="K42" i="29"/>
  <c r="B1749" i="106"/>
  <c r="D1749" i="106" s="1"/>
  <c r="D10" i="7"/>
  <c r="B1765" i="106" s="1"/>
  <c r="D1765" i="106" s="1"/>
  <c r="B1128" i="106"/>
  <c r="D1128" i="106" s="1"/>
  <c r="B3390" i="106"/>
  <c r="D3390" i="106" s="1"/>
  <c r="K229" i="29"/>
  <c r="B7199" i="106"/>
  <c r="D7199" i="106" s="1"/>
  <c r="C342" i="29"/>
  <c r="B7216" i="106" s="1"/>
  <c r="D7216" i="106" s="1"/>
  <c r="B959" i="106"/>
  <c r="D959" i="106" s="1"/>
  <c r="B5147" i="106"/>
  <c r="D5147" i="106" s="1"/>
  <c r="F106" i="34"/>
  <c r="B7842" i="106" s="1"/>
  <c r="D7842" i="106" s="1"/>
  <c r="C169" i="5"/>
  <c r="B1383" i="106"/>
  <c r="D1383" i="106" s="1"/>
  <c r="K204" i="29"/>
  <c r="B3633" i="106"/>
  <c r="D3633" i="106" s="1"/>
  <c r="E352" i="29"/>
  <c r="F133" i="34"/>
  <c r="B7865" i="106" s="1"/>
  <c r="D7865" i="106" s="1"/>
  <c r="B5260" i="106"/>
  <c r="D5260" i="106" s="1"/>
  <c r="F127" i="34"/>
  <c r="B7859" i="106" s="1"/>
  <c r="D7859" i="106" s="1"/>
  <c r="C14" i="4"/>
  <c r="B2558" i="106" s="1"/>
  <c r="D2558" i="106" s="1"/>
  <c r="F52" i="34"/>
  <c r="B7831" i="106" s="1"/>
  <c r="D7831" i="106" s="1"/>
  <c r="G39" i="108"/>
  <c r="E39" i="108"/>
  <c r="B1144" i="106"/>
  <c r="D1144" i="106" s="1"/>
  <c r="B5513" i="106"/>
  <c r="D5513" i="106" s="1"/>
  <c r="B5614" i="106"/>
  <c r="D5614" i="106" s="1"/>
  <c r="B5246" i="106"/>
  <c r="D5246" i="106" s="1"/>
  <c r="F126" i="34"/>
  <c r="B7858" i="106" s="1"/>
  <c r="D7858" i="106" s="1"/>
  <c r="B4950" i="106"/>
  <c r="D4950" i="106" s="1"/>
  <c r="H76" i="4"/>
  <c r="B3298" i="106" s="1"/>
  <c r="D3298" i="106" s="1"/>
  <c r="K100" i="29"/>
  <c r="B7013" i="106" s="1"/>
  <c r="D7013" i="106" s="1"/>
  <c r="K147" i="29"/>
  <c r="B1283" i="106"/>
  <c r="D1283" i="106" s="1"/>
  <c r="F69" i="34"/>
  <c r="B7078" i="106"/>
  <c r="D7078" i="106" s="1"/>
  <c r="B4102" i="106"/>
  <c r="D4102" i="106" s="1"/>
  <c r="D17" i="7"/>
  <c r="B4104" i="106" s="1"/>
  <c r="D4104" i="106" s="1"/>
  <c r="B2973" i="106"/>
  <c r="D2973" i="106" s="1"/>
  <c r="K84" i="29"/>
  <c r="B1116" i="106"/>
  <c r="D1116" i="106" s="1"/>
  <c r="K47" i="29"/>
  <c r="B1752" i="106"/>
  <c r="D1752" i="106" s="1"/>
  <c r="D11" i="7"/>
  <c r="B1768" i="106" s="1"/>
  <c r="D1768" i="106" s="1"/>
  <c r="D31" i="108"/>
  <c r="B1131" i="106"/>
  <c r="D1131" i="106" s="1"/>
  <c r="B5066" i="106"/>
  <c r="D5066" i="106" s="1"/>
  <c r="C109" i="5"/>
  <c r="B1547" i="106"/>
  <c r="D1547" i="106" s="1"/>
  <c r="G312" i="29"/>
  <c r="B1548" i="106" s="1"/>
  <c r="D1548" i="106" s="1"/>
  <c r="D129" i="29"/>
  <c r="B2105" i="106"/>
  <c r="D2105" i="106" s="1"/>
  <c r="I76" i="4"/>
  <c r="E15" i="184"/>
  <c r="B1126" i="106"/>
  <c r="D1126" i="106" s="1"/>
  <c r="D26" i="108"/>
  <c r="F26" i="108"/>
  <c r="K65" i="29"/>
  <c r="B1133" i="106" s="1"/>
  <c r="D1133" i="106" s="1"/>
  <c r="B5987" i="106"/>
  <c r="D5987" i="106" s="1"/>
  <c r="K109" i="5"/>
  <c r="B6897" i="106"/>
  <c r="D6897" i="106" s="1"/>
  <c r="F49" i="34"/>
  <c r="B1314" i="106"/>
  <c r="D1314" i="106" s="1"/>
  <c r="H172" i="29"/>
  <c r="B1339" i="106"/>
  <c r="D1339" i="106" s="1"/>
  <c r="C210" i="29"/>
  <c r="B1340" i="106" s="1"/>
  <c r="D1340" i="106" s="1"/>
  <c r="B1470" i="106"/>
  <c r="D1470" i="106" s="1"/>
  <c r="F70" i="34"/>
  <c r="B1501" i="106"/>
  <c r="D1501" i="106" s="1"/>
  <c r="K277" i="29"/>
  <c r="B1508" i="106" s="1"/>
  <c r="D1508" i="106" s="1"/>
  <c r="B3252" i="106"/>
  <c r="D3252" i="106" s="1"/>
  <c r="E174" i="29"/>
  <c r="B1309" i="106" s="1"/>
  <c r="D1309" i="106" s="1"/>
  <c r="B1308" i="106"/>
  <c r="D1308" i="106" s="1"/>
  <c r="B6901" i="106"/>
  <c r="D6901" i="106" s="1"/>
  <c r="B5102" i="106"/>
  <c r="D5102" i="106" s="1"/>
  <c r="F96" i="34"/>
  <c r="B7838" i="106" s="1"/>
  <c r="D7838" i="106" s="1"/>
  <c r="L342" i="29"/>
  <c r="B1756" i="106"/>
  <c r="D1756" i="106" s="1"/>
  <c r="D15" i="7"/>
  <c r="B1772" i="106" s="1"/>
  <c r="D1772" i="106" s="1"/>
  <c r="B7135" i="106"/>
  <c r="D7135" i="106" s="1"/>
  <c r="E58" i="184"/>
  <c r="N58" i="184" s="1"/>
  <c r="B7104" i="106"/>
  <c r="D7104" i="106" s="1"/>
  <c r="J312" i="29"/>
  <c r="B7117" i="106" s="1"/>
  <c r="D7117" i="106" s="1"/>
  <c r="B6883" i="106"/>
  <c r="D6883" i="106" s="1"/>
  <c r="F42" i="34"/>
  <c r="H312" i="29"/>
  <c r="B1554" i="106" s="1"/>
  <c r="D1554" i="106" s="1"/>
  <c r="G352" i="29"/>
  <c r="B3647" i="106"/>
  <c r="D3647" i="106" s="1"/>
  <c r="B5741" i="106"/>
  <c r="D5741" i="106" s="1"/>
  <c r="G5" i="4"/>
  <c r="B3409" i="106" s="1"/>
  <c r="D3409" i="106" s="1"/>
  <c r="B6899" i="106"/>
  <c r="D6899" i="106" s="1"/>
  <c r="F50" i="34"/>
  <c r="B6848" i="106"/>
  <c r="D6848" i="106" s="1"/>
  <c r="F34" i="34"/>
  <c r="B7826" i="106" s="1"/>
  <c r="D7826" i="106" s="1"/>
  <c r="B3007" i="106"/>
  <c r="D3007" i="106" s="1"/>
  <c r="B1053" i="106"/>
  <c r="D1053" i="106" s="1"/>
  <c r="H112" i="29"/>
  <c r="B7018" i="106" s="1"/>
  <c r="D7018" i="106" s="1"/>
  <c r="B7206" i="106"/>
  <c r="D7206" i="106" s="1"/>
  <c r="B727" i="106"/>
  <c r="D727" i="106" s="1"/>
  <c r="B5752" i="106"/>
  <c r="D5752" i="106" s="1"/>
  <c r="G169" i="5"/>
  <c r="E67" i="184"/>
  <c r="N67" i="184" s="1"/>
  <c r="B7705" i="106"/>
  <c r="D7705" i="106" s="1"/>
  <c r="B1417" i="106"/>
  <c r="D1417" i="106" s="1"/>
  <c r="D279" i="29"/>
  <c r="B1136" i="106"/>
  <c r="D1136" i="106" s="1"/>
  <c r="E35" i="108"/>
  <c r="G35" i="108"/>
  <c r="B1358" i="106"/>
  <c r="D1358" i="106" s="1"/>
  <c r="F210" i="29"/>
  <c r="B1359" i="106" s="1"/>
  <c r="D1359" i="106" s="1"/>
  <c r="B1452" i="106"/>
  <c r="D1452" i="106" s="1"/>
  <c r="H295" i="29"/>
  <c r="B1454" i="106" s="1"/>
  <c r="D1454" i="106" s="1"/>
  <c r="B7784" i="106"/>
  <c r="D7784" i="106" s="1"/>
  <c r="K285" i="29"/>
  <c r="K92" i="29"/>
  <c r="B2089" i="106" s="1"/>
  <c r="D2089" i="106" s="1"/>
  <c r="B6995" i="106"/>
  <c r="D6995" i="106" s="1"/>
  <c r="B6889" i="106"/>
  <c r="D6889" i="106" s="1"/>
  <c r="F45" i="34"/>
  <c r="B6916" i="106"/>
  <c r="D6916" i="106" s="1"/>
  <c r="B1120" i="106"/>
  <c r="D1120" i="106" s="1"/>
  <c r="K53" i="29"/>
  <c r="B1492" i="106"/>
  <c r="D1492" i="106" s="1"/>
  <c r="K270" i="29"/>
  <c r="B1500" i="106" s="1"/>
  <c r="D1500" i="106" s="1"/>
  <c r="B7209" i="106"/>
  <c r="D7209" i="106" s="1"/>
  <c r="K340" i="29"/>
  <c r="E44" i="4"/>
  <c r="D6" i="7"/>
  <c r="B1762" i="106" s="1"/>
  <c r="D1762" i="106" s="1"/>
  <c r="B1746" i="106"/>
  <c r="D1746" i="106" s="1"/>
  <c r="B7064" i="106"/>
  <c r="D7064" i="106" s="1"/>
  <c r="J210" i="29"/>
  <c r="B7072" i="106" s="1"/>
  <c r="D7072" i="106" s="1"/>
  <c r="B6879" i="106"/>
  <c r="D6879" i="106" s="1"/>
  <c r="F40" i="34"/>
  <c r="B5178" i="106"/>
  <c r="D5178" i="106" s="1"/>
  <c r="F112" i="34"/>
  <c r="B7847" i="106" s="1"/>
  <c r="D7847" i="106" s="1"/>
  <c r="B7203" i="106"/>
  <c r="D7203" i="106" s="1"/>
  <c r="G342" i="29"/>
  <c r="B6357" i="106"/>
  <c r="D6357" i="106" s="1"/>
  <c r="J170" i="5"/>
  <c r="B1364" i="106"/>
  <c r="D1364" i="106" s="1"/>
  <c r="G210" i="29"/>
  <c r="B5873" i="106"/>
  <c r="D5873" i="106" s="1"/>
  <c r="H109" i="5"/>
  <c r="B1139" i="106"/>
  <c r="D1139" i="106" s="1"/>
  <c r="D37" i="108"/>
  <c r="F37" i="108"/>
  <c r="B6301" i="106"/>
  <c r="D6301" i="106" s="1"/>
  <c r="J109" i="5"/>
  <c r="B7231" i="106"/>
  <c r="D7231" i="106" s="1"/>
  <c r="J352" i="29"/>
  <c r="E64" i="184"/>
  <c r="N64" i="184" s="1"/>
  <c r="B7189" i="106"/>
  <c r="D7189" i="106" s="1"/>
  <c r="B6238" i="106"/>
  <c r="D6238" i="106" s="1"/>
  <c r="J77" i="4"/>
  <c r="B6262" i="106" s="1"/>
  <c r="D6262" i="106" s="1"/>
  <c r="B5534" i="106"/>
  <c r="D5534" i="106" s="1"/>
  <c r="B6895" i="106"/>
  <c r="D6895" i="106" s="1"/>
  <c r="F48" i="34"/>
  <c r="B7786" i="106"/>
  <c r="D7786" i="106" s="1"/>
  <c r="K334" i="29"/>
  <c r="B7792" i="106"/>
  <c r="D7792" i="106" s="1"/>
  <c r="K357" i="29"/>
  <c r="B3235" i="106"/>
  <c r="D3235" i="106" s="1"/>
  <c r="D77" i="4"/>
  <c r="B3238" i="106" s="1"/>
  <c r="D3238" i="106" s="1"/>
  <c r="B1142" i="106"/>
  <c r="D1142" i="106" s="1"/>
  <c r="E38" i="108"/>
  <c r="G38" i="108"/>
  <c r="B1753" i="106"/>
  <c r="D1753" i="106" s="1"/>
  <c r="D12" i="7"/>
  <c r="B1769" i="106" s="1"/>
  <c r="D1769" i="106" s="1"/>
  <c r="B7205" i="106"/>
  <c r="D7205" i="106" s="1"/>
  <c r="I342" i="29"/>
  <c r="B3702" i="106"/>
  <c r="D3702" i="106" s="1"/>
  <c r="K76" i="4"/>
  <c r="B3725" i="106"/>
  <c r="D3725" i="106" s="1"/>
  <c r="D13" i="7"/>
  <c r="B3726" i="106" s="1"/>
  <c r="D3726" i="106" s="1"/>
  <c r="F95" i="34"/>
  <c r="B5096" i="106"/>
  <c r="D5096" i="106" s="1"/>
  <c r="B1017" i="106"/>
  <c r="D1017" i="106" s="1"/>
  <c r="E62" i="184"/>
  <c r="N62" i="184" s="1"/>
  <c r="F266" i="5"/>
  <c r="B4397" i="106"/>
  <c r="D4397" i="106" s="1"/>
  <c r="B5161" i="106"/>
  <c r="D5161" i="106" s="1"/>
  <c r="F107" i="34"/>
  <c r="B7843" i="106" s="1"/>
  <c r="D7843" i="106" s="1"/>
  <c r="B6917" i="106"/>
  <c r="D6917" i="106" s="1"/>
  <c r="J74" i="29"/>
  <c r="E13" i="184"/>
  <c r="H13" i="184" s="1"/>
  <c r="B2724" i="106"/>
  <c r="D2724" i="106" s="1"/>
  <c r="B1345" i="106"/>
  <c r="D1345" i="106" s="1"/>
  <c r="D210" i="29"/>
  <c r="B1346" i="106" s="1"/>
  <c r="D1346" i="106" s="1"/>
  <c r="B1754" i="106"/>
  <c r="D1754" i="106" s="1"/>
  <c r="D14" i="7"/>
  <c r="B1770" i="106" s="1"/>
  <c r="D1770" i="106" s="1"/>
  <c r="B1486" i="106"/>
  <c r="D1486" i="106" s="1"/>
  <c r="K257" i="29"/>
  <c r="B1488" i="106" s="1"/>
  <c r="D1488" i="106" s="1"/>
  <c r="B1529" i="106"/>
  <c r="D1529" i="106" s="1"/>
  <c r="D312" i="29"/>
  <c r="B1530" i="106" s="1"/>
  <c r="D1530" i="106" s="1"/>
  <c r="B7037" i="106"/>
  <c r="D7037" i="106" s="1"/>
  <c r="I151" i="29"/>
  <c r="B6400" i="106"/>
  <c r="D6400" i="106" s="1"/>
  <c r="B1475" i="106"/>
  <c r="D1475" i="106" s="1"/>
  <c r="K238" i="29"/>
  <c r="B1535" i="106"/>
  <c r="D1535" i="106" s="1"/>
  <c r="E312" i="29"/>
  <c r="B1536" i="106" s="1"/>
  <c r="D1536" i="106" s="1"/>
  <c r="B7126" i="106"/>
  <c r="D7126" i="106" s="1"/>
  <c r="E57" i="184"/>
  <c r="B1512" i="106"/>
  <c r="D1512" i="106" s="1"/>
  <c r="K293" i="29"/>
  <c r="B6887" i="106"/>
  <c r="D6887" i="106" s="1"/>
  <c r="F44" i="34"/>
  <c r="E266" i="5"/>
  <c r="B6835" i="106"/>
  <c r="D6835" i="106" s="1"/>
  <c r="H208" i="29"/>
  <c r="B1375" i="106" s="1"/>
  <c r="D1375" i="106" s="1"/>
  <c r="B4156" i="106"/>
  <c r="D4156" i="106" s="1"/>
  <c r="B4211" i="106"/>
  <c r="D4211" i="106" s="1"/>
  <c r="F64" i="34"/>
  <c r="B4395" i="106"/>
  <c r="D4395" i="106" s="1"/>
  <c r="C266" i="5"/>
  <c r="F125" i="34"/>
  <c r="B7857" i="106" s="1"/>
  <c r="D7857" i="106" s="1"/>
  <c r="B3668" i="106"/>
  <c r="D3668" i="106" s="1"/>
  <c r="B6891" i="106"/>
  <c r="D6891" i="106" s="1"/>
  <c r="F46" i="34"/>
  <c r="B6881" i="106"/>
  <c r="D6881" i="106" s="1"/>
  <c r="F41" i="34"/>
  <c r="B3446" i="106"/>
  <c r="D3446" i="106" s="1"/>
  <c r="D16" i="7"/>
  <c r="B3447" i="106" s="1"/>
  <c r="D3447" i="106" s="1"/>
  <c r="E59" i="184"/>
  <c r="N59" i="184" s="1"/>
  <c r="B7144" i="106"/>
  <c r="D7144" i="106" s="1"/>
  <c r="B5592" i="106"/>
  <c r="D5592" i="106" s="1"/>
  <c r="F5" i="4"/>
  <c r="B3408" i="106" s="1"/>
  <c r="D3408" i="106" s="1"/>
  <c r="B1751" i="106"/>
  <c r="D1751" i="106" s="1"/>
  <c r="D9" i="7"/>
  <c r="B1767" i="106" s="1"/>
  <c r="D1767" i="106" s="1"/>
  <c r="B5893" i="106"/>
  <c r="D5893" i="106" s="1"/>
  <c r="H170" i="5"/>
  <c r="H196" i="29"/>
  <c r="B2828" i="106"/>
  <c r="D2828" i="106" s="1"/>
  <c r="B4411" i="106"/>
  <c r="D4411" i="106" s="1"/>
  <c r="F128" i="34"/>
  <c r="B7860" i="106" s="1"/>
  <c r="D7860" i="106" s="1"/>
  <c r="B5360" i="106"/>
  <c r="D5360" i="106" s="1"/>
  <c r="D5" i="4"/>
  <c r="B3406" i="106" s="1"/>
  <c r="D3406" i="106" s="1"/>
  <c r="B3675" i="106"/>
  <c r="D3675" i="106" s="1"/>
  <c r="K362" i="29"/>
  <c r="D27" i="108"/>
  <c r="B1127" i="106"/>
  <c r="D1127" i="106" s="1"/>
  <c r="F27" i="108"/>
  <c r="F342" i="29"/>
  <c r="B7219" i="106" s="1"/>
  <c r="D7219" i="106" s="1"/>
  <c r="B1324" i="106"/>
  <c r="D1324" i="106" s="1"/>
  <c r="K168" i="29"/>
  <c r="B1093" i="106"/>
  <c r="D1093" i="106" s="1"/>
  <c r="K33" i="29"/>
  <c r="B1329" i="106"/>
  <c r="D1329" i="106" s="1"/>
  <c r="F61" i="34"/>
  <c r="K303" i="29"/>
  <c r="B1555" i="106"/>
  <c r="D1555" i="106" s="1"/>
  <c r="B5369" i="106"/>
  <c r="D5369" i="106" s="1"/>
  <c r="D169" i="5"/>
  <c r="B7180" i="106"/>
  <c r="D7180" i="106" s="1"/>
  <c r="E63" i="184"/>
  <c r="N63" i="184" s="1"/>
  <c r="D342" i="29"/>
  <c r="B7217" i="106" s="1"/>
  <c r="D7217" i="106" s="1"/>
  <c r="B7200" i="106"/>
  <c r="D7200" i="106" s="1"/>
  <c r="E12" i="184"/>
  <c r="B1121" i="106"/>
  <c r="D1121" i="106" s="1"/>
  <c r="B5334" i="106"/>
  <c r="D5334" i="106" s="1"/>
  <c r="B7063" i="106"/>
  <c r="D7063" i="106" s="1"/>
  <c r="I210" i="29"/>
  <c r="B6885" i="106"/>
  <c r="D6885" i="106" s="1"/>
  <c r="F43" i="34"/>
  <c r="E17" i="184"/>
  <c r="H17" i="184" s="1"/>
  <c r="E33" i="108"/>
  <c r="B1134" i="106"/>
  <c r="D1134" i="106" s="1"/>
  <c r="G33" i="108"/>
  <c r="K72" i="29"/>
  <c r="B1141" i="106" s="1"/>
  <c r="D1141" i="106" s="1"/>
  <c r="B6858" i="106"/>
  <c r="D6858" i="106" s="1"/>
  <c r="F36" i="34"/>
  <c r="B7828" i="106" s="1"/>
  <c r="D7828" i="106" s="1"/>
  <c r="B7201" i="106"/>
  <c r="D7201" i="106" s="1"/>
  <c r="E342" i="29"/>
  <c r="B7218" i="106" s="1"/>
  <c r="D7218" i="106" s="1"/>
  <c r="B1107" i="106"/>
  <c r="D1107" i="106" s="1"/>
  <c r="F38" i="34"/>
  <c r="B7830" i="106" s="1"/>
  <c r="D7830" i="106" s="1"/>
  <c r="B1104" i="106"/>
  <c r="D1104" i="106" s="1"/>
  <c r="F37" i="34"/>
  <c r="B7829" i="106" s="1"/>
  <c r="D7829" i="106" s="1"/>
  <c r="B4103" i="106"/>
  <c r="D4103" i="106" s="1"/>
  <c r="D18" i="7"/>
  <c r="B4105" i="106" s="1"/>
  <c r="D4105" i="106" s="1"/>
  <c r="B7103" i="106"/>
  <c r="D7103" i="106" s="1"/>
  <c r="I312" i="29"/>
  <c r="B7116" i="106" s="1"/>
  <c r="D7116" i="106" s="1"/>
  <c r="F39" i="34"/>
  <c r="B6877" i="106"/>
  <c r="D6877" i="106" s="1"/>
  <c r="B4373" i="106"/>
  <c r="D4373" i="106" s="1"/>
  <c r="I267" i="5"/>
  <c r="G266" i="5"/>
  <c r="B4398" i="106"/>
  <c r="D4398" i="106" s="1"/>
  <c r="B5165" i="106"/>
  <c r="D5165" i="106" s="1"/>
  <c r="F108" i="34"/>
  <c r="B7844" i="106" s="1"/>
  <c r="D7844" i="106" s="1"/>
  <c r="E196" i="29"/>
  <c r="B1352" i="106" s="1"/>
  <c r="D1352" i="106" s="1"/>
  <c r="B2823" i="106"/>
  <c r="D2823" i="106" s="1"/>
  <c r="B1351" i="106"/>
  <c r="D1351" i="106" s="1"/>
  <c r="B1146" i="106"/>
  <c r="D1146" i="106" s="1"/>
  <c r="K110" i="29"/>
  <c r="B7776" i="106"/>
  <c r="D7776" i="106" s="1"/>
  <c r="K137" i="29"/>
  <c r="F72" i="34"/>
  <c r="B5918" i="106"/>
  <c r="D5918" i="106" s="1"/>
  <c r="I109" i="5"/>
  <c r="B6853" i="106"/>
  <c r="D6853" i="106" s="1"/>
  <c r="F35" i="34"/>
  <c r="B7827" i="106" s="1"/>
  <c r="D7827" i="106" s="1"/>
  <c r="B1124" i="106"/>
  <c r="D1124" i="106" s="1"/>
  <c r="B4396" i="106"/>
  <c r="D4396" i="106" s="1"/>
  <c r="D266" i="5"/>
  <c r="B4363" i="106"/>
  <c r="D4363" i="106" s="1"/>
  <c r="B7074" i="106"/>
  <c r="D7074" i="106" s="1"/>
  <c r="F67" i="34"/>
  <c r="L279" i="29"/>
  <c r="L295" i="29" s="1"/>
  <c r="B3619" i="106"/>
  <c r="D3619" i="106" s="1"/>
  <c r="C352" i="29"/>
  <c r="J266" i="5"/>
  <c r="B7041" i="106" s="1"/>
  <c r="D7041" i="106" s="1"/>
  <c r="B6839" i="106"/>
  <c r="D6839" i="106" s="1"/>
  <c r="B1473" i="106"/>
  <c r="D1473" i="106" s="1"/>
  <c r="F71" i="34"/>
  <c r="G30" i="108"/>
  <c r="B901" i="106"/>
  <c r="D901" i="106" s="1"/>
  <c r="B6006" i="106"/>
  <c r="D6006" i="106" s="1"/>
  <c r="B2789" i="106"/>
  <c r="D2789" i="106" s="1"/>
  <c r="B1489" i="106"/>
  <c r="D1489" i="106" s="1"/>
  <c r="K261" i="29"/>
  <c r="B1491" i="106" s="1"/>
  <c r="D1491" i="106" s="1"/>
  <c r="B1747" i="106"/>
  <c r="D1747" i="106" s="1"/>
  <c r="D7" i="7"/>
  <c r="B1763" i="106" s="1"/>
  <c r="D1763" i="106" s="1"/>
  <c r="B1744" i="106"/>
  <c r="D1744" i="106" s="1"/>
  <c r="D4" i="7"/>
  <c r="B19" i="7"/>
  <c r="B1759" i="106" s="1"/>
  <c r="D1759" i="106" s="1"/>
  <c r="B3658" i="106"/>
  <c r="D3658" i="106" s="1"/>
  <c r="H365" i="29"/>
  <c r="B7242" i="106" s="1"/>
  <c r="D7242" i="106" s="1"/>
  <c r="B2081" i="106"/>
  <c r="D2081" i="106" s="1"/>
  <c r="H102" i="29"/>
  <c r="B1047" i="106" s="1"/>
  <c r="D1047" i="106" s="1"/>
  <c r="B7230" i="106"/>
  <c r="D7230" i="106" s="1"/>
  <c r="B6893" i="106"/>
  <c r="D6893" i="106" s="1"/>
  <c r="F47" i="34"/>
  <c r="K184" i="29"/>
  <c r="B4087" i="106"/>
  <c r="D4087" i="106" s="1"/>
  <c r="B1129" i="106"/>
  <c r="D1129" i="106" s="1"/>
  <c r="G29" i="108"/>
  <c r="E29" i="108"/>
  <c r="E61" i="184"/>
  <c r="N61" i="184" s="1"/>
  <c r="B7162" i="106"/>
  <c r="D7162" i="106" s="1"/>
  <c r="B1523" i="106"/>
  <c r="D1523" i="106" s="1"/>
  <c r="C312" i="29"/>
  <c r="B1524" i="106" s="1"/>
  <c r="D1524" i="106" s="1"/>
  <c r="B3654" i="106"/>
  <c r="D3654" i="106" s="1"/>
  <c r="H352" i="29"/>
  <c r="B1137" i="106"/>
  <c r="D1137" i="106" s="1"/>
  <c r="D36" i="108"/>
  <c r="F36" i="108"/>
  <c r="F15" i="184"/>
  <c r="F19" i="184" s="1"/>
  <c r="G26" i="108"/>
  <c r="E26" i="108"/>
  <c r="B1274" i="106"/>
  <c r="D1274" i="106" s="1"/>
  <c r="B279" i="106"/>
  <c r="D279" i="106" s="1"/>
  <c r="B2916" i="106"/>
  <c r="D2916" i="106" s="1"/>
  <c r="L41" i="3"/>
  <c r="F24" i="37"/>
  <c r="A7259" i="106"/>
  <c r="D7258" i="106"/>
  <c r="H37" i="37"/>
  <c r="B285" i="106"/>
  <c r="D285" i="106" s="1"/>
  <c r="N37" i="3"/>
  <c r="B3640" i="106" l="1"/>
  <c r="D3640" i="106" s="1"/>
  <c r="D352" i="29"/>
  <c r="K350" i="29"/>
  <c r="K330" i="29"/>
  <c r="H342" i="29"/>
  <c r="B7221" i="106" s="1"/>
  <c r="D7221" i="106" s="1"/>
  <c r="L312" i="29"/>
  <c r="B1511" i="106"/>
  <c r="D1511" i="106" s="1"/>
  <c r="L210" i="29"/>
  <c r="B7047" i="106"/>
  <c r="D7047" i="106" s="1"/>
  <c r="H129" i="29"/>
  <c r="E129" i="29"/>
  <c r="E28" i="108"/>
  <c r="K127" i="29"/>
  <c r="K129" i="29" s="1"/>
  <c r="F28" i="108"/>
  <c r="E102" i="29"/>
  <c r="B2790" i="106" s="1"/>
  <c r="D2790" i="106" s="1"/>
  <c r="F31" i="108"/>
  <c r="B1130" i="106"/>
  <c r="D1130" i="106" s="1"/>
  <c r="E14" i="184"/>
  <c r="H14" i="184" s="1"/>
  <c r="I74" i="29"/>
  <c r="I114" i="29" s="1"/>
  <c r="H74" i="29"/>
  <c r="F74" i="29"/>
  <c r="B929" i="106" s="1"/>
  <c r="D929" i="106" s="1"/>
  <c r="E74" i="29"/>
  <c r="B871" i="106" s="1"/>
  <c r="D871" i="106" s="1"/>
  <c r="C74" i="29"/>
  <c r="B755" i="106" s="1"/>
  <c r="D755" i="106" s="1"/>
  <c r="G74" i="29"/>
  <c r="D74" i="29"/>
  <c r="B813" i="106" s="1"/>
  <c r="D813" i="106" s="1"/>
  <c r="F158" i="34"/>
  <c r="B7866" i="106" s="1"/>
  <c r="D7866" i="106" s="1"/>
  <c r="K267" i="5"/>
  <c r="B6838" i="106"/>
  <c r="D6838" i="106" s="1"/>
  <c r="K170" i="5"/>
  <c r="E170" i="5"/>
  <c r="C5" i="4"/>
  <c r="B3405" i="106" s="1"/>
  <c r="D3405" i="106" s="1"/>
  <c r="E109" i="5"/>
  <c r="D109" i="5"/>
  <c r="G109" i="5"/>
  <c r="C77" i="4"/>
  <c r="B3232" i="106" s="1"/>
  <c r="D3232" i="106" s="1"/>
  <c r="G77" i="4"/>
  <c r="B3261" i="106" s="1"/>
  <c r="D3261" i="106" s="1"/>
  <c r="F68" i="34"/>
  <c r="B7076" i="106"/>
  <c r="D7076" i="106" s="1"/>
  <c r="E139" i="29"/>
  <c r="B4203" i="106" s="1"/>
  <c r="D4203" i="106" s="1"/>
  <c r="B4202" i="106"/>
  <c r="D4202" i="106" s="1"/>
  <c r="H139" i="29"/>
  <c r="B1267" i="106" s="1"/>
  <c r="D1267" i="106" s="1"/>
  <c r="B2091" i="106"/>
  <c r="D2091" i="106" s="1"/>
  <c r="K194" i="29"/>
  <c r="E151" i="29"/>
  <c r="B1242" i="106" s="1"/>
  <c r="D1242" i="106" s="1"/>
  <c r="B1241" i="106"/>
  <c r="D1241" i="106" s="1"/>
  <c r="B7712" i="106"/>
  <c r="D7712" i="106" s="1"/>
  <c r="K12" i="12"/>
  <c r="H12" i="12"/>
  <c r="B1972" i="106"/>
  <c r="D1972" i="106" s="1"/>
  <c r="F56" i="34"/>
  <c r="B7832" i="106" s="1"/>
  <c r="D7832" i="106" s="1"/>
  <c r="D14" i="4"/>
  <c r="B2570" i="106" s="1"/>
  <c r="D2570" i="106" s="1"/>
  <c r="B2805" i="106"/>
  <c r="D2805" i="106" s="1"/>
  <c r="G129" i="29"/>
  <c r="B1258" i="106" s="1"/>
  <c r="D1258" i="106" s="1"/>
  <c r="F109" i="5"/>
  <c r="F4" i="4" s="1"/>
  <c r="B2591" i="106" s="1"/>
  <c r="D2591" i="106" s="1"/>
  <c r="F169" i="5"/>
  <c r="F170" i="5" s="1"/>
  <c r="B1135" i="106"/>
  <c r="D1135" i="106" s="1"/>
  <c r="G34" i="108"/>
  <c r="E34" i="108"/>
  <c r="L102" i="29"/>
  <c r="L114" i="29" s="1"/>
  <c r="B1225" i="106"/>
  <c r="D1225" i="106" s="1"/>
  <c r="C151" i="29"/>
  <c r="B1226" i="106" s="1"/>
  <c r="D1226" i="106" s="1"/>
  <c r="B7778" i="106"/>
  <c r="D7778" i="106" s="1"/>
  <c r="K160" i="29"/>
  <c r="B7038" i="106"/>
  <c r="D7038" i="106" s="1"/>
  <c r="J151" i="29"/>
  <c r="B7052" i="106" s="1"/>
  <c r="D7052" i="106" s="1"/>
  <c r="I367" i="29"/>
  <c r="B7244" i="106" s="1"/>
  <c r="D7244" i="106" s="1"/>
  <c r="B7234" i="106"/>
  <c r="D7234" i="106" s="1"/>
  <c r="K139" i="29"/>
  <c r="B2093" i="106"/>
  <c r="D2093" i="106" s="1"/>
  <c r="E210" i="29"/>
  <c r="B1353" i="106" s="1"/>
  <c r="D1353" i="106" s="1"/>
  <c r="B4435" i="106"/>
  <c r="D4435" i="106" s="1"/>
  <c r="I7" i="4"/>
  <c r="B4444" i="106" s="1"/>
  <c r="D4444" i="106" s="1"/>
  <c r="H12" i="184"/>
  <c r="E19" i="184"/>
  <c r="B1108" i="106"/>
  <c r="D1108" i="106" s="1"/>
  <c r="E19" i="108"/>
  <c r="G19" i="108"/>
  <c r="C12" i="4"/>
  <c r="B2556" i="106" s="1"/>
  <c r="D2556" i="106" s="1"/>
  <c r="B2830" i="106"/>
  <c r="D2830" i="106" s="1"/>
  <c r="H210" i="29"/>
  <c r="B1376" i="106" s="1"/>
  <c r="D1376" i="106" s="1"/>
  <c r="B7747" i="106"/>
  <c r="D7747" i="106" s="1"/>
  <c r="E267" i="5"/>
  <c r="J267" i="5"/>
  <c r="B5713" i="106"/>
  <c r="D5713" i="106" s="1"/>
  <c r="F267" i="5"/>
  <c r="K15" i="4"/>
  <c r="B3573" i="106" s="1"/>
  <c r="D3573" i="106" s="1"/>
  <c r="B3674" i="106"/>
  <c r="D3674" i="106" s="1"/>
  <c r="J367" i="29"/>
  <c r="B7245" i="106" s="1"/>
  <c r="D7245" i="106" s="1"/>
  <c r="B7235" i="106"/>
  <c r="D7235" i="106" s="1"/>
  <c r="D295" i="29"/>
  <c r="B1448" i="106" s="1"/>
  <c r="D1448" i="106" s="1"/>
  <c r="B1446" i="106"/>
  <c r="D1446" i="106" s="1"/>
  <c r="B5770" i="106"/>
  <c r="D5770" i="106" s="1"/>
  <c r="G170" i="5"/>
  <c r="K196" i="29"/>
  <c r="B2837" i="106"/>
  <c r="D2837" i="106" s="1"/>
  <c r="H15" i="184"/>
  <c r="E4" i="4"/>
  <c r="B2630" i="106" s="1"/>
  <c r="D2630" i="106" s="1"/>
  <c r="B5527" i="106"/>
  <c r="D5527" i="106" s="1"/>
  <c r="B987" i="106"/>
  <c r="D987" i="106" s="1"/>
  <c r="G114" i="29"/>
  <c r="G12" i="4"/>
  <c r="B2607" i="106" s="1"/>
  <c r="D2607" i="106" s="1"/>
  <c r="B1474" i="106"/>
  <c r="D1474" i="106" s="1"/>
  <c r="E114" i="29"/>
  <c r="B873" i="106" s="1"/>
  <c r="D873" i="106" s="1"/>
  <c r="B1125" i="106"/>
  <c r="D1125" i="106" s="1"/>
  <c r="E24" i="108"/>
  <c r="G24" i="108"/>
  <c r="H15" i="4"/>
  <c r="B2660" i="106" s="1"/>
  <c r="D2660" i="106" s="1"/>
  <c r="B2102" i="106"/>
  <c r="D2102" i="106" s="1"/>
  <c r="B1279" i="106"/>
  <c r="D1279" i="106" s="1"/>
  <c r="B3656" i="106"/>
  <c r="D3656" i="106" s="1"/>
  <c r="H367" i="29"/>
  <c r="B3660" i="106" s="1"/>
  <c r="D3660" i="106" s="1"/>
  <c r="F13" i="4"/>
  <c r="B2596" i="106" s="1"/>
  <c r="D2596" i="106" s="1"/>
  <c r="B1381" i="106"/>
  <c r="D1381" i="106" s="1"/>
  <c r="B1760" i="106"/>
  <c r="D1760" i="106" s="1"/>
  <c r="D19" i="7"/>
  <c r="B1775" i="106" s="1"/>
  <c r="D1775" i="106" s="1"/>
  <c r="K6" i="4"/>
  <c r="B3570" i="106" s="1"/>
  <c r="D3570" i="106" s="1"/>
  <c r="B6014" i="106"/>
  <c r="D6014" i="106" s="1"/>
  <c r="B5501" i="106"/>
  <c r="D5501" i="106" s="1"/>
  <c r="D267" i="5"/>
  <c r="D4" i="4"/>
  <c r="B2564" i="106" s="1"/>
  <c r="D2564" i="106" s="1"/>
  <c r="B5356" i="106"/>
  <c r="D5356" i="106" s="1"/>
  <c r="B5412" i="106"/>
  <c r="D5412" i="106" s="1"/>
  <c r="D170" i="5"/>
  <c r="H13" i="4"/>
  <c r="K312" i="29"/>
  <c r="B1560" i="106" s="1"/>
  <c r="D1560" i="106" s="1"/>
  <c r="B1559" i="106"/>
  <c r="D1559" i="106" s="1"/>
  <c r="B3676" i="106"/>
  <c r="D3676" i="106" s="1"/>
  <c r="K365" i="29"/>
  <c r="B5906" i="106"/>
  <c r="D5906" i="106" s="1"/>
  <c r="H6" i="4"/>
  <c r="B2656" i="106" s="1"/>
  <c r="D2656" i="106" s="1"/>
  <c r="B1266" i="106"/>
  <c r="D1266" i="106" s="1"/>
  <c r="B5320" i="106"/>
  <c r="D5320" i="106" s="1"/>
  <c r="C267" i="5"/>
  <c r="B7207" i="106"/>
  <c r="D7207" i="106" s="1"/>
  <c r="J13" i="4"/>
  <c r="K342" i="29"/>
  <c r="B3586" i="106"/>
  <c r="D3586" i="106" s="1"/>
  <c r="K77" i="4"/>
  <c r="B3587" i="106" s="1"/>
  <c r="D3587" i="106" s="1"/>
  <c r="F65" i="34"/>
  <c r="B1365" i="106"/>
  <c r="D1365" i="106" s="1"/>
  <c r="F75" i="34"/>
  <c r="B7886" i="106" s="1"/>
  <c r="D7886" i="106" s="1"/>
  <c r="B7220" i="106"/>
  <c r="D7220" i="106" s="1"/>
  <c r="E77" i="4"/>
  <c r="B3277" i="106" s="1"/>
  <c r="D3277" i="106" s="1"/>
  <c r="B3274" i="106"/>
  <c r="D3274" i="106" s="1"/>
  <c r="F41" i="108"/>
  <c r="G43" i="108" s="1"/>
  <c r="I77" i="4"/>
  <c r="B3319" i="106" s="1"/>
  <c r="D3319" i="106" s="1"/>
  <c r="B3318" i="106"/>
  <c r="D3318" i="106" s="1"/>
  <c r="G22" i="108"/>
  <c r="B1119" i="106"/>
  <c r="D1119" i="106" s="1"/>
  <c r="E22" i="108"/>
  <c r="K208" i="29"/>
  <c r="B4157" i="106"/>
  <c r="D4157" i="106" s="1"/>
  <c r="K74" i="29"/>
  <c r="E21" i="108"/>
  <c r="G21" i="108"/>
  <c r="B1115" i="106"/>
  <c r="D1115" i="106" s="1"/>
  <c r="B3621" i="106"/>
  <c r="D3621" i="106" s="1"/>
  <c r="C367" i="29"/>
  <c r="B3622" i="106" s="1"/>
  <c r="D3622" i="106" s="1"/>
  <c r="K112" i="29"/>
  <c r="B1151" i="106"/>
  <c r="D1151" i="106" s="1"/>
  <c r="K172" i="29"/>
  <c r="B1328" i="106"/>
  <c r="D1328" i="106" s="1"/>
  <c r="B3670" i="106"/>
  <c r="D3670" i="106" s="1"/>
  <c r="K352" i="29"/>
  <c r="N57" i="184"/>
  <c r="N68" i="184" s="1"/>
  <c r="E68" i="184"/>
  <c r="K279" i="29"/>
  <c r="B1481" i="106"/>
  <c r="D1481" i="106" s="1"/>
  <c r="F59" i="34"/>
  <c r="B7051" i="106"/>
  <c r="D7051" i="106" s="1"/>
  <c r="J114" i="29"/>
  <c r="B7021" i="106" s="1"/>
  <c r="D7021" i="106" s="1"/>
  <c r="B6978" i="106"/>
  <c r="D6978" i="106" s="1"/>
  <c r="F175" i="34"/>
  <c r="B7877" i="106" s="1"/>
  <c r="D7877" i="106" s="1"/>
  <c r="B7790" i="106"/>
  <c r="D7790" i="106" s="1"/>
  <c r="J15" i="4"/>
  <c r="B7796" i="106" s="1"/>
  <c r="D7796" i="106" s="1"/>
  <c r="F74" i="34"/>
  <c r="E6" i="4"/>
  <c r="B2631" i="106" s="1"/>
  <c r="D2631" i="106" s="1"/>
  <c r="B5544" i="106"/>
  <c r="D5544" i="106" s="1"/>
  <c r="J4" i="4"/>
  <c r="B6352" i="106"/>
  <c r="D6352" i="106" s="1"/>
  <c r="J268" i="5"/>
  <c r="J16" i="4"/>
  <c r="B6226" i="106" s="1"/>
  <c r="D6226" i="106" s="1"/>
  <c r="B7215" i="106"/>
  <c r="D7215" i="106" s="1"/>
  <c r="B1122" i="106"/>
  <c r="D1122" i="106" s="1"/>
  <c r="G23" i="108"/>
  <c r="E23" i="108"/>
  <c r="H174" i="29"/>
  <c r="B1318" i="106" s="1"/>
  <c r="D1318" i="106" s="1"/>
  <c r="B1317" i="106"/>
  <c r="D1317" i="106" s="1"/>
  <c r="K268" i="5"/>
  <c r="K4" i="4"/>
  <c r="B6028" i="106"/>
  <c r="D6028" i="106" s="1"/>
  <c r="D41" i="108"/>
  <c r="E43" i="108" s="1"/>
  <c r="B7048" i="106"/>
  <c r="D7048" i="106" s="1"/>
  <c r="K149" i="29"/>
  <c r="B5644" i="106"/>
  <c r="D5644" i="106" s="1"/>
  <c r="D367" i="29"/>
  <c r="B3629" i="106" s="1"/>
  <c r="D3629" i="106" s="1"/>
  <c r="B3628" i="106"/>
  <c r="D3628" i="106" s="1"/>
  <c r="B6022" i="106"/>
  <c r="D6022" i="106" s="1"/>
  <c r="K7" i="4"/>
  <c r="B3718" i="106" s="1"/>
  <c r="D3718" i="106" s="1"/>
  <c r="D114" i="29"/>
  <c r="B815" i="106" s="1"/>
  <c r="D815" i="106" s="1"/>
  <c r="F367" i="29"/>
  <c r="B3643" i="106" s="1"/>
  <c r="D3643" i="106" s="1"/>
  <c r="B3642" i="106"/>
  <c r="D3642" i="106" s="1"/>
  <c r="B4216" i="106"/>
  <c r="D4216" i="106" s="1"/>
  <c r="I6" i="4"/>
  <c r="B5011" i="106" s="1"/>
  <c r="D5011" i="106" s="1"/>
  <c r="B6026" i="106"/>
  <c r="D6026" i="106" s="1"/>
  <c r="I4" i="4"/>
  <c r="I268" i="5"/>
  <c r="B5946" i="106" s="1"/>
  <c r="D5946" i="106" s="1"/>
  <c r="B5863" i="106"/>
  <c r="D5863" i="106" s="1"/>
  <c r="G267" i="5"/>
  <c r="B7071" i="106"/>
  <c r="D7071" i="106" s="1"/>
  <c r="F66" i="34"/>
  <c r="B6024" i="106"/>
  <c r="D6024" i="106" s="1"/>
  <c r="G4" i="4"/>
  <c r="B2603" i="106" s="1"/>
  <c r="D2603" i="106" s="1"/>
  <c r="B1515" i="106"/>
  <c r="D1515" i="106" s="1"/>
  <c r="G16" i="4"/>
  <c r="B2611" i="106" s="1"/>
  <c r="D2611" i="106" s="1"/>
  <c r="H114" i="29"/>
  <c r="B1054" i="106" s="1"/>
  <c r="D1054" i="106" s="1"/>
  <c r="B1045" i="106"/>
  <c r="D1045" i="106" s="1"/>
  <c r="B7222" i="106"/>
  <c r="D7222" i="106" s="1"/>
  <c r="F76" i="34"/>
  <c r="B7887" i="106" s="1"/>
  <c r="D7887" i="106" s="1"/>
  <c r="B6025" i="106"/>
  <c r="D6025" i="106" s="1"/>
  <c r="H4" i="4"/>
  <c r="J6" i="4"/>
  <c r="B6221" i="106" s="1"/>
  <c r="D6221" i="106" s="1"/>
  <c r="B6397" i="106"/>
  <c r="D6397" i="106" s="1"/>
  <c r="B3724" i="106"/>
  <c r="D3724" i="106" s="1"/>
  <c r="G15" i="4"/>
  <c r="B6032" i="106" s="1"/>
  <c r="D6032" i="106" s="1"/>
  <c r="F73" i="34"/>
  <c r="G367" i="29"/>
  <c r="B3650" i="106" s="1"/>
  <c r="D3650" i="106" s="1"/>
  <c r="B3649" i="106"/>
  <c r="D3649" i="106" s="1"/>
  <c r="D151" i="29"/>
  <c r="B1234" i="106" s="1"/>
  <c r="D1234" i="106" s="1"/>
  <c r="B1233" i="106"/>
  <c r="D1233" i="106" s="1"/>
  <c r="B5121" i="106"/>
  <c r="D5121" i="106" s="1"/>
  <c r="C4" i="4"/>
  <c r="B2551" i="106" s="1"/>
  <c r="D2551" i="106" s="1"/>
  <c r="B2088" i="106"/>
  <c r="D2088" i="106" s="1"/>
  <c r="K102" i="29"/>
  <c r="H267" i="5"/>
  <c r="E367" i="29"/>
  <c r="B3636" i="106" s="1"/>
  <c r="D3636" i="106" s="1"/>
  <c r="B3635" i="106"/>
  <c r="D3635" i="106" s="1"/>
  <c r="C170" i="5"/>
  <c r="B5214" i="106"/>
  <c r="D5214" i="106" s="1"/>
  <c r="F151" i="29"/>
  <c r="B1250" i="106" s="1"/>
  <c r="D1250" i="106" s="1"/>
  <c r="B1249" i="106"/>
  <c r="D1249" i="106" s="1"/>
  <c r="B3296" i="106"/>
  <c r="D3296" i="106" s="1"/>
  <c r="H77" i="4"/>
  <c r="B3299" i="106" s="1"/>
  <c r="D3299" i="106" s="1"/>
  <c r="B280" i="106"/>
  <c r="D280" i="106" s="1"/>
  <c r="M41" i="3"/>
  <c r="B2917" i="106"/>
  <c r="D2917" i="106" s="1"/>
  <c r="D53" i="36"/>
  <c r="N41" i="3"/>
  <c r="B287" i="106"/>
  <c r="D287" i="106" s="1"/>
  <c r="B4997" i="106"/>
  <c r="D4997" i="106" s="1"/>
  <c r="H32" i="118"/>
  <c r="K32" i="118" s="1"/>
  <c r="O31" i="118" s="1"/>
  <c r="O33" i="118" s="1"/>
  <c r="A7260" i="106"/>
  <c r="D7259" i="106"/>
  <c r="H151" i="29" l="1"/>
  <c r="B1273" i="106" s="1"/>
  <c r="D1273" i="106" s="1"/>
  <c r="G151" i="29"/>
  <c r="C114" i="29"/>
  <c r="B757" i="106" s="1"/>
  <c r="D757" i="106" s="1"/>
  <c r="B6977" i="106"/>
  <c r="D6977" i="106" s="1"/>
  <c r="F114" i="29"/>
  <c r="B931" i="106" s="1"/>
  <c r="D931" i="106" s="1"/>
  <c r="B5588" i="106"/>
  <c r="D5588" i="106" s="1"/>
  <c r="E15" i="4"/>
  <c r="B2633" i="106" s="1"/>
  <c r="D2633" i="106" s="1"/>
  <c r="F60" i="34"/>
  <c r="B1323" i="106"/>
  <c r="D1323" i="106" s="1"/>
  <c r="H14" i="12"/>
  <c r="B1977" i="106"/>
  <c r="D1977" i="106" s="1"/>
  <c r="B7719" i="106"/>
  <c r="D7719" i="106" s="1"/>
  <c r="K24" i="12"/>
  <c r="B5869" i="106"/>
  <c r="D5869" i="106" s="1"/>
  <c r="G7" i="4"/>
  <c r="B2605" i="106" s="1"/>
  <c r="D2605" i="106" s="1"/>
  <c r="B6023" i="106"/>
  <c r="D6023" i="106" s="1"/>
  <c r="B6220" i="106"/>
  <c r="D6220" i="106" s="1"/>
  <c r="B1510" i="106"/>
  <c r="D1510" i="106" s="1"/>
  <c r="K295" i="29"/>
  <c r="G13" i="4"/>
  <c r="B7019" i="106"/>
  <c r="D7019" i="106" s="1"/>
  <c r="C16" i="4"/>
  <c r="B2560" i="106" s="1"/>
  <c r="D2560" i="106" s="1"/>
  <c r="B1387" i="106"/>
  <c r="D1387" i="106" s="1"/>
  <c r="F16" i="4"/>
  <c r="B2599" i="106" s="1"/>
  <c r="D2599" i="106" s="1"/>
  <c r="B7020" i="106"/>
  <c r="D7020" i="106" s="1"/>
  <c r="F17" i="11"/>
  <c r="F55" i="34"/>
  <c r="B5326" i="106"/>
  <c r="D5326" i="106" s="1"/>
  <c r="C7" i="4"/>
  <c r="B5778" i="106"/>
  <c r="D5778" i="106" s="1"/>
  <c r="G6" i="4"/>
  <c r="G268" i="5"/>
  <c r="F7" i="4"/>
  <c r="B2594" i="106" s="1"/>
  <c r="D2594" i="106" s="1"/>
  <c r="B5719" i="106"/>
  <c r="D5719" i="106" s="1"/>
  <c r="G41" i="108"/>
  <c r="G44" i="108" s="1"/>
  <c r="G45" i="108" s="1"/>
  <c r="H19" i="184"/>
  <c r="L20" i="184" s="1"/>
  <c r="H7" i="4"/>
  <c r="B2657" i="106" s="1"/>
  <c r="D2657" i="106" s="1"/>
  <c r="B5914" i="106"/>
  <c r="D5914" i="106" s="1"/>
  <c r="H268" i="5"/>
  <c r="F6" i="4"/>
  <c r="F268" i="5"/>
  <c r="B5653" i="106"/>
  <c r="D5653" i="106" s="1"/>
  <c r="F58" i="34"/>
  <c r="B1259" i="106"/>
  <c r="D1259" i="106" s="1"/>
  <c r="F13" i="34"/>
  <c r="B7224" i="106"/>
  <c r="D7224" i="106" s="1"/>
  <c r="F54" i="34"/>
  <c r="B989" i="106"/>
  <c r="D989" i="106" s="1"/>
  <c r="E41" i="108"/>
  <c r="E44" i="108" s="1"/>
  <c r="E45" i="108" s="1"/>
  <c r="F57" i="34"/>
  <c r="D15" i="4"/>
  <c r="B2571" i="106" s="1"/>
  <c r="D2571" i="106" s="1"/>
  <c r="B1282" i="106"/>
  <c r="D1282" i="106" s="1"/>
  <c r="B5223" i="106"/>
  <c r="D5223" i="106" s="1"/>
  <c r="C6" i="4"/>
  <c r="C268" i="5"/>
  <c r="F53" i="34"/>
  <c r="B1145" i="106"/>
  <c r="D1145" i="106" s="1"/>
  <c r="C15" i="4"/>
  <c r="B2559" i="106" s="1"/>
  <c r="D2559" i="106" s="1"/>
  <c r="B7055" i="106"/>
  <c r="D7055" i="106" s="1"/>
  <c r="K343" i="29"/>
  <c r="B7225" i="106" s="1"/>
  <c r="D7225" i="106" s="1"/>
  <c r="B1331" i="106"/>
  <c r="D1331" i="106" s="1"/>
  <c r="E16" i="4"/>
  <c r="K174" i="29"/>
  <c r="C13" i="4"/>
  <c r="K114" i="29"/>
  <c r="B1143" i="106"/>
  <c r="D1143" i="106" s="1"/>
  <c r="B7042" i="106"/>
  <c r="D7042" i="106" s="1"/>
  <c r="J17" i="4"/>
  <c r="K16" i="4"/>
  <c r="B3574" i="106" s="1"/>
  <c r="D3574" i="106" s="1"/>
  <c r="B7243" i="106"/>
  <c r="D7243" i="106" s="1"/>
  <c r="H17" i="4"/>
  <c r="B2659" i="106"/>
  <c r="D2659" i="106" s="1"/>
  <c r="K151" i="29"/>
  <c r="D13" i="4"/>
  <c r="B1281" i="106"/>
  <c r="D1281" i="106" s="1"/>
  <c r="B7054" i="106"/>
  <c r="D7054" i="106" s="1"/>
  <c r="J7" i="4"/>
  <c r="B6222" i="106" s="1"/>
  <c r="D6222" i="106" s="1"/>
  <c r="B2655" i="106"/>
  <c r="D2655" i="106" s="1"/>
  <c r="B3225" i="106"/>
  <c r="D3225" i="106" s="1"/>
  <c r="I8" i="4"/>
  <c r="B1287" i="106"/>
  <c r="D1287" i="106" s="1"/>
  <c r="D16" i="4"/>
  <c r="B2572" i="106" s="1"/>
  <c r="D2572" i="106" s="1"/>
  <c r="B3569" i="106"/>
  <c r="D3569" i="106" s="1"/>
  <c r="K8" i="4"/>
  <c r="K367" i="29"/>
  <c r="B3678" i="106" s="1"/>
  <c r="D3678" i="106" s="1"/>
  <c r="B3672" i="106"/>
  <c r="D3672" i="106" s="1"/>
  <c r="K13" i="4"/>
  <c r="D268" i="5"/>
  <c r="D6" i="4"/>
  <c r="B5421" i="106"/>
  <c r="D5421" i="106" s="1"/>
  <c r="D7" i="4"/>
  <c r="B2567" i="106" s="1"/>
  <c r="D2567" i="106" s="1"/>
  <c r="B5507" i="106"/>
  <c r="D5507" i="106" s="1"/>
  <c r="F63" i="34"/>
  <c r="B1382" i="106"/>
  <c r="D1382" i="106" s="1"/>
  <c r="F15" i="4"/>
  <c r="K210" i="29"/>
  <c r="E268" i="5"/>
  <c r="B4434" i="106"/>
  <c r="D4434" i="106" s="1"/>
  <c r="E7" i="4"/>
  <c r="B281" i="106"/>
  <c r="D281" i="106" s="1"/>
  <c r="D54" i="36"/>
  <c r="A7261" i="106"/>
  <c r="D7260" i="106"/>
  <c r="B288" i="106"/>
  <c r="D288" i="106" s="1"/>
  <c r="F77" i="34" l="1"/>
  <c r="B7834" i="106" s="1"/>
  <c r="D7834" i="106" s="1"/>
  <c r="H8" i="4"/>
  <c r="H20" i="4" s="1"/>
  <c r="H23" i="12"/>
  <c r="B7720" i="106"/>
  <c r="D7720" i="106" s="1"/>
  <c r="K26" i="12"/>
  <c r="B7743" i="106" s="1"/>
  <c r="D7743" i="106" s="1"/>
  <c r="B7733" i="106"/>
  <c r="D7733" i="106" s="1"/>
  <c r="B4443" i="106"/>
  <c r="D4443" i="106" s="1"/>
  <c r="E8" i="4"/>
  <c r="B2593" i="106"/>
  <c r="D2593" i="106" s="1"/>
  <c r="F8" i="4"/>
  <c r="H10" i="4"/>
  <c r="B4127" i="106" s="1"/>
  <c r="D4127" i="106" s="1"/>
  <c r="H19" i="4"/>
  <c r="B4141" i="106" s="1"/>
  <c r="D4141" i="106" s="1"/>
  <c r="B2661" i="106"/>
  <c r="D2661" i="106" s="1"/>
  <c r="F10" i="34"/>
  <c r="B1332" i="106"/>
  <c r="D1332" i="106" s="1"/>
  <c r="B5327" i="106"/>
  <c r="D5327" i="106" s="1"/>
  <c r="K115" i="29"/>
  <c r="B1153" i="106" s="1"/>
  <c r="D1153" i="106" s="1"/>
  <c r="B5915" i="106"/>
  <c r="D5915" i="106" s="1"/>
  <c r="K313" i="29"/>
  <c r="B1561" i="106" s="1"/>
  <c r="D1561" i="106" s="1"/>
  <c r="B2604" i="106"/>
  <c r="D2604" i="106" s="1"/>
  <c r="G8" i="4"/>
  <c r="F12" i="34"/>
  <c r="B1517" i="106"/>
  <c r="D1517" i="106" s="1"/>
  <c r="K368" i="29"/>
  <c r="B3681" i="106" s="1"/>
  <c r="D3681" i="106" s="1"/>
  <c r="B2598" i="106"/>
  <c r="D2598" i="106" s="1"/>
  <c r="F17" i="4"/>
  <c r="B3572" i="106"/>
  <c r="D3572" i="106" s="1"/>
  <c r="K17" i="4"/>
  <c r="J19" i="4"/>
  <c r="B6229" i="106" s="1"/>
  <c r="D6229" i="106" s="1"/>
  <c r="B6227" i="106"/>
  <c r="D6227" i="106" s="1"/>
  <c r="B2557" i="106"/>
  <c r="D2557" i="106" s="1"/>
  <c r="C17" i="4"/>
  <c r="B5552" i="106"/>
  <c r="D5552" i="106" s="1"/>
  <c r="K175" i="29"/>
  <c r="B1333" i="106" s="1"/>
  <c r="D1333" i="106" s="1"/>
  <c r="B2566" i="106"/>
  <c r="D2566" i="106" s="1"/>
  <c r="D8" i="4"/>
  <c r="B2569" i="106"/>
  <c r="D2569" i="106" s="1"/>
  <c r="D17" i="4"/>
  <c r="B2634" i="106"/>
  <c r="D2634" i="106" s="1"/>
  <c r="E17" i="4"/>
  <c r="B2553" i="106"/>
  <c r="D2553" i="106" s="1"/>
  <c r="C8" i="4"/>
  <c r="I17" i="11"/>
  <c r="B7624" i="106"/>
  <c r="F11" i="34"/>
  <c r="B1388" i="106"/>
  <c r="D1388" i="106" s="1"/>
  <c r="B5508" i="106"/>
  <c r="D5508" i="106" s="1"/>
  <c r="K152" i="29"/>
  <c r="B1289" i="106" s="1"/>
  <c r="D1289" i="106" s="1"/>
  <c r="K10" i="4"/>
  <c r="B4130" i="106" s="1"/>
  <c r="D4130" i="106" s="1"/>
  <c r="B3571" i="106"/>
  <c r="D3571" i="106" s="1"/>
  <c r="B3226" i="106"/>
  <c r="D3226" i="106" s="1"/>
  <c r="E8" i="146"/>
  <c r="E10" i="146" s="1"/>
  <c r="I20" i="4"/>
  <c r="I10" i="4"/>
  <c r="B4128" i="106" s="1"/>
  <c r="D4128" i="106" s="1"/>
  <c r="B1288" i="106"/>
  <c r="D1288" i="106" s="1"/>
  <c r="F9" i="34"/>
  <c r="B1152" i="106"/>
  <c r="D1152" i="106" s="1"/>
  <c r="F8" i="34"/>
  <c r="B5720" i="106"/>
  <c r="D5720" i="106" s="1"/>
  <c r="K211" i="29"/>
  <c r="B1389" i="106" s="1"/>
  <c r="D1389" i="106" s="1"/>
  <c r="B2554" i="106"/>
  <c r="D2554" i="106" s="1"/>
  <c r="D10" i="171"/>
  <c r="D19" i="171" s="1"/>
  <c r="D32" i="171" s="1"/>
  <c r="D49" i="171" s="1"/>
  <c r="J8" i="4"/>
  <c r="K296" i="29"/>
  <c r="B1518" i="106" s="1"/>
  <c r="D1518" i="106" s="1"/>
  <c r="B5870" i="106"/>
  <c r="D5870" i="106" s="1"/>
  <c r="B2608" i="106"/>
  <c r="D2608" i="106" s="1"/>
  <c r="G17" i="4"/>
  <c r="A7262" i="106"/>
  <c r="D7261" i="106"/>
  <c r="B2658" i="106" l="1"/>
  <c r="D2658" i="106" s="1"/>
  <c r="B1982" i="106"/>
  <c r="D1982" i="106" s="1"/>
  <c r="H24" i="12"/>
  <c r="E19" i="4"/>
  <c r="B4138" i="106" s="1"/>
  <c r="D4138" i="106" s="1"/>
  <c r="B2635" i="106"/>
  <c r="D2635" i="106" s="1"/>
  <c r="C8" i="146"/>
  <c r="D20" i="4"/>
  <c r="D10" i="4"/>
  <c r="B4123" i="106" s="1"/>
  <c r="D4123" i="106" s="1"/>
  <c r="B2568" i="106"/>
  <c r="D2568" i="106" s="1"/>
  <c r="H17" i="118"/>
  <c r="F16" i="37"/>
  <c r="B2561" i="106"/>
  <c r="D2561" i="106" s="1"/>
  <c r="B9" i="146"/>
  <c r="C19" i="4"/>
  <c r="B4136" i="106" s="1"/>
  <c r="D4136" i="106" s="1"/>
  <c r="K19" i="4"/>
  <c r="B4144" i="106" s="1"/>
  <c r="D4144" i="106" s="1"/>
  <c r="B3575" i="106"/>
  <c r="D3575" i="106" s="1"/>
  <c r="K20" i="4"/>
  <c r="F10" i="4"/>
  <c r="B4125" i="106" s="1"/>
  <c r="D4125" i="106" s="1"/>
  <c r="F20" i="4"/>
  <c r="B2595" i="106"/>
  <c r="D2595" i="106" s="1"/>
  <c r="D8" i="146"/>
  <c r="G19" i="4"/>
  <c r="B4140" i="106" s="1"/>
  <c r="D4140" i="106" s="1"/>
  <c r="B2612" i="106"/>
  <c r="D2612" i="106" s="1"/>
  <c r="J10" i="4"/>
  <c r="B6225" i="106" s="1"/>
  <c r="D6225" i="106" s="1"/>
  <c r="J20" i="4"/>
  <c r="B6223" i="106"/>
  <c r="D6223" i="106" s="1"/>
  <c r="I18" i="11"/>
  <c r="B7625" i="106"/>
  <c r="F14" i="34"/>
  <c r="B8" i="146"/>
  <c r="B2555" i="106"/>
  <c r="D2555" i="106" s="1"/>
  <c r="C10" i="4"/>
  <c r="B4122" i="106" s="1"/>
  <c r="D4122" i="106" s="1"/>
  <c r="H18" i="118"/>
  <c r="C20" i="4"/>
  <c r="D16" i="37"/>
  <c r="H13" i="118"/>
  <c r="C9" i="146"/>
  <c r="D19" i="4"/>
  <c r="B4137" i="106" s="1"/>
  <c r="D4137" i="106" s="1"/>
  <c r="B2573" i="106"/>
  <c r="D2573" i="106" s="1"/>
  <c r="B2600" i="106"/>
  <c r="D2600" i="106" s="1"/>
  <c r="F19" i="4"/>
  <c r="B4139" i="106" s="1"/>
  <c r="D4139" i="106" s="1"/>
  <c r="D9" i="146"/>
  <c r="B2662" i="106"/>
  <c r="D2662" i="106" s="1"/>
  <c r="H78" i="4"/>
  <c r="B2632" i="106"/>
  <c r="D2632" i="106" s="1"/>
  <c r="E20" i="4"/>
  <c r="E10" i="4"/>
  <c r="B4124" i="106" s="1"/>
  <c r="D4124" i="106" s="1"/>
  <c r="B3227" i="106"/>
  <c r="D3227" i="106" s="1"/>
  <c r="I78" i="4"/>
  <c r="G20" i="4"/>
  <c r="B2606" i="106"/>
  <c r="D2606" i="106" s="1"/>
  <c r="G10" i="4"/>
  <c r="B4126" i="106" s="1"/>
  <c r="D4126" i="106" s="1"/>
  <c r="A7263" i="106"/>
  <c r="D7262" i="106"/>
  <c r="H16" i="37" l="1"/>
  <c r="C10" i="146"/>
  <c r="D10" i="146"/>
  <c r="B1983" i="106"/>
  <c r="D1983" i="106" s="1"/>
  <c r="H26" i="12"/>
  <c r="B7740" i="106" s="1"/>
  <c r="D7740" i="106" s="1"/>
  <c r="B7631" i="106"/>
  <c r="F177" i="34"/>
  <c r="B2601" i="106"/>
  <c r="D2601" i="106" s="1"/>
  <c r="F78" i="4"/>
  <c r="B2574" i="106"/>
  <c r="D2574" i="106" s="1"/>
  <c r="D78" i="4"/>
  <c r="I81" i="4"/>
  <c r="B3320" i="106"/>
  <c r="D3320" i="106" s="1"/>
  <c r="B2613" i="106"/>
  <c r="D2613" i="106" s="1"/>
  <c r="G78" i="4"/>
  <c r="E78" i="4"/>
  <c r="B2636" i="106"/>
  <c r="D2636" i="106" s="1"/>
  <c r="C78" i="4"/>
  <c r="B2562" i="106"/>
  <c r="D2562" i="106" s="1"/>
  <c r="F8" i="146"/>
  <c r="B10" i="146"/>
  <c r="H25" i="118"/>
  <c r="K24" i="118" s="1"/>
  <c r="O23" i="118" s="1"/>
  <c r="O25" i="118" s="1"/>
  <c r="K17" i="118"/>
  <c r="F78" i="34"/>
  <c r="B7822" i="106"/>
  <c r="J78" i="4"/>
  <c r="B6230" i="106"/>
  <c r="D6230" i="106" s="1"/>
  <c r="K78" i="4"/>
  <c r="B3576" i="106"/>
  <c r="D3576" i="106" s="1"/>
  <c r="F9" i="146"/>
  <c r="H81" i="4"/>
  <c r="B3300" i="106"/>
  <c r="D3300" i="106" s="1"/>
  <c r="A7264" i="106"/>
  <c r="D7263" i="106"/>
  <c r="H82" i="4" l="1"/>
  <c r="B1700" i="106"/>
  <c r="D1700" i="106" s="1"/>
  <c r="J81" i="4"/>
  <c r="B6263" i="106"/>
  <c r="D6263" i="106" s="1"/>
  <c r="F81" i="4"/>
  <c r="B3256" i="106"/>
  <c r="D3256" i="106" s="1"/>
  <c r="K81" i="4"/>
  <c r="B3588" i="106"/>
  <c r="D3588" i="106" s="1"/>
  <c r="F80" i="34"/>
  <c r="B7837" i="106" s="1"/>
  <c r="D7837" i="106" s="1"/>
  <c r="B7835" i="106"/>
  <c r="D7835" i="106" s="1"/>
  <c r="F176" i="34"/>
  <c r="F10" i="146"/>
  <c r="B3278" i="106"/>
  <c r="D3278" i="106" s="1"/>
  <c r="E81" i="4"/>
  <c r="B3323" i="106"/>
  <c r="D3323" i="106" s="1"/>
  <c r="I82" i="4"/>
  <c r="E11" i="146"/>
  <c r="O16" i="118"/>
  <c r="J20" i="118"/>
  <c r="K20" i="118"/>
  <c r="G81" i="4"/>
  <c r="B3262" i="106"/>
  <c r="D3262" i="106" s="1"/>
  <c r="B3239" i="106"/>
  <c r="D3239" i="106" s="1"/>
  <c r="D81" i="4"/>
  <c r="B3233" i="106"/>
  <c r="D3233" i="106" s="1"/>
  <c r="C81" i="4"/>
  <c r="A7265" i="106"/>
  <c r="D7264" i="106"/>
  <c r="H12" i="118" l="1"/>
  <c r="K12" i="118" s="1"/>
  <c r="O11" i="118" s="1"/>
  <c r="O13" i="118" s="1"/>
  <c r="B1630" i="106"/>
  <c r="D1630" i="106" s="1"/>
  <c r="B11" i="146"/>
  <c r="C82" i="4"/>
  <c r="J16" i="37"/>
  <c r="B4269" i="106" s="1"/>
  <c r="D4269" i="106" s="1"/>
  <c r="O17" i="118"/>
  <c r="O20" i="118" s="1"/>
  <c r="I41" i="3"/>
  <c r="B2912" i="106"/>
  <c r="D2912" i="106" s="1"/>
  <c r="D63" i="36"/>
  <c r="B7878" i="106"/>
  <c r="D7878" i="106" s="1"/>
  <c r="F178" i="34"/>
  <c r="B3591" i="106"/>
  <c r="D3591" i="106" s="1"/>
  <c r="K82" i="4"/>
  <c r="B6266" i="106"/>
  <c r="D6266" i="106" s="1"/>
  <c r="J82" i="4"/>
  <c r="B1658" i="106"/>
  <c r="D1658" i="106" s="1"/>
  <c r="E82" i="4"/>
  <c r="B1686" i="106"/>
  <c r="D1686" i="106" s="1"/>
  <c r="G82" i="4"/>
  <c r="C11" i="146"/>
  <c r="D82" i="4"/>
  <c r="B1644" i="106"/>
  <c r="D1644" i="106" s="1"/>
  <c r="I83" i="4"/>
  <c r="B6282" i="106" s="1"/>
  <c r="D6282" i="106" s="1"/>
  <c r="B6273" i="106"/>
  <c r="D6273" i="106" s="1"/>
  <c r="F82" i="4"/>
  <c r="B1672" i="106"/>
  <c r="D1672" i="106" s="1"/>
  <c r="D11" i="146"/>
  <c r="H83" i="4"/>
  <c r="B6281" i="106" s="1"/>
  <c r="D6281" i="106" s="1"/>
  <c r="B6272" i="106"/>
  <c r="D6272" i="106" s="1"/>
  <c r="D62" i="36"/>
  <c r="B212" i="106"/>
  <c r="D212" i="106" s="1"/>
  <c r="H41" i="3"/>
  <c r="A7266" i="106"/>
  <c r="D7265" i="106"/>
  <c r="D49" i="36" l="1"/>
  <c r="B213" i="106"/>
  <c r="D213" i="106" s="1"/>
  <c r="C41" i="3"/>
  <c r="D57" i="36"/>
  <c r="B92" i="106"/>
  <c r="D92" i="106" s="1"/>
  <c r="D76" i="36"/>
  <c r="F83" i="4"/>
  <c r="B6279" i="106" s="1"/>
  <c r="D6279" i="106" s="1"/>
  <c r="B6270" i="106"/>
  <c r="D6270" i="106" s="1"/>
  <c r="B6271" i="106"/>
  <c r="D6271" i="106" s="1"/>
  <c r="G83" i="4"/>
  <c r="B6280" i="106" s="1"/>
  <c r="D6280" i="106" s="1"/>
  <c r="D64" i="36"/>
  <c r="B6215" i="106"/>
  <c r="D6215" i="106" s="1"/>
  <c r="J41" i="3"/>
  <c r="B7879" i="106"/>
  <c r="D7879" i="106" s="1"/>
  <c r="F180" i="34"/>
  <c r="B7880" i="106" s="1"/>
  <c r="D7880" i="106" s="1"/>
  <c r="B2913" i="106"/>
  <c r="D2913" i="106" s="1"/>
  <c r="D50" i="36"/>
  <c r="B6267" i="106"/>
  <c r="D6267" i="106" s="1"/>
  <c r="C83" i="4"/>
  <c r="B6276" i="106" s="1"/>
  <c r="D6276" i="106" s="1"/>
  <c r="F11" i="146"/>
  <c r="B6275" i="106"/>
  <c r="D6275" i="106" s="1"/>
  <c r="K83" i="4"/>
  <c r="B6284" i="106" s="1"/>
  <c r="D6284" i="106" s="1"/>
  <c r="D61" i="36"/>
  <c r="B189" i="106"/>
  <c r="D189" i="106" s="1"/>
  <c r="G41" i="3"/>
  <c r="J83" i="4"/>
  <c r="B6283" i="106" s="1"/>
  <c r="D6283" i="106" s="1"/>
  <c r="B6274" i="106"/>
  <c r="D6274" i="106" s="1"/>
  <c r="D60" i="36"/>
  <c r="B170" i="106"/>
  <c r="D170" i="106" s="1"/>
  <c r="F41" i="3"/>
  <c r="D83" i="4"/>
  <c r="B6277" i="106" s="1"/>
  <c r="D6277" i="106" s="1"/>
  <c r="B6268" i="106"/>
  <c r="D6268" i="106" s="1"/>
  <c r="E41" i="3"/>
  <c r="B140" i="106"/>
  <c r="D140" i="106" s="1"/>
  <c r="D59" i="36"/>
  <c r="D58" i="36"/>
  <c r="B123" i="106"/>
  <c r="D123" i="106" s="1"/>
  <c r="D41" i="3"/>
  <c r="B6269" i="106"/>
  <c r="D6269" i="106" s="1"/>
  <c r="E83" i="4"/>
  <c r="B6278" i="106" s="1"/>
  <c r="D6278" i="106" s="1"/>
  <c r="B3567" i="106"/>
  <c r="D3567" i="106" s="1"/>
  <c r="K41" i="3"/>
  <c r="D65" i="36"/>
  <c r="O35" i="118"/>
  <c r="O37" i="118" s="1"/>
  <c r="A7267" i="106"/>
  <c r="D7266" i="106"/>
  <c r="D48" i="36" l="1"/>
  <c r="B190" i="106"/>
  <c r="D190" i="106" s="1"/>
  <c r="C12" i="146"/>
  <c r="D29" i="36"/>
  <c r="J24" i="24" s="1"/>
  <c r="D52" i="36"/>
  <c r="B3568" i="106"/>
  <c r="D3568" i="106" s="1"/>
  <c r="B93" i="106"/>
  <c r="D93" i="106" s="1"/>
  <c r="D44" i="36"/>
  <c r="B124" i="106"/>
  <c r="D124" i="106" s="1"/>
  <c r="D45" i="36"/>
  <c r="B282" i="106"/>
  <c r="D282" i="106" s="1"/>
  <c r="N23" i="3"/>
  <c r="B171" i="106"/>
  <c r="D171" i="106" s="1"/>
  <c r="D47" i="36"/>
  <c r="D46" i="36"/>
  <c r="B141" i="106"/>
  <c r="D141" i="106" s="1"/>
  <c r="D51" i="36"/>
  <c r="B6216" i="106"/>
  <c r="D6216" i="106" s="1"/>
  <c r="A7268" i="106"/>
  <c r="D7267" i="106"/>
  <c r="B284" i="106" l="1"/>
  <c r="D284" i="106" s="1"/>
  <c r="D55" i="36"/>
  <c r="A7269" i="106"/>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<sst xmlns="http://schemas.openxmlformats.org/spreadsheetml/2006/main" count="5389" uniqueCount="2179">
  <si>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</si>
  <si>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</si>
  <si>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</si>
  <si>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</si>
  <si>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</si>
  <si>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</si>
  <si>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</si>
  <si>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</si>
  <si>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</si>
  <si>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</si>
  <si>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</si>
  <si>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</si>
  <si>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</si>
  <si>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</si>
  <si>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</si>
  <si>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</si>
  <si>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</si>
  <si>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</si>
  <si>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</si>
  <si>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</si>
  <si>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</si>
  <si>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</si>
  <si>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</si>
  <si>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</si>
  <si>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</si>
  <si>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</si>
  <si>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</si>
  <si>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</si>
  <si>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</si>
  <si>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</si>
  <si>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</si>
  <si>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</si>
  <si>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</si>
  <si>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</si>
  <si>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</si>
  <si>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</si>
  <si>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</si>
  <si>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</si>
  <si>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</si>
  <si>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</si>
  <si>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</si>
  <si>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</si>
  <si>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</si>
  <si>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</si>
  <si>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</si>
  <si>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</si>
  <si>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</si>
  <si>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</si>
  <si>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</si>
  <si>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</si>
  <si>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</si>
  <si>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</si>
  <si>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</si>
  <si>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</si>
  <si>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</si>
  <si>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</si>
  <si>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</si>
  <si>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</si>
  <si>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</si>
  <si>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</si>
  <si>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</si>
  <si>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</si>
  <si>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</si>
  <si>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</si>
  <si>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</si>
  <si>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</si>
  <si>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</si>
  <si>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</si>
  <si>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</si>
  <si>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</si>
  <si>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</si>
  <si>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</si>
  <si>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</si>
  <si>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</si>
  <si>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</si>
  <si>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</si>
  <si>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</si>
  <si>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</si>
  <si>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</si>
  <si>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</si>
  <si>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</si>
  <si>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</si>
  <si>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</si>
  <si>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</si>
  <si>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</si>
  <si>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</si>
  <si>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</si>
  <si>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</si>
  <si>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</si>
  <si>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</si>
  <si>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</si>
  <si>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</si>
  <si>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</si>
  <si>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</si>
  <si>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</si>
  <si>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</si>
  <si>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</si>
  <si>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</si>
  <si>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</si>
  <si>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</si>
  <si>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</si>
  <si>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</si>
  <si>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</si>
  <si>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</si>
  <si>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</si>
  <si>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</si>
  <si>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</si>
  <si>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</si>
  <si>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</si>
  <si>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</si>
  <si>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</si>
  <si>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</si>
  <si>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</si>
  <si>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</si>
  <si>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</si>
  <si>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</si>
  <si>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</si>
  <si>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</si>
  <si>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</si>
  <si>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</si>
  <si>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</si>
  <si>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</si>
  <si>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</si>
  <si>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</si>
  <si>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</si>
  <si>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</si>
  <si>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</si>
  <si>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</si>
  <si>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</si>
  <si>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</si>
  <si>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</si>
  <si>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</si>
  <si>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</si>
  <si>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</si>
  <si>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</si>
  <si>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</si>
  <si>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</si>
  <si>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</si>
  <si>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</si>
  <si>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</si>
  <si>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</si>
  <si>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</si>
  <si>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</si>
  <si>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</si>
  <si>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</si>
  <si>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</si>
  <si>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</si>
  <si>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</si>
  <si>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</si>
  <si>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</si>
  <si>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</si>
  <si>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</si>
  <si>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</si>
  <si>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</si>
  <si>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</si>
  <si>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</si>
  <si>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</si>
  <si>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</si>
  <si>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</si>
  <si>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</si>
  <si>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</si>
  <si>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</si>
  <si>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</si>
  <si>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</si>
  <si>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</si>
  <si>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</si>
  <si>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</si>
  <si>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</si>
  <si>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</si>
  <si>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</si>
  <si>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</si>
  <si>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</si>
  <si>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</si>
  <si>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</si>
  <si>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</si>
  <si>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</si>
  <si>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</si>
  <si>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</si>
  <si>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</si>
  <si>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</si>
  <si>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</si>
  <si>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</si>
  <si>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</si>
  <si>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</si>
  <si>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</si>
  <si>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</si>
  <si>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</si>
  <si>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</si>
  <si>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</si>
  <si>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</si>
  <si>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</si>
  <si>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</si>
  <si>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</si>
  <si>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</si>
  <si>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</si>
  <si>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</si>
  <si>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</si>
  <si>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</si>
  <si>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</si>
  <si>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</si>
  <si>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</si>
  <si>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</si>
  <si>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</si>
  <si>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</si>
  <si>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</si>
  <si>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</si>
  <si>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</si>
  <si>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</si>
  <si>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</si>
  <si>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</si>
  <si>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</si>
  <si>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</si>
  <si>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</si>
  <si>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</si>
  <si>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</si>
  <si>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</si>
  <si>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</si>
  <si>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</si>
  <si>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</si>
  <si>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</si>
  <si>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</si>
  <si>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</si>
  <si>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</si>
  <si>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</si>
  <si>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</si>
  <si>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</si>
  <si>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</si>
  <si>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</si>
  <si>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</si>
  <si>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</si>
  <si>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</si>
  <si>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</si>
  <si>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</si>
  <si>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</si>
  <si>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</si>
  <si>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</si>
  <si>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</si>
  <si>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</si>
  <si>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</si>
  <si>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</si>
  <si>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</si>
  <si>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</si>
  <si>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</si>
  <si>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</si>
  <si>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</si>
  <si>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</si>
  <si>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</si>
  <si>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</si>
  <si>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</si>
  <si>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</si>
  <si>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</si>
  <si>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</si>
  <si>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</si>
  <si>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</si>
  <si>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</si>
  <si>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</si>
  <si>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</si>
  <si>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</si>
  <si>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</si>
  <si>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</si>
  <si>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</si>
  <si>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</si>
  <si>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</si>
  <si>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</si>
  <si>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</si>
  <si>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</si>
  <si>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</si>
  <si>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</si>
  <si>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</si>
  <si>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</si>
  <si>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</si>
  <si>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</si>
  <si>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</si>
  <si>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</si>
  <si>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</si>
  <si>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</si>
  <si>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</si>
  <si>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</si>
  <si>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</si>
  <si>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</si>
  <si>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</si>
  <si>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</si>
  <si>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</si>
  <si>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</si>
  <si>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</si>
  <si>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</si>
  <si>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</si>
  <si>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</si>
  <si>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</si>
  <si>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</si>
  <si>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</si>
  <si>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</si>
  <si>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</si>
  <si>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</si>
  <si>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</si>
  <si>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</si>
  <si>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</si>
  <si>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</si>
  <si>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</si>
  <si>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</si>
  <si>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</si>
  <si>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</si>
  <si>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</si>
  <si>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</si>
  <si>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</si>
  <si>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</si>
  <si>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</si>
  <si>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</si>
  <si>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</si>
  <si>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</si>
  <si>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</si>
  <si>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</si>
  <si>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</si>
  <si>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</si>
  <si>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</si>
  <si>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</si>
  <si>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</si>
  <si>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</si>
  <si>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</si>
  <si>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</si>
  <si>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</si>
  <si>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</si>
  <si>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</si>
  <si>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</si>
  <si>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</si>
  <si>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</si>
  <si>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</si>
  <si>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</si>
  <si>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</si>
  <si>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</si>
  <si>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</si>
  <si>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</si>
  <si>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</si>
  <si>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</si>
  <si>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</si>
  <si>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</si>
  <si>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</si>
  <si>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</si>
  <si>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</si>
  <si>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</si>
  <si>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</si>
  <si>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</si>
  <si>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</si>
  <si>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</si>
  <si>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</si>
  <si>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</si>
  <si>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</si>
  <si>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</si>
  <si>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</si>
  <si>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</si>
  <si>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</si>
  <si>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</si>
  <si>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</si>
  <si>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</si>
  <si>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</si>
  <si>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</si>
  <si>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</si>
  <si>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</si>
  <si>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</si>
  <si>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</si>
  <si>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</si>
  <si>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</si>
  <si>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</si>
  <si>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</si>
  <si>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</si>
  <si>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</si>
  <si>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</si>
  <si>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</si>
  <si>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</si>
  <si>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</si>
  <si>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</si>
  <si>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</si>
  <si>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</si>
  <si>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</si>
  <si>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</si>
  <si>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</si>
  <si>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</si>
  <si>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</si>
  <si>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</si>
  <si>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</si>
  <si>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</si>
  <si>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</si>
  <si>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</si>
  <si>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</si>
  <si>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</si>
  <si>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</si>
  <si>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</si>
  <si>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</si>
  <si>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</si>
  <si>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</si>
  <si>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</si>
  <si>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</si>
  <si>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</si>
  <si>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</si>
  <si>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</si>
  <si>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</si>
  <si>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</si>
  <si>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</si>
  <si>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</si>
  <si>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</si>
  <si>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</si>
  <si>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</si>
  <si>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</si>
  <si>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</si>
  <si>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</si>
  <si>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</si>
  <si>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</si>
  <si>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</si>
  <si>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</si>
  <si>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</si>
  <si>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</si>
  <si>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</si>
  <si>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</si>
  <si>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</si>
  <si>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</si>
  <si>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</si>
  <si>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</si>
  <si>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</si>
  <si>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</si>
  <si>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</si>
  <si>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</si>
  <si>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</si>
  <si>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</si>
  <si>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</si>
  <si>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</si>
  <si>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</si>
  <si>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</si>
  <si>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</si>
  <si>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</si>
  <si>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</si>
  <si>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</si>
  <si>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</si>
  <si>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</si>
  <si>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</si>
  <si>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</si>
  <si>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</si>
  <si>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</si>
  <si>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</si>
  <si>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</si>
  <si>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</si>
  <si>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</si>
  <si>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</si>
  <si>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</si>
  <si>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</si>
  <si>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</si>
  <si>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</si>
  <si>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</si>
  <si>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</si>
  <si>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</si>
  <si>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</si>
  <si>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</si>
  <si>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</si>
  <si>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</si>
  <si>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</si>
  <si>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</si>
  <si>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</si>
  <si>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</si>
  <si>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</si>
  <si>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</si>
  <si>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</si>
  <si>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</si>
  <si>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</si>
  <si>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</si>
  <si>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</si>
  <si>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</si>
  <si>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</si>
  <si>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</si>
  <si>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</si>
  <si>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</si>
  <si>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</si>
  <si>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</si>
  <si>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</si>
  <si>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</si>
  <si>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</si>
  <si>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</si>
  <si>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</si>
  <si>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</si>
  <si>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</si>
  <si>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</si>
  <si>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</si>
  <si>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</si>
  <si>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</si>
  <si>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</si>
  <si>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</si>
  <si>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</si>
  <si>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</si>
  <si>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</si>
  <si>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</si>
  <si>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</si>
  <si>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</si>
  <si>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</si>
  <si>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</si>
  <si>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</si>
  <si>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</si>
  <si>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</si>
  <si>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</si>
  <si>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</si>
  <si>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</si>
  <si>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</si>
  <si>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</si>
  <si>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</si>
  <si>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</si>
  <si>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</si>
  <si>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</si>
  <si>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</si>
  <si>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</si>
  <si>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</si>
  <si>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</si>
  <si>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</si>
  <si>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</si>
  <si>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</si>
  <si>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</si>
  <si>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</si>
  <si>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</si>
  <si>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</si>
  <si>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</si>
  <si>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</si>
  <si>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</si>
  <si>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</si>
  <si>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</si>
  <si>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</si>
  <si>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</si>
  <si>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</si>
  <si>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</si>
  <si>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</si>
  <si>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</si>
  <si>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</si>
  <si>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</si>
  <si>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</si>
  <si>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</si>
  <si>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</si>
  <si>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</si>
  <si>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</si>
  <si>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</si>
  <si>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</si>
  <si>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</si>
  <si>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</si>
  <si>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</si>
  <si>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</si>
  <si>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</si>
  <si>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</si>
  <si>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</si>
  <si>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</si>
  <si>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</si>
  <si>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</si>
  <si>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</si>
  <si>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</si>
  <si>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</si>
  <si>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</si>
  <si>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</si>
  <si>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</si>
  <si>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</si>
  <si>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</si>
  <si>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</si>
  <si>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</si>
  <si>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</si>
  <si>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</si>
  <si>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</si>
  <si>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</si>
  <si>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</si>
  <si>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</si>
  <si>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</si>
  <si>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</si>
  <si>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</si>
  <si>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</si>
  <si>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</si>
  <si>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</si>
  <si>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</si>
  <si>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</si>
  <si>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</si>
  <si>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</si>
  <si>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</si>
  <si>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</si>
  <si>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</si>
  <si>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</si>
  <si>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</si>
  <si>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</si>
  <si>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</si>
  <si>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</si>
  <si>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</si>
  <si>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</si>
  <si>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</si>
  <si>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</si>
  <si>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</si>
  <si>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</si>
  <si>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</si>
  <si>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</si>
  <si>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</si>
  <si>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</si>
  <si>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</si>
  <si>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</si>
  <si>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</si>
  <si>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</si>
  <si>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</si>
  <si>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</si>
  <si>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</si>
  <si>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</si>
  <si>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</si>
  <si>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</si>
  <si>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</si>
  <si>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</si>
  <si>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</si>
  <si>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</si>
  <si>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</si>
  <si>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</si>
  <si>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</si>
  <si>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</si>
  <si>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</si>
  <si>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</si>
  <si>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</si>
  <si>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</si>
  <si>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</si>
  <si>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</si>
  <si>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</si>
  <si>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</si>
  <si>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</si>
  <si>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</si>
  <si>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</si>
  <si>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</si>
  <si>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</si>
  <si>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</si>
  <si>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</si>
  <si>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</si>
  <si>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</si>
  <si>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</si>
  <si>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</si>
  <si>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</si>
  <si>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</si>
  <si>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</si>
  <si>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</si>
  <si>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</si>
  <si>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</si>
  <si>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</si>
  <si>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</si>
  <si>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</si>
  <si>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</si>
  <si>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</si>
  <si>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</si>
  <si>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</si>
  <si>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</si>
  <si>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</si>
  <si>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</si>
  <si>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</si>
  <si>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</si>
  <si>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</si>
  <si>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</si>
  <si>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</si>
  <si>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</si>
  <si>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</si>
  <si>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</si>
  <si>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</si>
  <si>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</si>
  <si>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</si>
  <si>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</si>
  <si>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</si>
  <si>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</si>
  <si>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</si>
  <si>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</si>
  <si>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</si>
  <si>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</si>
  <si>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</si>
  <si>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</si>
  <si>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</si>
  <si>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</si>
  <si>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</si>
  <si>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</si>
  <si>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</si>
  <si>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</si>
  <si>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</si>
  <si>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</si>
  <si>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</si>
  <si>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</si>
  <si>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</si>
  <si>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</si>
  <si>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</si>
  <si>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</si>
  <si>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</si>
  <si>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</si>
  <si>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</si>
  <si>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</si>
  <si>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</si>
  <si>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</si>
  <si>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</si>
  <si>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</si>
  <si>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</si>
  <si>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</si>
  <si>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</si>
  <si>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</si>
  <si>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</si>
  <si>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</si>
  <si>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</si>
  <si>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</si>
  <si>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</si>
  <si>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</si>
  <si>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</si>
  <si>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</si>
  <si>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</si>
  <si>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</si>
  <si>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</si>
  <si>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</si>
  <si>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</si>
  <si>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</si>
  <si>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</si>
  <si>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</si>
  <si>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</si>
  <si>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</si>
  <si>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</si>
  <si>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</si>
  <si>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</si>
  <si>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</si>
  <si>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</si>
  <si>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</si>
  <si>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</si>
  <si>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</si>
  <si>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</si>
  <si>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</si>
  <si>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</si>
  <si>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</si>
  <si>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</si>
  <si>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</si>
  <si>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</si>
  <si>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</si>
  <si>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</si>
  <si>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</si>
  <si>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</si>
  <si>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</si>
  <si>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</si>
  <si>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</si>
  <si>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</si>
  <si>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</si>
  <si>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</si>
  <si>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</si>
  <si>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</si>
  <si>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</si>
  <si>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</si>
  <si>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</si>
  <si>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</si>
  <si>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</si>
  <si>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</si>
  <si>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</si>
  <si>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</si>
  <si>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</si>
  <si>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</si>
  <si>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</si>
  <si>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</si>
  <si>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</si>
  <si>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</si>
  <si>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</si>
  <si>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</si>
  <si>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</si>
  <si>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</si>
  <si>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</si>
  <si>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</si>
  <si>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</si>
  <si>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</si>
  <si>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</si>
  <si>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</si>
  <si>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</si>
  <si>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</si>
  <si>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</si>
  <si>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</si>
  <si>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</si>
  <si>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</si>
  <si>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</si>
  <si>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</si>
  <si>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</si>
  <si>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</si>
  <si>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</si>
  <si>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</si>
  <si>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</si>
  <si>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</si>
  <si>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</si>
  <si>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</si>
  <si>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</si>
  <si>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</si>
  <si>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</si>
  <si>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</si>
  <si>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</si>
  <si>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</si>
  <si>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</si>
  <si>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</si>
  <si>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</si>
  <si>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</si>
  <si>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</si>
  <si>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</si>
  <si>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</si>
  <si>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</si>
  <si>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</si>
  <si>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</si>
  <si>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</si>
  <si>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</si>
  <si>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</si>
  <si>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</si>
  <si>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</si>
  <si>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</si>
  <si>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</si>
  <si>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</si>
  <si>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</si>
  <si>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</si>
  <si>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</si>
  <si>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</si>
  <si>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</si>
  <si>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</si>
  <si>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</si>
  <si>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</si>
  <si>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</si>
  <si>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</si>
  <si>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</si>
  <si>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</si>
  <si>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</si>
  <si>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</si>
  <si>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</si>
  <si>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</si>
  <si>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</si>
  <si>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</si>
  <si>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</si>
  <si>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</si>
  <si>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</si>
  <si>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</si>
  <si>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</si>
  <si>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</si>
  <si>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</si>
  <si>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</si>
  <si>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</si>
  <si>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</si>
  <si>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</si>
  <si>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</si>
  <si>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</si>
  <si>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</si>
  <si>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</si>
  <si>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</si>
  <si>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</si>
  <si>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</si>
  <si>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</si>
  <si>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</si>
  <si>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</si>
  <si>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</si>
  <si>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</si>
  <si>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</si>
  <si>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</si>
  <si>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</si>
  <si>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</si>
  <si>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</si>
  <si>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</si>
  <si>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</si>
  <si>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</si>
  <si>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</si>
  <si>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</si>
  <si>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</si>
  <si>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</si>
  <si>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</si>
  <si>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</si>
  <si>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</si>
  <si>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</si>
  <si>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</si>
  <si>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</si>
  <si>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</si>
  <si>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</si>
  <si>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</si>
  <si>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</si>
  <si>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</si>
  <si>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</si>
  <si>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</si>
  <si>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</si>
  <si>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</si>
  <si>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</si>
  <si>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</si>
  <si>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</si>
  <si>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</si>
  <si>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</si>
  <si>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</si>
  <si>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</si>
  <si>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</si>
  <si>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</si>
  <si>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</si>
  <si>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</si>
  <si>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</si>
  <si>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</si>
  <si>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</si>
  <si>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</si>
  <si>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</si>
  <si>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</si>
  <si>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</si>
  <si>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</si>
  <si>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</si>
  <si>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</si>
  <si>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</si>
  <si>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</si>
  <si>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</si>
  <si>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</si>
  <si>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</si>
  <si>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</si>
  <si>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</si>
  <si>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</si>
  <si>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</si>
  <si>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</si>
  <si>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</si>
  <si>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</si>
  <si>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</si>
  <si>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</si>
  <si>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</si>
  <si>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</si>
  <si>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</si>
  <si>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</si>
  <si>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</si>
  <si>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</si>
  <si>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</si>
  <si>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</si>
  <si>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</si>
  <si>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</si>
  <si>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</si>
  <si>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</si>
  <si>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</si>
  <si>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</si>
  <si>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</si>
  <si>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</si>
  <si>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</si>
  <si>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</si>
  <si>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</si>
  <si>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</si>
  <si>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</si>
  <si>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</si>
  <si>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</si>
  <si>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</si>
  <si>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</si>
  <si>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</si>
  <si>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</si>
  <si>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</si>
  <si>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</si>
  <si>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</si>
  <si>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</si>
  <si>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</si>
  <si>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</si>
  <si>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</si>
  <si>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</si>
  <si>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</si>
  <si>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</si>
  <si>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</si>
  <si>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</si>
  <si>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</si>
  <si>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</si>
  <si>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</si>
  <si>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</si>
  <si>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</si>
  <si>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</si>
  <si>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</si>
  <si>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</si>
  <si>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</si>
  <si>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</si>
  <si>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</si>
  <si>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</si>
  <si>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</si>
  <si>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</si>
  <si>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</si>
  <si>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</si>
  <si>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</si>
  <si>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</si>
  <si>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</si>
  <si>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</si>
  <si>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</si>
  <si>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</si>
  <si>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</si>
  <si>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</si>
  <si>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</si>
  <si>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</si>
  <si>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</si>
  <si>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</si>
  <si>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</si>
  <si>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</si>
  <si>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</si>
  <si>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</si>
  <si>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</si>
  <si>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</si>
  <si>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</si>
  <si>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</si>
  <si>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</si>
  <si>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</si>
  <si>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</si>
  <si>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</si>
  <si>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</si>
  <si>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</si>
  <si>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</si>
  <si>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</si>
  <si>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</si>
  <si>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</si>
  <si>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</si>
  <si>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</si>
  <si>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</si>
  <si>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</si>
  <si>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</si>
  <si>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</si>
  <si>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</si>
  <si>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</si>
  <si>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</si>
  <si>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</si>
  <si>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</si>
  <si>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</si>
  <si>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</si>
  <si>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</si>
  <si>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</si>
  <si>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</si>
  <si>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</si>
  <si>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</si>
  <si>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</si>
  <si>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</si>
  <si>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</si>
  <si>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</si>
  <si>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</si>
  <si>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</si>
  <si>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</si>
  <si>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</si>
  <si>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</si>
  <si>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</si>
  <si>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</si>
  <si>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</si>
  <si>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</si>
  <si>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</si>
  <si>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</si>
  <si>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</si>
  <si>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</si>
  <si>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</si>
  <si>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</si>
  <si>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</si>
  <si>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</si>
  <si>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</si>
  <si>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</si>
  <si>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</si>
  <si>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</si>
  <si>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</si>
  <si>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</si>
  <si>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</si>
  <si>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</si>
  <si>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</si>
  <si>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</si>
  <si>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</si>
  <si>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</si>
  <si>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</si>
  <si>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</si>
  <si>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</si>
  <si>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</si>
  <si>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</si>
  <si>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</si>
  <si>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</si>
  <si>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</si>
  <si>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</si>
  <si>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</si>
  <si>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</si>
  <si>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</si>
  <si>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</si>
  <si>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</si>
  <si>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</si>
  <si>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</si>
  <si>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</si>
  <si>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</si>
  <si>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</si>
  <si>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</si>
  <si>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</si>
  <si>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</si>
  <si>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</si>
  <si>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</si>
  <si>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</si>
  <si>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</si>
  <si>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</si>
  <si>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</si>
  <si>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</si>
  <si>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</si>
  <si>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</si>
  <si>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</si>
  <si>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</si>
  <si>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</si>
  <si>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</si>
  <si>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</si>
  <si>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</si>
  <si>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</si>
  <si>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</si>
  <si>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</si>
  <si>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</si>
  <si>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</si>
  <si>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</si>
  <si>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</si>
  <si>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</si>
  <si>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</si>
  <si>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</si>
  <si>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</si>
  <si>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</si>
  <si>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</si>
  <si>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</si>
  <si>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</si>
  <si>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</si>
  <si>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</si>
  <si>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</si>
  <si>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</si>
  <si>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</si>
  <si>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</si>
  <si>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</si>
  <si>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</si>
  <si>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</si>
  <si>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</si>
  <si>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</si>
  <si>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</si>
  <si>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</si>
  <si>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</si>
  <si>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</si>
  <si>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</si>
  <si>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</si>
  <si>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</si>
  <si>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</si>
  <si>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</si>
  <si>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</si>
  <si>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</si>
  <si>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</si>
  <si>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</si>
  <si>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</si>
  <si>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</si>
  <si>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</si>
  <si>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</si>
  <si>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</si>
  <si>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</si>
  <si>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</si>
  <si>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</si>
  <si>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</si>
  <si>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</si>
  <si>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</si>
  <si>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</si>
  <si>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</si>
  <si>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</si>
  <si>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</si>
  <si>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</si>
  <si>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</si>
  <si>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</si>
  <si>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</si>
  <si>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</si>
  <si>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</si>
  <si>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</si>
  <si>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</si>
  <si>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</si>
  <si>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</si>
  <si>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</si>
  <si>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</si>
  <si>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</si>
  <si>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</si>
  <si>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</si>
  <si>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</si>
  <si>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</si>
  <si>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</si>
  <si>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</si>
  <si>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</si>
  <si>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</si>
  <si>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</si>
  <si>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</si>
  <si>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</si>
  <si>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</si>
  <si>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</si>
  <si>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</si>
  <si>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</si>
  <si>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</si>
  <si>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</si>
  <si>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</si>
  <si>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</si>
  <si>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</si>
  <si>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</si>
  <si>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</si>
  <si>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</si>
  <si>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</si>
  <si>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</si>
  <si>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</si>
  <si>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</si>
  <si>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</si>
  <si>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</si>
  <si>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</si>
  <si>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</si>
  <si>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</si>
  <si>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</si>
  <si>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</si>
  <si>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</si>
  <si>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</si>
  <si>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</si>
  <si>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</si>
  <si>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</si>
  <si>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</si>
  <si>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</si>
  <si>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</si>
  <si>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</si>
  <si>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</si>
  <si>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</si>
  <si>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</si>
  <si>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</si>
  <si>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</si>
  <si>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</si>
  <si>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</si>
  <si>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</si>
  <si>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</si>
  <si>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</si>
  <si>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</si>
  <si>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</si>
  <si>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</si>
  <si>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</si>
  <si>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</si>
  <si>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</si>
  <si>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</si>
  <si>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</si>
  <si>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</si>
  <si>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</si>
  <si>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</si>
  <si>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</si>
  <si>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</si>
  <si>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</si>
  <si>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</si>
  <si>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</si>
  <si>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</si>
  <si>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</si>
  <si>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</si>
  <si>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</si>
  <si>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</si>
  <si>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</si>
  <si>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</si>
  <si>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</si>
  <si>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</si>
  <si>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</si>
  <si>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</si>
  <si>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</si>
  <si>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</si>
  <si>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</si>
  <si>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</si>
  <si>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</si>
  <si>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</si>
  <si>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</si>
  <si>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</si>
  <si>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</si>
  <si>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</si>
  <si>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</si>
  <si>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</si>
  <si>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</si>
  <si>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</si>
  <si>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</si>
  <si>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</si>
  <si>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</si>
  <si>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</si>
  <si>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</si>
  <si>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</si>
  <si>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</si>
  <si>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</si>
  <si>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</si>
  <si>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</si>
  <si>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</si>
  <si>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</si>
  <si>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</si>
  <si>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</si>
  <si>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</si>
  <si>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</si>
  <si>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</si>
  <si>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</si>
  <si>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</si>
  <si>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</si>
  <si>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</si>
  <si>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</si>
  <si>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</si>
  <si>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</si>
  <si>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</si>
  <si>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</si>
  <si>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</si>
  <si>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</si>
  <si>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</si>
  <si>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</si>
  <si>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</si>
  <si>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</si>
  <si>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</si>
  <si>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</si>
  <si>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</si>
  <si>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</si>
  <si>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</si>
  <si>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</si>
  <si>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</si>
  <si>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</si>
  <si>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</si>
  <si>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</si>
  <si>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</si>
  <si>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</si>
  <si>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</si>
  <si>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</si>
  <si>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</si>
  <si>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</si>
  <si>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</si>
  <si>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</si>
  <si>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</si>
  <si>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</si>
  <si>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</si>
  <si>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</si>
  <si>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</si>
  <si>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</si>
  <si>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</si>
  <si>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</si>
  <si>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</si>
  <si>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</si>
  <si>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</si>
  <si>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</si>
  <si>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</si>
  <si>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</si>
  <si>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</si>
  <si>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</si>
  <si>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</si>
  <si>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</si>
  <si>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</si>
  <si>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</si>
  <si>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</si>
  <si>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</si>
  <si>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</si>
  <si>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</si>
  <si>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</si>
  <si>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</si>
  <si>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</si>
  <si>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</si>
  <si>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</si>
  <si>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</si>
  <si>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</si>
  <si>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</si>
  <si>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</si>
  <si>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</si>
  <si>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</si>
  <si>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</si>
  <si>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</si>
  <si>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</si>
  <si>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</si>
  <si>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</si>
  <si>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</si>
  <si>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</si>
  <si>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</si>
  <si>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</si>
  <si>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</si>
  <si>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</si>
  <si>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</si>
  <si>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</si>
  <si>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</si>
  <si>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</si>
  <si>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</si>
  <si>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</si>
  <si>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</si>
  <si>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</si>
  <si>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</si>
  <si>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</si>
  <si>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</si>
  <si>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</si>
  <si>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</si>
  <si>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</si>
  <si>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</si>
  <si>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</si>
  <si>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</si>
  <si>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</si>
  <si>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</si>
  <si>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</si>
  <si>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</si>
  <si>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</si>
  <si>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</si>
  <si>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</si>
  <si>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</si>
  <si>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</si>
  <si>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</si>
  <si>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</si>
  <si>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</si>
  <si>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</si>
  <si>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</si>
  <si>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</si>
  <si>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</si>
  <si>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</si>
  <si>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</si>
  <si>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</si>
  <si>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</si>
  <si>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</si>
  <si>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</si>
  <si>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</si>
  <si>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</si>
  <si>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</si>
  <si>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</si>
  <si>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</si>
  <si>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</si>
  <si>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</si>
  <si>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</si>
  <si>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</si>
  <si>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</si>
  <si>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</si>
  <si>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</si>
  <si>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</si>
  <si>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</si>
  <si>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</si>
  <si>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</si>
  <si>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</si>
  <si>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</si>
  <si>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</si>
  <si>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</si>
  <si>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</si>
  <si>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</si>
  <si>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</si>
  <si>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</si>
  <si>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</si>
  <si>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</si>
  <si>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</si>
  <si>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</si>
  <si>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</si>
  <si>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</si>
  <si>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</si>
  <si>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</si>
  <si>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</si>
  <si>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</si>
  <si>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</si>
  <si>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</si>
  <si>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</si>
  <si>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</si>
  <si>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</si>
  <si>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</si>
  <si>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</si>
  <si>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</si>
  <si>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</si>
  <si>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</si>
  <si>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</si>
  <si>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</si>
  <si>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</si>
  <si>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</si>
  <si>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</si>
  <si>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</si>
  <si>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</si>
  <si>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</si>
  <si>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</si>
  <si>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</si>
  <si>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</si>
  <si>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</si>
  <si>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</si>
  <si>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</si>
  <si>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</si>
  <si>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</si>
  <si>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</si>
  <si>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</si>
  <si>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</si>
  <si>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</si>
  <si>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</si>
  <si>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</si>
  <si>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</si>
  <si>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</si>
  <si>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</si>
  <si>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</si>
  <si>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</si>
  <si>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</si>
  <si>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</si>
  <si>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</si>
  <si>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</si>
  <si>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</si>
  <si>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</si>
  <si>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</si>
  <si>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</si>
  <si>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</si>
  <si>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</si>
  <si>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</si>
  <si>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</si>
  <si>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</si>
  <si>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</si>
  <si>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</si>
  <si>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</si>
  <si>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</si>
  <si>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</si>
  <si>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</si>
  <si>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</si>
  <si>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</si>
  <si>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</si>
  <si>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</si>
  <si>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</si>
  <si>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</si>
  <si>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</si>
  <si>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</si>
  <si>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</si>
  <si>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</si>
  <si>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</si>
  <si>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</si>
  <si>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</si>
  <si>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</si>
  <si>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</si>
  <si>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</si>
  <si>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</si>
  <si>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</si>
  <si>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</si>
  <si>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</si>
  <si>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</si>
  <si>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</si>
  <si>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</si>
  <si>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</si>
  <si>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</si>
  <si>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</si>
  <si>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</si>
  <si>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</si>
  <si>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</si>
  <si>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</si>
  <si>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</si>
  <si>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</si>
  <si>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</si>
  <si>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</si>
  <si>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</si>
  <si>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</si>
  <si>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</si>
  <si>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</si>
  <si>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</si>
  <si>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</si>
  <si>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</si>
  <si>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</si>
  <si>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</si>
  <si>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</si>
  <si>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</si>
  <si>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</si>
  <si>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</si>
  <si>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</si>
  <si>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</si>
  <si>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</si>
  <si>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</si>
  <si>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</si>
  <si>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</si>
  <si>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</si>
  <si>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</si>
  <si>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</si>
  <si>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</si>
  <si>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</si>
  <si>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</si>
  <si>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</si>
  <si>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</si>
  <si>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</si>
  <si>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</si>
  <si>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</si>
  <si>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</si>
  <si>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</si>
  <si>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</si>
  <si>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</si>
  <si>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</si>
  <si>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</si>
  <si>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</si>
  <si>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</si>
  <si>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</si>
  <si>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</si>
  <si>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</si>
  <si>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</si>
  <si>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</si>
  <si>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</si>
  <si>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</si>
  <si>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</si>
  <si>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</si>
  <si>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</si>
  <si>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</si>
  <si>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</si>
  <si>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</si>
  <si>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</si>
  <si>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</si>
  <si>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</si>
  <si>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</si>
  <si>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</si>
  <si>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</si>
  <si>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</si>
  <si>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</si>
  <si>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</si>
  <si>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</si>
  <si>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</si>
  <si>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</si>
  <si>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</si>
  <si>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</si>
  <si>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</si>
  <si>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</si>
  <si>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</si>
  <si>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</si>
  <si>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</si>
  <si>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</si>
  <si>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</si>
  <si>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</si>
  <si>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</si>
  <si>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</si>
  <si>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</si>
  <si>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</si>
  <si>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</si>
  <si>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</si>
  <si>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</si>
  <si>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</si>
  <si>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</si>
  <si>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</si>
  <si>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</si>
  <si>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</si>
  <si>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</si>
  <si>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</si>
  <si>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</si>
  <si>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</si>
  <si>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</si>
  <si>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</si>
  <si>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</si>
  <si>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</si>
  <si>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</si>
  <si>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</si>
  <si>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</si>
  <si>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</si>
  <si>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</si>
  <si>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</si>
  <si>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</si>
  <si>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</si>
  <si>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</si>
  <si>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</si>
  <si>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</si>
  <si>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</si>
  <si>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</si>
  <si>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</si>
  <si>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</si>
  <si>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</si>
  <si>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</si>
  <si>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</si>
  <si>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</si>
  <si>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</si>
  <si>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</si>
  <si>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</si>
  <si>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</si>
  <si>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</si>
  <si>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</si>
  <si>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</si>
  <si>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</si>
  <si>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</si>
  <si>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</si>
  <si>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</si>
  <si>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</si>
  <si>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</si>
  <si>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</si>
  <si>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</si>
  <si>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</si>
  <si>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</si>
  <si>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</si>
  <si>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</si>
  <si>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</si>
  <si>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</si>
  <si>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</si>
  <si>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</si>
  <si>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</si>
  <si>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</si>
  <si>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</si>
  <si>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</si>
  <si>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</si>
  <si>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</si>
  <si>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</si>
  <si>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</si>
  <si>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</si>
  <si>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</si>
  <si>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</si>
  <si>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</si>
  <si>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</si>
  <si>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</si>
  <si>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</si>
  <si>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</si>
  <si>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</si>
  <si>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</si>
  <si>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</si>
  <si>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</si>
  <si>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</si>
  <si>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</si>
  <si>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</si>
  <si>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</si>
  <si>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</si>
  <si>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</si>
  <si>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</si>
  <si>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</si>
  <si>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</si>
  <si>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</si>
  <si>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</si>
  <si>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</si>
  <si>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</si>
  <si>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</si>
  <si>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</si>
  <si>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</si>
  <si>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</si>
  <si>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</si>
  <si>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</si>
  <si>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</si>
  <si>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</si>
  <si>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</si>
  <si>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</si>
  <si>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</si>
  <si>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</si>
  <si>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</si>
  <si>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</si>
  <si>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</si>
  <si>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</si>
  <si>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</si>
  <si>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</si>
  <si>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</si>
  <si>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</si>
  <si>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</si>
  <si>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</si>
  <si>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</si>
  <si>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</si>
  <si>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</si>
  <si>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</si>
  <si>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</si>
  <si>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</si>
  <si>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</si>
  <si>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</si>
  <si>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</si>
  <si>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</si>
  <si>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</si>
  <si>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</si>
  <si>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</si>
  <si>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</si>
  <si>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</si>
  <si>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</si>
  <si>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</si>
  <si>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</si>
  <si>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</si>
  <si>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</si>
  <si>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</si>
  <si>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</si>
  <si>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</si>
  <si>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</si>
  <si>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</si>
  <si>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</si>
  <si>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</si>
  <si>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</si>
  <si>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</si>
  <si>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</si>
  <si>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</si>
  <si>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</si>
  <si>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</si>
  <si>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</si>
  <si>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</si>
  <si>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</si>
  <si>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</si>
  <si>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</si>
  <si>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</si>
  <si>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</si>
  <si>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</si>
  <si>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</si>
  <si>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</si>
  <si>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</si>
  <si>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</si>
  <si>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</si>
  <si>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</si>
  <si>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</si>
  <si>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</si>
  <si>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</si>
  <si>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</si>
  <si>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</si>
  <si>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</si>
  <si>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</si>
  <si>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</si>
  <si>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</si>
  <si>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</si>
  <si>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</si>
  <si>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</si>
  <si>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</si>
  <si>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</si>
  <si>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</si>
  <si>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</si>
  <si>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</si>
  <si>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</si>
  <si>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</si>
  <si>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</si>
  <si>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</si>
  <si>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</si>
  <si>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</si>
  <si>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</si>
  <si>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</si>
  <si>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</si>
  <si>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</si>
  <si>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</si>
  <si>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</si>
  <si>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</si>
  <si>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</si>
  <si>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</si>
  <si>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</si>
  <si>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</si>
  <si>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</si>
  <si>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</si>
  <si>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</si>
  <si>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</si>
  <si>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</si>
  <si>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</si>
  <si>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</si>
  <si>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</si>
  <si>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</si>
  <si>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</si>
  <si>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</si>
  <si>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</si>
  <si>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</si>
  <si>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</si>
  <si>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</si>
  <si>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</si>
  <si>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</si>
  <si>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</si>
  <si>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</si>
  <si>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</si>
  <si>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</si>
  <si>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</si>
  <si>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</si>
  <si>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</si>
  <si>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</si>
  <si>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</si>
  <si>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</si>
  <si>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</si>
  <si>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</si>
  <si>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</si>
  <si>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</si>
  <si>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</si>
  <si>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</si>
  <si>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</si>
  <si>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</si>
  <si>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</si>
  <si>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</si>
  <si>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</si>
  <si>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</si>
  <si>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</si>
  <si>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</si>
  <si>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</si>
  <si>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</si>
  <si>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</si>
  <si>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</si>
  <si>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</si>
  <si>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</si>
  <si>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</si>
  <si>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</si>
  <si>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</si>
  <si>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</si>
  <si>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</si>
  <si>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</si>
  <si>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</si>
  <si>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</si>
  <si>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</si>
  <si>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</si>
  <si>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</si>
  <si>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</si>
  <si>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</si>
  <si>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</si>
  <si>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</si>
  <si>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</si>
  <si>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</si>
  <si>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</si>
  <si>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</si>
  <si>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</si>
  <si>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</si>
  <si>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</si>
  <si>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</si>
  <si>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</si>
  <si>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</si>
  <si>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</si>
  <si>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</si>
  <si>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</si>
  <si>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</si>
  <si>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</si>
  <si>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</si>
  <si>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</si>
  <si>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</si>
  <si>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</si>
  <si>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</si>
  <si>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</si>
  <si>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</si>
  <si>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</si>
  <si>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</si>
  <si>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</si>
  <si>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</si>
  <si>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</si>
  <si>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</si>
  <si>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</si>
  <si>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</si>
  <si>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</si>
  <si>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</si>
  <si>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</si>
  <si>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</si>
  <si>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</si>
  <si>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</si>
  <si>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</si>
  <si>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</si>
  <si>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</si>
  <si>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</si>
  <si>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</si>
  <si>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</si>
  <si>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</si>
  <si>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</si>
  <si>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</si>
  <si>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</si>
  <si>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</si>
  <si>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</si>
  <si>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</si>
  <si>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</si>
  <si>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</si>
  <si>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</si>
  <si>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</si>
  <si>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</si>
  <si>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</si>
  <si>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</si>
  <si>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</si>
  <si>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</si>
  <si>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</si>
  <si>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</si>
  <si>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</si>
  <si>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</si>
  <si>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</si>
  <si>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</si>
  <si>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</si>
  <si>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</si>
  <si>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</si>
  <si>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</si>
  <si>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</si>
  <si>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</si>
  <si>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</si>
  <si>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</si>
  <si>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</si>
  <si>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</si>
  <si>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</si>
  <si>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</si>
  <si>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</si>
  <si>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</si>
  <si>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</si>
  <si>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</si>
  <si>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</si>
  <si>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</si>
  <si>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</si>
  <si>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</si>
  <si>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</si>
  <si>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</si>
  <si>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</si>
  <si>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</si>
  <si>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</si>
  <si>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</si>
  <si>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</si>
  <si>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</si>
  <si>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</si>
  <si>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</si>
  <si>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</si>
  <si>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</si>
  <si>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</si>
  <si>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</si>
  <si>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</si>
  <si>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</si>
  <si>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</si>
  <si>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</si>
  <si>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</si>
  <si>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</si>
  <si>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</si>
  <si>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</si>
  <si>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</si>
  <si>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</si>
  <si>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</si>
  <si>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</si>
  <si>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</si>
  <si>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</si>
  <si>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</si>
  <si>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</si>
  <si>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</si>
  <si>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</si>
  <si>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</si>
  <si>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</si>
  <si>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</si>
  <si>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</si>
  <si>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</si>
  <si>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</si>
  <si>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</si>
  <si>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</si>
  <si>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</si>
  <si>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</si>
  <si>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</si>
  <si>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</si>
  <si>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</si>
  <si>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</si>
  <si>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</si>
  <si>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</si>
  <si>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</si>
  <si>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</si>
  <si>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</si>
  <si>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</si>
  <si>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</si>
  <si>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</si>
  <si>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</si>
  <si>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</si>
  <si>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</si>
  <si>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</si>
  <si>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</si>
  <si>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</si>
  <si>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</si>
  <si>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</si>
  <si>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</si>
  <si>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</si>
  <si>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</si>
  <si>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</si>
  <si>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</si>
  <si>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</si>
  <si>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</si>
  <si>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</si>
  <si>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</si>
  <si>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</si>
  <si>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</si>
  <si>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</si>
  <si>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</si>
  <si>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</si>
  <si>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</si>
  <si>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</si>
  <si>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</si>
  <si>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</si>
  <si>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</si>
  <si>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</si>
  <si>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</si>
  <si>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</si>
  <si>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</si>
  <si>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</si>
  <si>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</si>
  <si>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</si>
  <si>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</si>
  <si>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</si>
  <si>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</si>
  <si>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</si>
  <si>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</si>
  <si>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</si>
  <si>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</si>
  <si>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</si>
  <si>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</si>
  <si>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</si>
  <si>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</si>
  <si>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</si>
  <si>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</si>
  <si>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</si>
  <si>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</si>
  <si>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</si>
  <si>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</si>
  <si>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</si>
  <si>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</si>
  <si>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</si>
  <si>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</si>
  <si>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</si>
  <si>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</si>
  <si>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</si>
  <si>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</si>
  <si>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</si>
  <si>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</si>
  <si>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</si>
  <si>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</si>
  <si>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</si>
  <si>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</si>
  <si>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</si>
  <si>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</si>
  <si>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</si>
  <si>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</si>
  <si>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</si>
  <si>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</si>
  <si>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</si>
  <si>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</si>
  <si>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</si>
  <si>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</si>
  <si>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</si>
  <si>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</si>
  <si>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</si>
  <si>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</si>
  <si>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</si>
  <si>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</si>
  <si>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</si>
  <si>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</si>
  <si>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</si>
  <si>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</si>
  <si>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</si>
  <si>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</si>
  <si>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</si>
  <si>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</si>
  <si>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</si>
  <si>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</si>
  <si>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</si>
  <si>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</si>
  <si>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</si>
  <si>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</si>
  <si>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Medicaid - Admin Outreach - Admin Assessment FY2019</t>
  </si>
  <si>
    <t>Medicaid - Admin Outreach - Admin Assessment FY2020</t>
  </si>
  <si>
    <t>Rounding</t>
  </si>
  <si>
    <t>CHILD NUTRITION CLUSTER</t>
  </si>
  <si>
    <t>US Department of Agriculture</t>
  </si>
  <si>
    <t xml:space="preserve">    Passed Through Department of Defense:</t>
  </si>
  <si>
    <t xml:space="preserve">        Food Donation Program (Non-Cash Commodities)</t>
  </si>
  <si>
    <t>20-4299-00</t>
  </si>
  <si>
    <t>N/A</t>
  </si>
  <si>
    <t xml:space="preserve">     Passed Through Illinois State Board of Education:</t>
  </si>
  <si>
    <t xml:space="preserve">        National School Lunch Program*</t>
  </si>
  <si>
    <t>19-4210-00</t>
  </si>
  <si>
    <t>20-4210-00</t>
  </si>
  <si>
    <t>Subtotal CFDA 10.555</t>
  </si>
  <si>
    <t xml:space="preserve">        School Breakfast*</t>
  </si>
  <si>
    <t>19-4220-00</t>
  </si>
  <si>
    <t>20-4220-00</t>
  </si>
  <si>
    <t>Subtotal CFDA 10.553</t>
  </si>
  <si>
    <t xml:space="preserve">        Summer Food Service Program*</t>
  </si>
  <si>
    <t>20-4225-00</t>
  </si>
  <si>
    <t>Total Child Nutrition Cluster</t>
  </si>
  <si>
    <t>Subtotal CFDA "10"</t>
  </si>
  <si>
    <t>*Project End Date 9/30</t>
  </si>
  <si>
    <t>**Project End Date 8/31</t>
  </si>
  <si>
    <t>SPECIAL EDUCATION CLUSTER</t>
  </si>
  <si>
    <t>US Department of Education</t>
  </si>
  <si>
    <t xml:space="preserve">    Passed Through Illinois State Board of Education:</t>
  </si>
  <si>
    <t>19-4625-00</t>
  </si>
  <si>
    <t>20-4625-00</t>
  </si>
  <si>
    <t xml:space="preserve">    Passed Through Special Education District of Lake County:</t>
  </si>
  <si>
    <t>19-4620-00</t>
  </si>
  <si>
    <t>20-4620-00</t>
  </si>
  <si>
    <t>Subtotal CFDA 84.027</t>
  </si>
  <si>
    <t>Total Special Education Cluster</t>
  </si>
  <si>
    <t xml:space="preserve">        Title I - Low Income</t>
  </si>
  <si>
    <t>19-4300-00</t>
  </si>
  <si>
    <t>20-4300-00</t>
  </si>
  <si>
    <t>Subtotal CFDA 84.010</t>
  </si>
  <si>
    <t xml:space="preserve">        Title II - Teacher Quality**</t>
  </si>
  <si>
    <t>19-4932-00</t>
  </si>
  <si>
    <t>20-4932-00</t>
  </si>
  <si>
    <t>Subtotal CFDA 84.367</t>
  </si>
  <si>
    <t xml:space="preserve">    Passed Through McHenry County Cooperative for Employment Education:</t>
  </si>
  <si>
    <t xml:space="preserve">        V.E. - Perkins - Title IIC</t>
  </si>
  <si>
    <t>Subtotal CFDA "84"</t>
  </si>
  <si>
    <t>MEDICAID CLUSTER</t>
  </si>
  <si>
    <t>US Department of Health and Family Services</t>
  </si>
  <si>
    <t xml:space="preserve">    Passed Through Illinois Department of Health and Family Services:</t>
  </si>
  <si>
    <t xml:space="preserve">        Medicaid Administrative Outreach</t>
  </si>
  <si>
    <t>Total Medicaid Cluster</t>
  </si>
  <si>
    <t>Subtotal CFDA "93"</t>
  </si>
  <si>
    <t>Total Federal Assistance</t>
  </si>
  <si>
    <t>84.425D</t>
  </si>
  <si>
    <t>20-4998-00</t>
  </si>
  <si>
    <t>20-4770-00</t>
  </si>
  <si>
    <t>19-4991-00</t>
  </si>
  <si>
    <t>20-4991-00</t>
  </si>
  <si>
    <t>x</t>
  </si>
  <si>
    <t>4716 W CRYSTAL LAKE ROAD</t>
  </si>
  <si>
    <t>LAWSONDAVE@DIST156.ORG</t>
  </si>
  <si>
    <t>X</t>
  </si>
  <si>
    <t>DAVID LAWSON</t>
  </si>
  <si>
    <t>815-385-7900</t>
  </si>
  <si>
    <t>815-344-7154</t>
  </si>
  <si>
    <t>CHERYDEN JUERGENSEN</t>
  </si>
  <si>
    <t>2012 G.O. Refunding Bonds</t>
  </si>
  <si>
    <t>2019 G.O. School Bonds</t>
  </si>
  <si>
    <t>Ed-Instruction-Other-Outside Services</t>
  </si>
  <si>
    <t>PMA</t>
  </si>
  <si>
    <t>O&amp;M-Support Services-ourside Services</t>
  </si>
  <si>
    <t>Johnson Control</t>
  </si>
  <si>
    <t>ABM Services Group</t>
  </si>
  <si>
    <t>NIHIP - Northern Illinois Health Insurance Pool, CLIC - Collective Liability Insurance Cooperative</t>
  </si>
  <si>
    <t>Franczek Radelet Attorneys and Counselors</t>
  </si>
  <si>
    <t>Special Education District of McHenry County</t>
  </si>
  <si>
    <t>McHenry School District #15</t>
  </si>
  <si>
    <t>McHenry County Cooperative for Employment Edcation</t>
  </si>
  <si>
    <t xml:space="preserve">        COVID-19 Elementary and Secondary School Emergency Relief (ESSER)</t>
  </si>
  <si>
    <t>The accompanying Schedule of Expenditures of Federal Awards includes the federal grant activity of McHenry Community High School District No. 156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</si>
  <si>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McHenry Community High School District No. 156 provided federal awards to subrecipients as follows:</t>
  </si>
  <si>
    <t>NONE</t>
  </si>
  <si>
    <r>
      <t xml:space="preserve">The following amounts were expended in the form of non-cash assistance by McHenry Community High School No. 156 and </t>
    </r>
    <r>
      <rPr>
        <b/>
        <sz val="9"/>
        <rFont val="Calibri"/>
        <family val="2"/>
        <scheme val="minor"/>
      </rPr>
      <t>should be</t>
    </r>
    <r>
      <rPr>
        <sz val="9"/>
        <rFont val="Calibri"/>
        <family val="2"/>
        <scheme val="minor"/>
      </rPr>
      <t xml:space="preserve"> included in the Schedule of Expenditures of Federal Awards:</t>
    </r>
  </si>
  <si>
    <t>ADVERSE</t>
  </si>
  <si>
    <t>Special Education Cluster</t>
  </si>
  <si>
    <t>2019-001</t>
  </si>
  <si>
    <t>2019-002</t>
  </si>
  <si>
    <t>Special Education Cluster - Expenditures posted to the purchased services expense accounts were less than the amount submitted for reimbursement.</t>
  </si>
  <si>
    <t xml:space="preserve">Child Nutrition Cluster - Three of the five applications selected for verification were redetermined incorrectly. </t>
  </si>
  <si>
    <t>2019-003</t>
  </si>
  <si>
    <t>Child Nutrition Cluster - The verification process was not done in a timely manner. The District did not use the required ISBE forms. The confirmation review and verification tracking were not reviewed by someone other than the confirming official.</t>
  </si>
  <si>
    <t>Corrective action was taken. The District updated their procedures to ensure that redeterminations are reviewed by someone other than the preparer.</t>
  </si>
  <si>
    <t>Corrective action was taken. The District updated their procedures to ensure that allocation of expenditures to the grant is done correctly. There were no similar findings in the current year.</t>
  </si>
  <si>
    <t>Corrective action was taken. The District updated their procedures to ensure that the verification process is initiated earlier and completed before the due date; the correct forms are used for the verification process; someone other than the confirming official is reviewing the verification process.</t>
  </si>
  <si>
    <t>UNMODIFIED</t>
  </si>
  <si>
    <t>Ed Fund - Page 10, Line 74 - Other Food Service</t>
  </si>
  <si>
    <t>Ed Fund - Page 10, Line 81 - Other District/School Activity Revenue</t>
  </si>
  <si>
    <t>Ed Fund - Page 11, Line 106 - Other Local Fees</t>
  </si>
  <si>
    <t>Ed Fund - Page 11, Line 121 - Other Unrestricted Grants-In-Aid from State Sources</t>
  </si>
  <si>
    <t>Ed Fund - Page 12, Line 168 - Other Restricted Revenue from State Sources</t>
  </si>
  <si>
    <t>O&amp;M Fund - Page 11, Line 107 - Other Local Revenues</t>
  </si>
  <si>
    <t>Capital Projects Fund - Page 11, Line 106 - Other Local Fees</t>
  </si>
  <si>
    <t>IMRF/SS Fund - Page 19, Line 237 - Other Support Services - Pupils</t>
  </si>
  <si>
    <t>Debt Service Fund - Page 18, Line 171 - Debt Services - Other</t>
  </si>
  <si>
    <t>Ed Fund - Page 15, Line 41 - Other Support Services - Pupils</t>
  </si>
  <si>
    <t>Ed Fund - Page 16, Line 73 - Other Support Services</t>
  </si>
  <si>
    <t>Food service catering</t>
  </si>
  <si>
    <t>Print shop revenue, convenience, athletics revenue</t>
  </si>
  <si>
    <t>Recycling rebates, damage/lost library books</t>
  </si>
  <si>
    <t>STEP Grant</t>
  </si>
  <si>
    <t>Vocational Grant, Library Grant</t>
  </si>
  <si>
    <t>Salaries/Classified</t>
  </si>
  <si>
    <t>Bond Fees</t>
  </si>
  <si>
    <t>Matching IMRF/FICA</t>
  </si>
  <si>
    <t>ComEd Rebate</t>
  </si>
  <si>
    <t>Developer Donation Fees</t>
  </si>
  <si>
    <t xml:space="preserve">       Special Education - IDEA - Room and Board** (M)</t>
  </si>
  <si>
    <t xml:space="preserve">        Special Education - Grant to States (M)</t>
  </si>
  <si>
    <t>Supplies for MV Students</t>
  </si>
  <si>
    <t>PDF in Opinion Page with signature</t>
  </si>
  <si>
    <t xml:space="preserve"> McHenry CHSD 156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</si>
</sst>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
      <sz val="10"/>
      <name val="Arial"/>
    </font>
    <font>
      <u/>
      <sz val="8"/>
      <color indexed="12"/>
      <name val="Arial"/>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4623">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10"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 fillId="0" borderId="0" applyAlignment="0"/>
    <xf numFmtId="185" fontId="165" fillId="0" borderId="0" applyFont="0" applyFill="0" applyBorder="0" applyAlignment="0" applyProtection="0"/>
    <xf numFmtId="186" fontId="165" fillId="0" borderId="0" applyFont="0" applyFill="0" applyBorder="0" applyAlignment="0" applyProtection="0"/>
    <xf numFmtId="43" fontId="14" fillId="0" borderId="0" applyAlignment="0"/>
    <xf numFmtId="0" fontId="7" fillId="0" borderId="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187" fontId="165" fillId="0" borderId="0" applyFont="0" applyFill="0" applyBorder="0" applyAlignment="0" applyProtection="0"/>
    <xf numFmtId="188" fontId="165" fillId="0" borderId="0" applyFont="0" applyFill="0" applyBorder="0" applyAlignment="0" applyProtection="0"/>
    <xf numFmtId="43" fontId="14" fillId="0" borderId="0" applyAlignment="0"/>
    <xf numFmtId="189" fontId="165" fillId="0" borderId="0" applyFont="0" applyFill="0" applyBorder="0" applyAlignment="0" applyProtection="0">
      <alignment horizontal="right"/>
    </xf>
    <xf numFmtId="190" fontId="165" fillId="0" borderId="0" applyFont="0" applyFill="0" applyBorder="0" applyAlignment="0" applyProtection="0"/>
    <xf numFmtId="191" fontId="165" fillId="0" borderId="0" applyFont="0" applyFill="0" applyBorder="0" applyAlignment="0" applyProtection="0">
      <alignment horizontal="right"/>
    </xf>
    <xf numFmtId="192" fontId="165" fillId="0" borderId="0" applyFont="0" applyFill="0" applyBorder="0" applyAlignment="0" applyProtection="0">
      <alignment horizontal="right"/>
    </xf>
    <xf numFmtId="193" fontId="165" fillId="0" borderId="0" applyFont="0" applyFill="0" applyBorder="0" applyAlignment="0" applyProtection="0">
      <alignment horizontal="right"/>
    </xf>
    <xf numFmtId="194" fontId="165" fillId="0" borderId="0" applyFont="0" applyFill="0" applyBorder="0" applyAlignment="0" applyProtection="0"/>
    <xf numFmtId="0" fontId="147" fillId="26" borderId="0" applyNumberFormat="0" applyBorder="0" applyAlignment="0" applyProtection="0"/>
    <xf numFmtId="0" fontId="147" fillId="26" borderId="0" applyNumberFormat="0" applyBorder="0" applyAlignment="0" applyProtection="0"/>
    <xf numFmtId="0" fontId="159" fillId="27"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47" fillId="29" borderId="0" applyNumberFormat="0" applyBorder="0" applyAlignment="0" applyProtection="0"/>
    <xf numFmtId="0" fontId="147" fillId="30" borderId="0" applyNumberFormat="0" applyBorder="0" applyAlignment="0" applyProtection="0"/>
    <xf numFmtId="0" fontId="159" fillId="31"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47" fillId="29" borderId="0" applyNumberFormat="0" applyBorder="0" applyAlignment="0" applyProtection="0"/>
    <xf numFmtId="0" fontId="147" fillId="33" borderId="0" applyNumberFormat="0" applyBorder="0" applyAlignment="0" applyProtection="0"/>
    <xf numFmtId="0" fontId="159" fillId="30"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47" fillId="26" borderId="0" applyNumberFormat="0" applyBorder="0" applyAlignment="0" applyProtection="0"/>
    <xf numFmtId="0" fontId="147" fillId="30" borderId="0" applyNumberFormat="0" applyBorder="0" applyAlignment="0" applyProtection="0"/>
    <xf numFmtId="0" fontId="159" fillId="30"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47" fillId="34" borderId="0" applyNumberFormat="0" applyBorder="0" applyAlignment="0" applyProtection="0"/>
    <xf numFmtId="0" fontId="147" fillId="26" borderId="0" applyNumberFormat="0" applyBorder="0" applyAlignment="0" applyProtection="0"/>
    <xf numFmtId="0" fontId="159" fillId="27"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47" fillId="29" borderId="0" applyNumberFormat="0" applyBorder="0" applyAlignment="0" applyProtection="0"/>
    <xf numFmtId="0" fontId="147" fillId="36" borderId="0" applyNumberFormat="0" applyBorder="0" applyAlignment="0" applyProtection="0"/>
    <xf numFmtId="0" fontId="159" fillId="36"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5" fillId="0" borderId="164" applyNumberFormat="0" applyFill="0" applyAlignment="0" applyProtection="0"/>
    <xf numFmtId="195" fontId="166" fillId="0" borderId="164" applyNumberFormat="0" applyFill="0" applyAlignment="0" applyProtection="0">
      <alignment horizontal="center"/>
    </xf>
    <xf numFmtId="195" fontId="166" fillId="0" borderId="78" applyFill="0" applyAlignment="0" applyProtection="0">
      <alignment horizontal="center"/>
    </xf>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56" fillId="31" borderId="165" applyNumberFormat="0" applyAlignment="0" applyProtection="0"/>
    <xf numFmtId="0" fontId="156" fillId="31" borderId="165" applyNumberFormat="0" applyAlignment="0" applyProtection="0"/>
    <xf numFmtId="0" fontId="156" fillId="31" borderId="165" applyNumberFormat="0" applyAlignment="0" applyProtection="0"/>
    <xf numFmtId="0" fontId="156" fillId="31" borderId="165" applyNumberFormat="0" applyAlignment="0" applyProtection="0"/>
    <xf numFmtId="0" fontId="156" fillId="31" borderId="165" applyNumberFormat="0" applyAlignment="0" applyProtection="0"/>
    <xf numFmtId="0" fontId="156" fillId="31" borderId="165" applyNumberFormat="0" applyAlignment="0" applyProtection="0"/>
    <xf numFmtId="0" fontId="167" fillId="0" borderId="0" applyProtection="0"/>
    <xf numFmtId="195" fontId="166" fillId="0" borderId="0" applyFill="0" applyBorder="0" applyProtection="0">
      <alignment horizont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7"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146" fillId="0" borderId="0" applyProtection="0"/>
    <xf numFmtId="196" fontId="165" fillId="0" borderId="0" applyFont="0" applyFill="0" applyBorder="0" applyAlignment="0" applyProtection="0"/>
    <xf numFmtId="195" fontId="166" fillId="0" borderId="166" applyNumberFormat="0" applyFill="0" applyAlignment="0" applyProtection="0"/>
    <xf numFmtId="0" fontId="165" fillId="0" borderId="166" applyNumberFormat="0" applyFill="0" applyAlignment="0" applyProtection="0"/>
    <xf numFmtId="0" fontId="158" fillId="40" borderId="0" applyNumberFormat="0" applyBorder="0" applyAlignment="0" applyProtection="0"/>
    <xf numFmtId="0" fontId="158" fillId="41" borderId="0" applyNumberFormat="0" applyBorder="0" applyAlignment="0" applyProtection="0"/>
    <xf numFmtId="0" fontId="158" fillId="42" borderId="0" applyNumberFormat="0" applyBorder="0" applyAlignment="0" applyProtection="0"/>
    <xf numFmtId="0" fontId="168" fillId="0" borderId="0" applyProtection="0"/>
    <xf numFmtId="0" fontId="15" fillId="0" borderId="0" applyProtection="0"/>
    <xf numFmtId="0" fontId="169" fillId="0" borderId="0" applyProtection="0"/>
    <xf numFmtId="0" fontId="170" fillId="0" borderId="0" applyProtection="0"/>
    <xf numFmtId="0" fontId="171" fillId="0" borderId="0" applyProtection="0"/>
    <xf numFmtId="0" fontId="172" fillId="0" borderId="0" applyProtection="0"/>
    <xf numFmtId="0" fontId="173" fillId="0" borderId="0" applyProtection="0"/>
    <xf numFmtId="2" fontId="146" fillId="0" borderId="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49" fillId="0" borderId="167" applyNumberFormat="0" applyFill="0" applyAlignment="0" applyProtection="0"/>
    <xf numFmtId="0" fontId="149" fillId="0" borderId="167" applyNumberFormat="0" applyFill="0" applyAlignment="0" applyProtection="0"/>
    <xf numFmtId="0" fontId="149" fillId="0" borderId="167" applyNumberFormat="0" applyFill="0" applyAlignment="0" applyProtection="0"/>
    <xf numFmtId="0" fontId="149" fillId="0" borderId="167" applyNumberFormat="0" applyFill="0" applyAlignment="0" applyProtection="0"/>
    <xf numFmtId="0" fontId="149" fillId="0" borderId="167" applyNumberFormat="0" applyFill="0" applyAlignment="0" applyProtection="0"/>
    <xf numFmtId="0" fontId="149" fillId="0" borderId="167"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74" fillId="0" borderId="0" applyProtection="0"/>
    <xf numFmtId="0" fontId="141" fillId="0" borderId="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97" fontId="165" fillId="0" borderId="0" applyFont="0" applyFill="0" applyBorder="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63" fillId="0" borderId="170" applyNumberFormat="0" applyFill="0" applyAlignment="0" applyProtection="0"/>
    <xf numFmtId="0" fontId="163" fillId="0" borderId="170" applyNumberFormat="0" applyFill="0" applyAlignment="0" applyProtection="0"/>
    <xf numFmtId="0" fontId="163" fillId="0" borderId="170" applyNumberFormat="0" applyFill="0" applyAlignment="0" applyProtection="0"/>
    <xf numFmtId="0" fontId="163" fillId="0" borderId="170" applyNumberFormat="0" applyFill="0" applyAlignment="0" applyProtection="0"/>
    <xf numFmtId="0" fontId="163" fillId="0" borderId="170" applyNumberFormat="0" applyFill="0" applyAlignment="0" applyProtection="0"/>
    <xf numFmtId="0" fontId="163" fillId="0" borderId="170" applyNumberFormat="0" applyFill="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66" fillId="0" borderId="0" applyNumberFormat="0" applyFill="0" applyAlignment="0" applyProtection="0"/>
    <xf numFmtId="0" fontId="14" fillId="0" borderId="0"/>
    <xf numFmtId="0" fontId="14" fillId="0" borderId="0"/>
    <xf numFmtId="0" fontId="14" fillId="0" borderId="0"/>
    <xf numFmtId="0" fontId="14" fillId="0" borderId="0"/>
    <xf numFmtId="0" fontId="7" fillId="0" borderId="0"/>
    <xf numFmtId="0" fontId="145" fillId="0" borderId="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198" fontId="166" fillId="0" borderId="0" applyFill="0" applyBorder="0" applyProtection="0">
      <alignment horizontal="right"/>
    </xf>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199" fontId="166" fillId="0" borderId="0" applyProtection="0"/>
    <xf numFmtId="0" fontId="148" fillId="0" borderId="0" applyNumberFormat="0" applyFill="0" applyBorder="0" applyAlignment="0" applyProtection="0"/>
    <xf numFmtId="0" fontId="166" fillId="0" borderId="78" applyNumberFormat="0" applyFill="0" applyAlignment="0" applyProtection="0"/>
    <xf numFmtId="8" fontId="175" fillId="0" borderId="0" applyNumberFormat="0" applyFill="0" applyBorder="0" applyAlignment="0" applyProtection="0"/>
    <xf numFmtId="0" fontId="164" fillId="0" borderId="0" applyNumberFormat="0" applyBorder="0" applyAlignment="0"/>
    <xf numFmtId="0" fontId="176" fillId="0" borderId="0" applyNumberFormat="0" applyBorder="0" applyAlignment="0"/>
    <xf numFmtId="0" fontId="165" fillId="0" borderId="172" applyNumberFormat="0" applyFont="0" applyFill="0" applyAlignment="0" applyProtection="0"/>
    <xf numFmtId="0" fontId="165" fillId="0" borderId="173" applyNumberFormat="0" applyFont="0" applyFill="0" applyAlignment="0" applyProtection="0"/>
    <xf numFmtId="0" fontId="165" fillId="0" borderId="139" applyNumberFormat="0" applyFon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2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2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2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32"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32"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32"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1"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1"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1"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28"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28"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28"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3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3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3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7"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7"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7"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61" fillId="38"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61" fillId="38"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61" fillId="38"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31"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31"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31"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33"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33"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33"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49" fillId="0" borderId="167"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49" fillId="0" borderId="167"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49" fillId="0" borderId="167"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50"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50"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50"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51" fillId="0" borderId="169"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51" fillId="0" borderId="169"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51" fillId="0" borderId="169"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6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6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6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43"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43"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43"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5" fillId="0" borderId="0"/>
    <xf numFmtId="0" fontId="14" fillId="0" borderId="0"/>
    <xf numFmtId="0" fontId="14" fillId="0" borderId="0"/>
    <xf numFmtId="0" fontId="14" fillId="0" borderId="0"/>
    <xf numFmtId="0" fontId="14" fillId="0" borderId="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7" fillId="0" borderId="0"/>
    <xf numFmtId="0" fontId="14" fillId="0" borderId="0"/>
    <xf numFmtId="43" fontId="7" fillId="0" borderId="0" applyFont="0" applyFill="0" applyBorder="0" applyAlignment="0" applyProtection="0"/>
    <xf numFmtId="5" fontId="14" fillId="0" borderId="0" applyFont="0" applyFill="0" applyBorder="0" applyAlignment="0" applyProtection="0"/>
    <xf numFmtId="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7" fillId="0" borderId="0"/>
    <xf numFmtId="0" fontId="7" fillId="0" borderId="0"/>
    <xf numFmtId="0" fontId="55" fillId="0" borderId="0"/>
    <xf numFmtId="0" fontId="7" fillId="0" borderId="0"/>
    <xf numFmtId="43" fontId="7" fillId="0" borderId="0" applyFont="0" applyFill="0" applyBorder="0" applyAlignment="0" applyProtection="0"/>
    <xf numFmtId="0" fontId="7" fillId="0" borderId="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65" fillId="0" borderId="139" applyNumberFormat="0" applyFont="0" applyFill="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60" fillId="0" borderId="0" applyNumberFormat="0" applyFill="0" applyBorder="0" applyAlignment="0" applyProtection="0">
      <alignment vertical="top"/>
      <protection locked="0"/>
    </xf>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 fillId="0" borderId="0" applyAlignment="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14" fillId="0" borderId="0"/>
    <xf numFmtId="0" fontId="7" fillId="0" borderId="0"/>
    <xf numFmtId="43" fontId="14" fillId="0" borderId="0" applyAlignment="0"/>
    <xf numFmtId="43" fontId="14" fillId="0" borderId="0" applyAlignment="0"/>
    <xf numFmtId="43" fontId="7"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7" fillId="0" borderId="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8" fillId="0" borderId="177" applyNumberFormat="0" applyFill="0" applyAlignment="0" applyProtection="0"/>
    <xf numFmtId="0" fontId="155" fillId="62" borderId="171" applyNumberFormat="0" applyAlignment="0" applyProtection="0"/>
    <xf numFmtId="0" fontId="158" fillId="0" borderId="177" applyNumberFormat="0" applyFill="0" applyAlignment="0" applyProtection="0"/>
    <xf numFmtId="43" fontId="7" fillId="0" borderId="0" applyFont="0" applyFill="0" applyBorder="0" applyAlignment="0" applyProtection="0"/>
    <xf numFmtId="0" fontId="7" fillId="0" borderId="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65" fillId="0" borderId="139" applyNumberFormat="0" applyFon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65" fillId="0" borderId="139" applyNumberFormat="0" applyFon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43" fontId="7" fillId="0" borderId="0" applyFont="0" applyFill="0" applyBorder="0" applyAlignment="0" applyProtection="0"/>
    <xf numFmtId="0" fontId="7" fillId="0" borderId="0"/>
    <xf numFmtId="0" fontId="7" fillId="0" borderId="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158" fillId="0" borderId="174" applyNumberFormat="0" applyFill="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43"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 fillId="0" borderId="0" applyAlignment="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14" fillId="0" borderId="0"/>
    <xf numFmtId="0" fontId="7" fillId="0" borderId="0"/>
    <xf numFmtId="43" fontId="14" fillId="0" borderId="0" applyAlignment="0"/>
    <xf numFmtId="43" fontId="14" fillId="0" borderId="0" applyAlignment="0"/>
    <xf numFmtId="43" fontId="7"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89" fillId="0" borderId="0" applyAlignment="0"/>
    <xf numFmtId="43" fontId="189" fillId="0" borderId="0" applyFont="0" applyFill="0" applyBorder="0" applyAlignment="0" applyProtection="0"/>
    <xf numFmtId="43" fontId="4" fillId="0" borderId="0" applyFont="0" applyFill="0" applyBorder="0" applyAlignment="0" applyProtection="0"/>
    <xf numFmtId="43" fontId="189" fillId="0" borderId="0" applyFont="0" applyFill="0" applyBorder="0" applyAlignment="0" applyProtection="0"/>
    <xf numFmtId="3" fontId="189" fillId="0" borderId="0" applyFont="0" applyFill="0" applyBorder="0" applyAlignment="0" applyProtection="0"/>
    <xf numFmtId="44" fontId="189" fillId="0" borderId="0" applyFont="0" applyFill="0" applyBorder="0" applyAlignment="0" applyProtection="0"/>
    <xf numFmtId="5" fontId="189" fillId="0" borderId="0" applyFont="0" applyFill="0" applyBorder="0" applyAlignment="0" applyProtection="0"/>
    <xf numFmtId="0" fontId="190" fillId="0" borderId="0" applyNumberFormat="0" applyFill="0" applyBorder="0" applyAlignment="0" applyProtection="0">
      <alignment vertical="top"/>
      <protection locked="0"/>
    </xf>
    <xf numFmtId="0" fontId="189" fillId="0" borderId="0"/>
    <xf numFmtId="0" fontId="189" fillId="0" borderId="0"/>
    <xf numFmtId="0" fontId="4" fillId="0" borderId="0"/>
    <xf numFmtId="43" fontId="189" fillId="0" borderId="0" applyAlignment="0"/>
    <xf numFmtId="43" fontId="189" fillId="0" borderId="0" applyAlignment="0"/>
    <xf numFmtId="43" fontId="4"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0" fontId="190"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189"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14" fillId="0" borderId="0" applyAlignment="0"/>
    <xf numFmtId="43" fontId="14" fillId="0" borderId="0" applyAlignment="0"/>
    <xf numFmtId="43" fontId="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3" fillId="0" borderId="0"/>
    <xf numFmtId="0" fontId="3" fillId="0" borderId="0"/>
    <xf numFmtId="0" fontId="3" fillId="0" borderId="0"/>
    <xf numFmtId="0" fontId="2" fillId="0" borderId="0"/>
    <xf numFmtId="0" fontId="2" fillId="0" borderId="0"/>
    <xf numFmtId="0" fontId="2" fillId="0" borderId="0"/>
  </cellStyleXfs>
  <cellXfs count="2833">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8" fillId="0" borderId="0" xfId="12" quotePrefix="1"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3" xfId="12" applyNumberFormat="1" applyFont="1" applyBorder="1" applyAlignment="1" applyProtection="1">
      <alignment horizontal="right" vertical="center"/>
    </xf>
    <xf numFmtId="0" fontId="18" fillId="0" borderId="126" xfId="12" applyFont="1" applyBorder="1" applyAlignment="1" applyProtection="1">
      <alignment vertical="center"/>
    </xf>
    <xf numFmtId="0" fontId="18" fillId="0" borderId="124" xfId="12" applyFont="1" applyBorder="1" applyAlignment="1" applyProtection="1">
      <alignment vertical="center"/>
    </xf>
    <xf numFmtId="1" fontId="14" fillId="0" borderId="0" xfId="0" applyNumberFormat="1" applyFont="1" applyAlignment="1">
      <alignment horizontal="center" vertical="center"/>
    </xf>
    <xf numFmtId="0" fontId="15" fillId="0" borderId="133"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8"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100"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1" xfId="0" applyFont="1" applyFill="1" applyBorder="1" applyAlignment="1">
      <alignment horizontal="center" vertical="center"/>
    </xf>
    <xf numFmtId="0" fontId="80" fillId="9" borderId="102" xfId="0" applyFont="1" applyFill="1" applyBorder="1" applyAlignment="1">
      <alignment horizontal="center" vertical="center"/>
    </xf>
    <xf numFmtId="0" fontId="58" fillId="17" borderId="119" xfId="0" applyFont="1" applyFill="1" applyBorder="1" applyAlignment="1" applyProtection="1">
      <alignment horizontal="left" vertical="center"/>
    </xf>
    <xf numFmtId="164" fontId="58" fillId="17" borderId="119" xfId="0" applyNumberFormat="1" applyFont="1" applyFill="1" applyBorder="1" applyAlignment="1" applyProtection="1">
      <alignment horizontal="center" vertical="center"/>
    </xf>
    <xf numFmtId="164" fontId="68" fillId="17" borderId="119" xfId="0" applyNumberFormat="1" applyFont="1" applyFill="1" applyBorder="1" applyAlignment="1" applyProtection="1">
      <alignment vertical="center"/>
    </xf>
    <xf numFmtId="0" fontId="81" fillId="10" borderId="120" xfId="0" applyFont="1" applyFill="1" applyBorder="1" applyAlignment="1">
      <alignment horizontal="left" vertical="center"/>
    </xf>
    <xf numFmtId="38" fontId="53" fillId="10" borderId="103" xfId="0" applyNumberFormat="1" applyFont="1" applyFill="1" applyBorder="1" applyAlignment="1">
      <alignment horizontal="right"/>
    </xf>
    <xf numFmtId="38" fontId="53" fillId="10" borderId="110" xfId="0" applyNumberFormat="1" applyFont="1" applyFill="1" applyBorder="1" applyAlignment="1">
      <alignment horizontal="right"/>
    </xf>
    <xf numFmtId="0" fontId="58" fillId="17" borderId="110" xfId="0" applyFont="1" applyFill="1" applyBorder="1" applyAlignment="1" applyProtection="1">
      <alignment horizontal="center" vertical="center"/>
    </xf>
    <xf numFmtId="164" fontId="58" fillId="17" borderId="110" xfId="0" applyNumberFormat="1" applyFont="1" applyFill="1" applyBorder="1" applyAlignment="1" applyProtection="1">
      <alignment horizontal="center" vertical="center"/>
    </xf>
    <xf numFmtId="164" fontId="68" fillId="17" borderId="110" xfId="0" applyNumberFormat="1" applyFont="1" applyFill="1" applyBorder="1" applyAlignment="1" applyProtection="1">
      <alignment vertical="center"/>
    </xf>
    <xf numFmtId="0" fontId="81" fillId="10" borderId="103"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81" fillId="10" borderId="104" xfId="0" applyFont="1" applyFill="1" applyBorder="1" applyAlignment="1">
      <alignment horizontal="left" vertical="center"/>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3" fontId="66" fillId="0" borderId="0" xfId="0" applyNumberFormat="1" applyFont="1" applyBorder="1" applyProtection="1"/>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1" fontId="66" fillId="0" borderId="0" xfId="0" applyNumberFormat="1" applyFont="1" applyBorder="1" applyProtection="1"/>
    <xf numFmtId="39" fontId="66" fillId="0" borderId="0" xfId="0" applyNumberFormat="1" applyFont="1" applyBorder="1" applyProtection="1"/>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49" fontId="66" fillId="0" borderId="0" xfId="0" applyNumberFormat="1" applyFont="1" applyBorder="1" applyProtection="1"/>
    <xf numFmtId="0" fontId="66" fillId="0" borderId="0" xfId="0" applyFont="1" applyBorder="1" applyAlignment="1" applyProtection="1">
      <alignment horizontal="center"/>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0" fontId="66" fillId="0" borderId="2" xfId="0" applyFont="1" applyBorder="1" applyAlignment="1" applyProtection="1">
      <alignment horizontal="center" vertical="center"/>
    </xf>
    <xf numFmtId="0" fontId="66" fillId="0" borderId="14" xfId="0" applyFont="1" applyBorder="1" applyAlignment="1" applyProtection="1">
      <alignment horizontal="left" vertical="center" indent="1"/>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0" fontId="61" fillId="0" borderId="0" xfId="0" applyFont="1" applyFill="1" applyAlignment="1" applyProtection="1">
      <alignment vertical="center"/>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0" fontId="66" fillId="0" borderId="2" xfId="0" applyFont="1" applyFill="1" applyBorder="1" applyAlignment="1" applyProtection="1">
      <alignment horizontal="left" vertical="center" indent="1"/>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0" fontId="58" fillId="0" borderId="0" xfId="0" applyFont="1" applyAlignment="1" applyProtection="1">
      <alignment vertical="center"/>
    </xf>
    <xf numFmtId="0" fontId="69" fillId="0" borderId="0" xfId="0" applyFont="1" applyAlignment="1" applyProtection="1">
      <alignment vertical="center"/>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0" fontId="66" fillId="0" borderId="2" xfId="0" applyFont="1" applyFill="1" applyBorder="1" applyAlignment="1" applyProtection="1">
      <alignment horizontal="center" vertical="top"/>
    </xf>
    <xf numFmtId="0" fontId="59" fillId="0" borderId="0" xfId="0" applyFont="1" applyFill="1" applyBorder="1" applyAlignment="1" applyProtection="1">
      <alignment vertical="center"/>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1" fontId="66" fillId="0" borderId="4" xfId="0" applyNumberFormat="1" applyFont="1" applyBorder="1" applyAlignment="1" applyProtection="1">
      <alignment horizontal="center" vertical="center"/>
    </xf>
    <xf numFmtId="1" fontId="66" fillId="0" borderId="125" xfId="0" applyNumberFormat="1" applyFont="1" applyBorder="1" applyAlignment="1" applyProtection="1">
      <alignment horizontal="center" vertical="center"/>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0" fontId="66" fillId="0" borderId="2" xfId="0" applyFont="1" applyBorder="1" applyAlignment="1" applyProtection="1">
      <alignment horizontal="center" vertical="top" wrapText="1"/>
    </xf>
    <xf numFmtId="0" fontId="66" fillId="0" borderId="26" xfId="0" applyFont="1" applyBorder="1" applyAlignment="1" applyProtection="1">
      <alignment horizontal="center" vertical="center"/>
    </xf>
    <xf numFmtId="0" fontId="66" fillId="0" borderId="128" xfId="0" applyFont="1" applyFill="1" applyBorder="1" applyAlignment="1" applyProtection="1">
      <alignment horizontal="center" vertical="center"/>
    </xf>
    <xf numFmtId="0" fontId="66" fillId="0" borderId="100"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0" fontId="66" fillId="0" borderId="0" xfId="0" applyFont="1" applyBorder="1" applyAlignment="1"/>
    <xf numFmtId="49" fontId="66" fillId="0" borderId="2" xfId="0" applyNumberFormat="1" applyFont="1" applyBorder="1" applyAlignment="1">
      <alignment horizontal="center" vertical="center"/>
    </xf>
    <xf numFmtId="49" fontId="68" fillId="2" borderId="27" xfId="0" applyNumberFormat="1" applyFont="1" applyFill="1" applyBorder="1" applyAlignment="1">
      <alignment horizontal="center" vertical="center"/>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164" fontId="68" fillId="3" borderId="123"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0" fontId="66" fillId="0" borderId="29"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125" xfId="0" applyFont="1" applyFill="1" applyBorder="1" applyAlignment="1">
      <alignment horizontal="center" vertical="center"/>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3"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4" xfId="0" applyNumberFormat="1" applyFont="1" applyFill="1" applyBorder="1" applyAlignment="1">
      <alignment horizontal="center" vertical="center"/>
    </xf>
    <xf numFmtId="49" fontId="66" fillId="0" borderId="125"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3"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0" fontId="61" fillId="0" borderId="0" xfId="9" applyFont="1" applyFill="1" applyAlignment="1"/>
    <xf numFmtId="0" fontId="66" fillId="0" borderId="0" xfId="9" applyFont="1" applyFill="1" applyAlignment="1"/>
    <xf numFmtId="0" fontId="85" fillId="0" borderId="0" xfId="9" applyFont="1" applyFill="1" applyAlignment="1">
      <alignment vertical="top"/>
    </xf>
    <xf numFmtId="0" fontId="66" fillId="0" borderId="0" xfId="9" applyFont="1" applyFill="1" applyBorder="1" applyAlignment="1"/>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49" fontId="66" fillId="0" borderId="6" xfId="0" applyNumberFormat="1" applyFont="1" applyBorder="1" applyAlignment="1" applyProtection="1">
      <alignment horizontal="center" vertical="center"/>
    </xf>
    <xf numFmtId="49" fontId="66" fillId="6" borderId="59" xfId="0" applyNumberFormat="1" applyFont="1" applyFill="1" applyBorder="1" applyAlignment="1" applyProtection="1">
      <alignment horizontal="center"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8"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0" fontId="66" fillId="0" borderId="46" xfId="0" applyFont="1" applyBorder="1" applyAlignment="1" applyProtection="1">
      <alignment horizontal="left" vertical="center" wrapText="1" indent="1"/>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0" fontId="61" fillId="0" borderId="0" xfId="3" applyFont="1" applyAlignment="1">
      <alignment horizontal="left" wrapText="1" indent="2"/>
    </xf>
    <xf numFmtId="0" fontId="61" fillId="0" borderId="0" xfId="3" applyFont="1" applyAlignment="1">
      <alignment vertical="top" wrapText="1"/>
    </xf>
    <xf numFmtId="164" fontId="66" fillId="0" borderId="0" xfId="0" applyNumberFormat="1" applyFont="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50" xfId="0" applyFont="1" applyBorder="1"/>
    <xf numFmtId="0" fontId="59" fillId="0" borderId="13" xfId="0" applyFont="1" applyBorder="1"/>
    <xf numFmtId="0" fontId="59" fillId="0" borderId="123" xfId="0" applyFont="1" applyBorder="1" applyAlignment="1">
      <alignment horizontal="left" vertical="top"/>
    </xf>
    <xf numFmtId="164" fontId="117" fillId="0" borderId="126" xfId="0" applyNumberFormat="1" applyFont="1" applyBorder="1" applyAlignment="1">
      <alignment horizontal="right" vertical="top"/>
    </xf>
    <xf numFmtId="0" fontId="59" fillId="0" borderId="126" xfId="0" applyNumberFormat="1" applyFont="1" applyBorder="1" applyAlignment="1">
      <alignment horizontal="left" vertical="center" wrapText="1" indent="1"/>
    </xf>
    <xf numFmtId="0" fontId="89" fillId="0" borderId="125" xfId="0" applyFont="1" applyBorder="1" applyAlignment="1">
      <alignment horizontal="left" vertical="center" wrapText="1"/>
    </xf>
    <xf numFmtId="0" fontId="59" fillId="0" borderId="126" xfId="0" applyFont="1" applyBorder="1" applyAlignment="1">
      <alignment horizontal="left" vertical="top"/>
    </xf>
    <xf numFmtId="0" fontId="59" fillId="0" borderId="0" xfId="0" applyFont="1" applyBorder="1" applyAlignment="1">
      <alignment vertical="top"/>
    </xf>
    <xf numFmtId="0" fontId="119" fillId="0" borderId="126" xfId="0" applyNumberFormat="1" applyFont="1" applyBorder="1" applyAlignment="1">
      <alignment horizontal="left" vertical="center"/>
    </xf>
    <xf numFmtId="0" fontId="117" fillId="0" borderId="126" xfId="0" applyFont="1" applyBorder="1" applyAlignment="1">
      <alignment vertical="top"/>
    </xf>
    <xf numFmtId="0" fontId="117" fillId="0" borderId="126" xfId="0" applyFont="1" applyBorder="1" applyAlignment="1">
      <alignment horizontal="left" vertical="top"/>
    </xf>
    <xf numFmtId="0" fontId="59" fillId="0" borderId="123" xfId="0" applyFont="1" applyBorder="1" applyAlignment="1"/>
    <xf numFmtId="164" fontId="117" fillId="0" borderId="126" xfId="0" applyNumberFormat="1" applyFont="1" applyBorder="1" applyAlignment="1"/>
    <xf numFmtId="0" fontId="59" fillId="0" borderId="126" xfId="0" applyFont="1" applyBorder="1" applyAlignment="1"/>
    <xf numFmtId="0" fontId="66" fillId="0" borderId="124"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52"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3" xfId="0" applyFont="1" applyFill="1" applyBorder="1" applyAlignment="1"/>
    <xf numFmtId="0" fontId="58" fillId="0" borderId="126" xfId="0" applyFont="1" applyFill="1" applyBorder="1" applyAlignment="1">
      <alignment horizontal="left" vertical="top"/>
    </xf>
    <xf numFmtId="0" fontId="58" fillId="0" borderId="124"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4"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41" xfId="3" quotePrefix="1" applyNumberFormat="1" applyFont="1" applyBorder="1" applyAlignment="1" applyProtection="1">
      <alignment horizontal="left"/>
    </xf>
    <xf numFmtId="0" fontId="66" fillId="0" borderId="142" xfId="3" applyNumberFormat="1" applyFont="1" applyBorder="1" applyAlignment="1" applyProtection="1">
      <alignment horizontal="center"/>
    </xf>
    <xf numFmtId="0" fontId="66" fillId="0" borderId="142" xfId="3" applyNumberFormat="1" applyFont="1" applyBorder="1" applyProtection="1"/>
    <xf numFmtId="0" fontId="59" fillId="0" borderId="141" xfId="3" applyNumberFormat="1" applyFont="1" applyBorder="1" applyAlignment="1" applyProtection="1"/>
    <xf numFmtId="0" fontId="66" fillId="0" borderId="143" xfId="3" applyNumberFormat="1" applyFont="1" applyBorder="1" applyAlignment="1" applyProtection="1">
      <alignment horizontal="centerContinuous"/>
    </xf>
    <xf numFmtId="0" fontId="59" fillId="0" borderId="141" xfId="3" applyNumberFormat="1" applyFont="1" applyBorder="1" applyAlignment="1" applyProtection="1">
      <alignment horizontal="left"/>
    </xf>
    <xf numFmtId="0" fontId="66" fillId="0" borderId="143" xfId="3" applyNumberFormat="1" applyFont="1" applyBorder="1" applyProtection="1"/>
    <xf numFmtId="0" fontId="66" fillId="0" borderId="142"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41"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5"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42"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6"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4" xfId="3" applyFont="1" applyBorder="1" applyProtection="1"/>
    <xf numFmtId="0" fontId="59" fillId="0" borderId="145" xfId="3" applyFont="1" applyBorder="1" applyProtection="1">
      <protection locked="0"/>
    </xf>
    <xf numFmtId="0" fontId="59" fillId="0" borderId="144"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8" xfId="3" applyNumberFormat="1" applyFont="1" applyBorder="1" applyAlignment="1" applyProtection="1">
      <protection locked="0"/>
    </xf>
    <xf numFmtId="5" fontId="59" fillId="0" borderId="76"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8" xfId="3" applyNumberFormat="1" applyFont="1" applyBorder="1" applyAlignment="1" applyProtection="1">
      <alignment horizontal="center"/>
      <protection locked="0"/>
    </xf>
    <xf numFmtId="5" fontId="59" fillId="0" borderId="76"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8" xfId="3" applyFont="1" applyBorder="1" applyAlignment="1" applyProtection="1">
      <alignment vertical="top"/>
    </xf>
    <xf numFmtId="0" fontId="61" fillId="0" borderId="78"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3" xfId="3" applyNumberFormat="1" applyFont="1" applyBorder="1" applyAlignment="1" applyProtection="1">
      <alignment horizontal="center"/>
    </xf>
    <xf numFmtId="0" fontId="68" fillId="0" borderId="142" xfId="3" applyFont="1" applyBorder="1" applyAlignment="1" applyProtection="1">
      <alignment horizontal="centerContinuous"/>
    </xf>
    <xf numFmtId="0" fontId="68" fillId="0" borderId="143"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43"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20" borderId="72" xfId="3" applyFont="1" applyFill="1" applyBorder="1" applyAlignment="1" applyProtection="1">
      <alignment horizontal="center"/>
    </xf>
    <xf numFmtId="0" fontId="68" fillId="21" borderId="72" xfId="3" applyFont="1" applyFill="1" applyBorder="1" applyAlignment="1" applyProtection="1">
      <alignment horizontal="center"/>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20" borderId="70" xfId="3" applyFont="1" applyFill="1" applyBorder="1" applyAlignment="1" applyProtection="1">
      <alignment horizontal="center"/>
    </xf>
    <xf numFmtId="0" fontId="68" fillId="5" borderId="70" xfId="3" applyFont="1" applyFill="1" applyBorder="1" applyAlignment="1" applyProtection="1">
      <alignment horizontal="center"/>
    </xf>
    <xf numFmtId="0" fontId="68" fillId="21" borderId="70" xfId="3" applyFont="1" applyFill="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3" fontId="66" fillId="0" borderId="22" xfId="3" applyNumberFormat="1" applyFont="1" applyBorder="1" applyAlignment="1" applyProtection="1">
      <alignment horizontal="left" vertical="center" wrapText="1"/>
      <protection locked="0"/>
    </xf>
    <xf numFmtId="0" fontId="61" fillId="0" borderId="0" xfId="3" applyFont="1" applyAlignment="1" applyProtection="1">
      <alignment textRotation="180" wrapText="1"/>
    </xf>
    <xf numFmtId="3" fontId="66" fillId="0" borderId="0" xfId="3" applyNumberFormat="1" applyFont="1" applyBorder="1" applyAlignment="1" applyProtection="1">
      <alignment horizontal="left" vertical="center" wrapText="1"/>
      <protection locked="0"/>
    </xf>
    <xf numFmtId="169" fontId="66" fillId="0" borderId="0" xfId="3" applyNumberFormat="1" applyFont="1" applyBorder="1" applyAlignment="1" applyProtection="1">
      <alignment horizontal="center"/>
      <protection locked="0"/>
    </xf>
    <xf numFmtId="1" fontId="66" fillId="0" borderId="0" xfId="3" applyNumberFormat="1" applyFont="1" applyBorder="1" applyAlignment="1" applyProtection="1">
      <alignment horizontal="center"/>
      <protection locked="0"/>
    </xf>
    <xf numFmtId="3" fontId="66" fillId="0" borderId="0" xfId="3" applyNumberFormat="1" applyFont="1" applyBorder="1" applyAlignment="1" applyProtection="1">
      <alignment horizontal="center"/>
      <protection locked="0"/>
    </xf>
    <xf numFmtId="169" fontId="66" fillId="0" borderId="0" xfId="3" applyNumberFormat="1" applyFont="1" applyBorder="1" applyProtection="1"/>
    <xf numFmtId="1" fontId="66" fillId="0" borderId="0" xfId="3" applyNumberFormat="1" applyFont="1" applyBorder="1" applyProtection="1"/>
    <xf numFmtId="0" fontId="58" fillId="20" borderId="0" xfId="3" applyFont="1" applyFill="1" applyProtection="1"/>
    <xf numFmtId="169" fontId="61" fillId="20" borderId="0" xfId="3" applyNumberFormat="1" applyFont="1" applyFill="1" applyProtection="1"/>
    <xf numFmtId="1" fontId="61" fillId="20" borderId="0" xfId="3" applyNumberFormat="1" applyFont="1" applyFill="1" applyProtection="1"/>
    <xf numFmtId="0" fontId="61" fillId="20" borderId="0" xfId="3" applyFont="1" applyFill="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42" xfId="3" applyFont="1" applyBorder="1" applyProtection="1"/>
    <xf numFmtId="0" fontId="61" fillId="0" borderId="142" xfId="3" applyFont="1" applyBorder="1" applyProtection="1"/>
    <xf numFmtId="0" fontId="61" fillId="0" borderId="142"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2" xfId="3" quotePrefix="1" applyFont="1" applyBorder="1" applyAlignment="1" applyProtection="1">
      <alignment horizontal="left"/>
    </xf>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2" xfId="3" applyFont="1" applyBorder="1" applyProtection="1"/>
    <xf numFmtId="0" fontId="61" fillId="0" borderId="0" xfId="3" applyFont="1" applyBorder="1" applyAlignment="1" applyProtection="1">
      <alignment horizontal="left"/>
    </xf>
    <xf numFmtId="0" fontId="68" fillId="0" borderId="142"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42"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7" xfId="3" applyNumberFormat="1" applyFont="1" applyBorder="1" applyAlignment="1" applyProtection="1">
      <alignment horizontal="center"/>
    </xf>
    <xf numFmtId="169" fontId="66" fillId="0" borderId="77" xfId="3" applyNumberFormat="1" applyFont="1" applyBorder="1" applyAlignment="1" applyProtection="1">
      <alignment horizontal="center"/>
      <protection locked="0"/>
    </xf>
    <xf numFmtId="169" fontId="126" fillId="0" borderId="0" xfId="3" applyNumberFormat="1" applyFont="1" applyProtection="1"/>
    <xf numFmtId="6" fontId="122" fillId="0" borderId="76" xfId="3" applyNumberFormat="1" applyFont="1" applyBorder="1" applyProtection="1"/>
    <xf numFmtId="6" fontId="122" fillId="0" borderId="0" xfId="3" applyNumberFormat="1" applyFont="1" applyBorder="1" applyProtection="1"/>
    <xf numFmtId="10" fontId="68" fillId="0" borderId="77"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8" xfId="3" applyNumberFormat="1" applyFont="1" applyBorder="1" applyProtection="1"/>
    <xf numFmtId="0" fontId="79" fillId="0" borderId="78" xfId="3" applyFont="1" applyBorder="1" applyAlignment="1" applyProtection="1">
      <alignment horizontal="center"/>
    </xf>
    <xf numFmtId="0" fontId="79" fillId="0" borderId="78"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178" fontId="69" fillId="0" borderId="74"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4"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49" xfId="3" applyFont="1" applyBorder="1" applyAlignment="1" applyProtection="1">
      <alignment horizontal="left"/>
    </xf>
    <xf numFmtId="0" fontId="61" fillId="0" borderId="149" xfId="3" applyFont="1" applyBorder="1" applyProtection="1"/>
    <xf numFmtId="0" fontId="61" fillId="0" borderId="149"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8" fillId="0" borderId="0" xfId="3" applyNumberFormat="1" applyFont="1" applyProtection="1">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8" xfId="3" applyNumberFormat="1" applyFont="1" applyBorder="1" applyAlignment="1" applyProtection="1">
      <protection locked="0"/>
    </xf>
    <xf numFmtId="0" fontId="61" fillId="0" borderId="78"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6"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7" xfId="0" applyFont="1" applyFill="1" applyBorder="1" applyAlignment="1" applyProtection="1">
      <alignment horizontal="left" vertical="center" indent="1"/>
    </xf>
    <xf numFmtId="0" fontId="66" fillId="0" borderId="100"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5" xfId="0" applyNumberFormat="1" applyFont="1" applyBorder="1" applyAlignment="1">
      <alignment horizontal="left" vertical="center" wrapText="1" indent="1"/>
    </xf>
    <xf numFmtId="3" fontId="66" fillId="0" borderId="123"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5"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8" fillId="6" borderId="153" xfId="0" applyNumberFormat="1" applyFont="1" applyFill="1" applyBorder="1" applyAlignment="1">
      <alignment horizontal="center" vertical="center" wrapText="1"/>
    </xf>
    <xf numFmtId="38" fontId="58" fillId="6" borderId="153" xfId="0" applyNumberFormat="1" applyFont="1" applyFill="1" applyBorder="1" applyAlignment="1">
      <alignment horizontal="center" vertical="top" wrapText="1"/>
    </xf>
    <xf numFmtId="38" fontId="68" fillId="6" borderId="153"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3" fontId="59" fillId="22" borderId="129" xfId="0" applyNumberFormat="1" applyFont="1" applyFill="1" applyBorder="1" applyAlignment="1">
      <alignment horizontal="center"/>
    </xf>
    <xf numFmtId="3" fontId="59" fillId="22" borderId="129" xfId="0" applyNumberFormat="1" applyFont="1" applyFill="1" applyBorder="1" applyAlignment="1">
      <alignment horizontal="right"/>
    </xf>
    <xf numFmtId="3" fontId="59" fillId="22" borderId="130" xfId="0" applyNumberFormat="1" applyFont="1" applyFill="1" applyBorder="1" applyAlignment="1">
      <alignment horizontal="center"/>
    </xf>
    <xf numFmtId="3" fontId="69" fillId="22" borderId="123" xfId="0" applyNumberFormat="1" applyFont="1" applyFill="1" applyBorder="1" applyAlignment="1">
      <alignment horizontal="center" vertical="center" wrapText="1"/>
    </xf>
    <xf numFmtId="49" fontId="66" fillId="22" borderId="11" xfId="0" applyNumberFormat="1" applyFont="1" applyFill="1" applyBorder="1" applyAlignment="1">
      <alignment horizontal="center" vertical="center"/>
    </xf>
    <xf numFmtId="38" fontId="58" fillId="22" borderId="13" xfId="0" applyNumberFormat="1" applyFont="1" applyFill="1" applyBorder="1" applyAlignment="1" applyProtection="1">
      <alignment horizontal="right"/>
    </xf>
    <xf numFmtId="38" fontId="58" fillId="22" borderId="21" xfId="0" applyNumberFormat="1" applyFont="1" applyFill="1" applyBorder="1" applyAlignment="1" applyProtection="1">
      <alignment horizontal="right"/>
    </xf>
    <xf numFmtId="38" fontId="58" fillId="22" borderId="21" xfId="1" applyNumberFormat="1" applyFont="1" applyFill="1" applyBorder="1" applyAlignment="1" applyProtection="1">
      <alignment horizontal="right"/>
    </xf>
    <xf numFmtId="38" fontId="58" fillId="22" borderId="14" xfId="0" applyNumberFormat="1" applyFont="1" applyFill="1" applyBorder="1" applyAlignment="1" applyProtection="1">
      <alignment horizontal="right"/>
    </xf>
    <xf numFmtId="0" fontId="61" fillId="22" borderId="31" xfId="0" applyFont="1" applyFill="1" applyBorder="1" applyAlignment="1">
      <alignment horizontal="center" vertical="center"/>
    </xf>
    <xf numFmtId="3" fontId="58" fillId="22" borderId="13" xfId="0" applyNumberFormat="1" applyFont="1" applyFill="1" applyBorder="1" applyAlignment="1" applyProtection="1">
      <alignment horizontal="right" vertical="center"/>
    </xf>
    <xf numFmtId="3" fontId="58" fillId="22" borderId="21" xfId="0" applyNumberFormat="1" applyFont="1" applyFill="1" applyBorder="1" applyAlignment="1" applyProtection="1">
      <alignment horizontal="right" vertical="center"/>
    </xf>
    <xf numFmtId="3" fontId="58" fillId="22"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2" borderId="13" xfId="0" applyNumberFormat="1" applyFont="1" applyFill="1" applyBorder="1" applyAlignment="1" applyProtection="1">
      <alignment horizontal="center" vertical="center"/>
    </xf>
    <xf numFmtId="49" fontId="68" fillId="22" borderId="21" xfId="0" applyNumberFormat="1" applyFont="1" applyFill="1" applyBorder="1" applyAlignment="1" applyProtection="1">
      <alignment horizontal="center" vertical="center"/>
    </xf>
    <xf numFmtId="3" fontId="59" fillId="22" borderId="21" xfId="0" applyNumberFormat="1" applyFont="1" applyFill="1" applyBorder="1" applyAlignment="1" applyProtection="1">
      <alignment horizontal="center"/>
    </xf>
    <xf numFmtId="3" fontId="61" fillId="22" borderId="21" xfId="0" applyNumberFormat="1" applyFont="1" applyFill="1" applyBorder="1" applyAlignment="1" applyProtection="1">
      <alignment horizontal="center"/>
    </xf>
    <xf numFmtId="38" fontId="61" fillId="22" borderId="21" xfId="0" applyNumberFormat="1" applyFont="1" applyFill="1" applyBorder="1" applyAlignment="1" applyProtection="1">
      <alignment horizontal="center"/>
    </xf>
    <xf numFmtId="3" fontId="61" fillId="22" borderId="14" xfId="0" applyNumberFormat="1" applyFont="1" applyFill="1" applyBorder="1" applyAlignment="1" applyProtection="1">
      <alignment horizontal="center"/>
    </xf>
    <xf numFmtId="0" fontId="58" fillId="22" borderId="49" xfId="0" applyFont="1" applyFill="1" applyBorder="1" applyAlignment="1" applyProtection="1">
      <alignment horizontal="center" vertical="center" wrapText="1"/>
    </xf>
    <xf numFmtId="0" fontId="59" fillId="22" borderId="34" xfId="0" applyFont="1" applyFill="1" applyBorder="1" applyAlignment="1">
      <alignment horizontal="center" vertical="center" wrapText="1"/>
    </xf>
    <xf numFmtId="164" fontId="58" fillId="22" borderId="49" xfId="0" applyNumberFormat="1" applyFont="1" applyFill="1" applyBorder="1" applyAlignment="1" applyProtection="1">
      <alignment horizontal="center" vertical="center" wrapText="1"/>
    </xf>
    <xf numFmtId="0" fontId="61" fillId="22" borderId="31" xfId="0" applyFont="1" applyFill="1" applyBorder="1" applyAlignment="1">
      <alignment horizontal="center" vertical="center" wrapText="1"/>
    </xf>
    <xf numFmtId="164" fontId="58" fillId="22"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5"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3" xfId="0" applyNumberFormat="1" applyFont="1" applyFill="1" applyBorder="1" applyAlignment="1">
      <alignment horizontal="left" vertical="center" wrapText="1"/>
    </xf>
    <xf numFmtId="49" fontId="68" fillId="17" borderId="125"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3"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5" xfId="0" applyFont="1" applyFill="1" applyBorder="1" applyAlignment="1">
      <alignment horizontal="left" vertical="center" wrapText="1"/>
    </xf>
    <xf numFmtId="3" fontId="68" fillId="17" borderId="125" xfId="0" applyNumberFormat="1" applyFont="1" applyFill="1" applyBorder="1" applyAlignment="1">
      <alignment horizontal="left" vertical="center" wrapText="1"/>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2" borderId="13" xfId="0" applyFont="1" applyFill="1" applyBorder="1" applyAlignment="1">
      <alignment horizontal="left" vertical="center"/>
    </xf>
    <xf numFmtId="0" fontId="69" fillId="22" borderId="21" xfId="0" applyFont="1" applyFill="1" applyBorder="1" applyAlignment="1">
      <alignment horizontal="left" vertical="center"/>
    </xf>
    <xf numFmtId="0" fontId="69" fillId="22"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7" xfId="0" applyFont="1" applyBorder="1" applyAlignment="1">
      <alignment horizontal="centerContinuous" vertical="center"/>
    </xf>
    <xf numFmtId="0" fontId="59" fillId="0" borderId="158" xfId="0" applyFont="1" applyBorder="1" applyAlignment="1">
      <alignment horizontal="centerContinuous" vertical="center"/>
    </xf>
    <xf numFmtId="0" fontId="61" fillId="0" borderId="158" xfId="0" applyFont="1" applyBorder="1" applyAlignment="1">
      <alignment horizontal="centerContinuous" vertical="center"/>
    </xf>
    <xf numFmtId="0" fontId="68" fillId="0" borderId="105" xfId="0" applyFont="1" applyBorder="1" applyAlignment="1">
      <alignment horizontal="center"/>
    </xf>
    <xf numFmtId="0" fontId="61" fillId="22" borderId="16" xfId="3" applyFont="1" applyFill="1" applyBorder="1" applyAlignment="1">
      <alignment horizontal="left" vertical="center"/>
    </xf>
    <xf numFmtId="0" fontId="61" fillId="22" borderId="10" xfId="3" applyFont="1" applyFill="1" applyBorder="1" applyAlignment="1">
      <alignment horizontal="left" vertical="center"/>
    </xf>
    <xf numFmtId="0" fontId="68" fillId="0" borderId="5" xfId="3" applyFont="1" applyFill="1" applyBorder="1" applyAlignment="1" applyProtection="1"/>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49" fontId="68" fillId="16" borderId="36" xfId="0" applyNumberFormat="1" applyFont="1" applyFill="1" applyBorder="1" applyAlignment="1">
      <alignment horizontal="center" vertical="center"/>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0" fontId="68" fillId="16" borderId="27" xfId="0" applyFont="1" applyFill="1" applyBorder="1" applyAlignment="1">
      <alignment horizontal="center" vertical="center"/>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0" fontId="68" fillId="16" borderId="30" xfId="0" applyFont="1" applyFill="1" applyBorder="1" applyAlignment="1" applyProtection="1">
      <alignment horizontal="center" vertical="center"/>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0" fontId="68" fillId="16" borderId="27" xfId="0" applyFont="1" applyFill="1" applyBorder="1" applyAlignment="1">
      <alignment horizontal="left" vertical="center" wrapText="1" indent="1"/>
    </xf>
    <xf numFmtId="49" fontId="66" fillId="16" borderId="41" xfId="0" applyNumberFormat="1" applyFont="1" applyFill="1" applyBorder="1" applyAlignment="1" applyProtection="1">
      <alignment horizontal="center"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0" fontId="66" fillId="16" borderId="0" xfId="10" quotePrefix="1" applyFont="1" applyFill="1" applyAlignment="1">
      <alignment horizontal="left" vertical="center"/>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0" fontId="66" fillId="16" borderId="0" xfId="11" applyFont="1" applyFill="1" applyAlignment="1">
      <alignment vertical="center"/>
    </xf>
    <xf numFmtId="0" fontId="66" fillId="16" borderId="0" xfId="0" applyFont="1" applyFill="1" applyBorder="1" applyAlignment="1">
      <alignment horizontal="right"/>
    </xf>
    <xf numFmtId="0" fontId="59" fillId="16" borderId="13" xfId="0" applyFont="1" applyFill="1" applyBorder="1" applyAlignment="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 fontId="66" fillId="0" borderId="12" xfId="0" applyNumberFormat="1" applyFont="1" applyBorder="1" applyAlignment="1">
      <alignment horizontal="left" vertical="top" wrapText="1" indent="1"/>
    </xf>
    <xf numFmtId="49" fontId="37" fillId="0" borderId="0" xfId="2" applyNumberFormat="1" applyBorder="1" applyAlignment="1" applyProtection="1">
      <alignment horizontal="center"/>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59" xfId="3" applyFont="1" applyBorder="1" applyProtection="1"/>
    <xf numFmtId="49" fontId="66" fillId="0" borderId="14" xfId="0" applyNumberFormat="1" applyFont="1" applyFill="1" applyBorder="1" applyAlignment="1" applyProtection="1">
      <alignment horizontal="center" vertical="center"/>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2" borderId="0" xfId="18" applyFont="1" applyFill="1" applyAlignment="1">
      <alignment horizontal="centerContinuous" vertical="center"/>
    </xf>
    <xf numFmtId="0" fontId="104" fillId="22" borderId="0" xfId="18" applyFont="1" applyFill="1" applyAlignment="1">
      <alignment horizontal="centerContinuous"/>
    </xf>
    <xf numFmtId="0" fontId="92" fillId="0" borderId="135"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10" fillId="0" borderId="0" xfId="18" applyFont="1" applyAlignment="1">
      <alignment wrapText="1"/>
    </xf>
    <xf numFmtId="0" fontId="134" fillId="0" borderId="160" xfId="18" applyFont="1" applyFill="1" applyBorder="1" applyAlignment="1" applyProtection="1">
      <alignment horizontal="center" vertical="center"/>
      <protection locked="0"/>
    </xf>
    <xf numFmtId="0" fontId="107" fillId="0" borderId="0" xfId="18" applyNumberFormat="1" applyFont="1"/>
    <xf numFmtId="0" fontId="82" fillId="0" borderId="107" xfId="18" applyFont="1" applyBorder="1" applyAlignment="1">
      <alignment horizontal="left" vertical="center" wrapText="1"/>
    </xf>
    <xf numFmtId="0" fontId="82" fillId="0" borderId="162" xfId="18" applyFont="1" applyBorder="1" applyAlignment="1">
      <alignment horizontal="left" vertical="center" wrapText="1"/>
    </xf>
    <xf numFmtId="49" fontId="130" fillId="0" borderId="106" xfId="18" applyNumberFormat="1" applyFont="1" applyBorder="1" applyAlignment="1" applyProtection="1">
      <alignment horizontal="center" vertical="center"/>
      <protection locked="0"/>
    </xf>
    <xf numFmtId="0" fontId="130" fillId="0" borderId="106" xfId="18" applyFont="1" applyFill="1" applyBorder="1" applyAlignment="1" applyProtection="1">
      <alignment horizontal="center" vertical="center" wrapText="1"/>
      <protection locked="0"/>
    </xf>
    <xf numFmtId="0" fontId="104" fillId="0" borderId="106" xfId="18" applyFont="1" applyFill="1" applyBorder="1"/>
    <xf numFmtId="0" fontId="108" fillId="0" borderId="157" xfId="18" applyFont="1" applyBorder="1" applyAlignment="1">
      <alignment horizontal="left" vertical="center" wrapText="1"/>
    </xf>
    <xf numFmtId="0" fontId="108" fillId="0" borderId="158" xfId="18" applyFont="1" applyBorder="1" applyAlignment="1">
      <alignment horizontal="left" vertical="center" wrapText="1"/>
    </xf>
    <xf numFmtId="49" fontId="108" fillId="17" borderId="106" xfId="18" applyNumberFormat="1" applyFont="1" applyFill="1" applyBorder="1" applyAlignment="1">
      <alignment horizontal="center" vertical="center"/>
    </xf>
    <xf numFmtId="0" fontId="82" fillId="0" borderId="107" xfId="18" applyFont="1" applyFill="1" applyBorder="1" applyAlignment="1">
      <alignment horizontal="left" vertical="center" wrapText="1"/>
    </xf>
    <xf numFmtId="0" fontId="82" fillId="0" borderId="130"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4"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 fillId="0" borderId="0" xfId="18" applyFont="1"/>
    <xf numFmtId="0" fontId="52" fillId="0" borderId="138" xfId="18" applyFont="1" applyBorder="1" applyAlignment="1">
      <alignment vertical="top"/>
    </xf>
    <xf numFmtId="0" fontId="52" fillId="0" borderId="139" xfId="18" applyFont="1" applyBorder="1" applyAlignment="1">
      <alignment vertical="top"/>
    </xf>
    <xf numFmtId="0" fontId="53" fillId="15" borderId="76" xfId="18" applyFont="1" applyFill="1" applyBorder="1" applyAlignment="1">
      <alignment vertical="top"/>
    </xf>
    <xf numFmtId="0" fontId="52" fillId="0" borderId="138" xfId="18" applyFont="1" applyBorder="1" applyAlignment="1">
      <alignment vertical="top" wrapText="1"/>
    </xf>
    <xf numFmtId="0" fontId="52" fillId="0" borderId="139"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6"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0" fontId="104" fillId="22" borderId="0" xfId="18" applyFont="1" applyFill="1" applyAlignment="1">
      <alignment horizontal="centerContinuous" vertical="center"/>
    </xf>
    <xf numFmtId="0" fontId="108" fillId="22" borderId="136" xfId="18" applyFont="1" applyFill="1" applyBorder="1" applyAlignment="1">
      <alignment horizontal="center" vertical="center" wrapText="1"/>
    </xf>
    <xf numFmtId="0" fontId="108" fillId="22" borderId="161" xfId="18" applyFont="1" applyFill="1" applyBorder="1" applyAlignment="1">
      <alignment horizontal="center" vertical="center" wrapText="1"/>
    </xf>
    <xf numFmtId="0" fontId="108" fillId="17" borderId="137" xfId="18" applyFont="1" applyFill="1" applyBorder="1" applyAlignment="1">
      <alignment horizontal="center" vertical="center" wrapText="1"/>
    </xf>
    <xf numFmtId="49" fontId="108" fillId="17" borderId="107" xfId="18" applyNumberFormat="1" applyFont="1" applyFill="1" applyBorder="1" applyAlignment="1">
      <alignment horizontal="center" vertical="center" wrapText="1"/>
    </xf>
    <xf numFmtId="0" fontId="53" fillId="17" borderId="108" xfId="18" applyFont="1" applyFill="1" applyBorder="1" applyAlignment="1">
      <alignment horizontal="center"/>
    </xf>
    <xf numFmtId="0" fontId="106" fillId="0" borderId="137" xfId="18" applyFont="1" applyFill="1" applyBorder="1" applyAlignment="1" applyProtection="1">
      <alignment horizontal="right"/>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8"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0" fontId="61" fillId="0" borderId="77" xfId="3" applyNumberFormat="1" applyFont="1" applyBorder="1" applyAlignment="1" applyProtection="1">
      <alignment horizontal="center"/>
      <protection locked="0"/>
    </xf>
    <xf numFmtId="0" fontId="141" fillId="20" borderId="0" xfId="0" applyFont="1" applyFill="1" applyAlignment="1">
      <alignment horizontal="center"/>
    </xf>
    <xf numFmtId="0" fontId="142" fillId="0" borderId="0" xfId="0" applyFont="1" applyAlignment="1">
      <alignment horizontal="center"/>
    </xf>
    <xf numFmtId="41" fontId="53" fillId="11" borderId="103" xfId="0" applyNumberFormat="1" applyFont="1" applyFill="1" applyBorder="1" applyAlignment="1" applyProtection="1">
      <alignment horizontal="right" shrinkToFit="1"/>
      <protection locked="0"/>
    </xf>
    <xf numFmtId="41" fontId="53" fillId="10" borderId="104" xfId="0" applyNumberFormat="1" applyFont="1" applyFill="1" applyBorder="1" applyAlignment="1">
      <alignment horizontal="right" shrinkToFit="1"/>
    </xf>
    <xf numFmtId="38" fontId="61" fillId="16" borderId="2" xfId="0" applyNumberFormat="1" applyFont="1" applyFill="1" applyBorder="1" applyAlignment="1" applyProtection="1">
      <alignment horizontal="right" vertical="center" shrinkToFit="1"/>
    </xf>
    <xf numFmtId="0" fontId="59" fillId="0" borderId="0" xfId="0" applyFont="1" applyBorder="1" applyAlignment="1" applyProtection="1">
      <alignment horizontal="center" vertical="center" shrinkToFit="1"/>
    </xf>
    <xf numFmtId="0" fontId="59" fillId="0" borderId="0" xfId="0" applyFont="1" applyBorder="1" applyAlignment="1" applyProtection="1">
      <alignment vertical="center" shrinkToFit="1"/>
    </xf>
    <xf numFmtId="38" fontId="61" fillId="16" borderId="2" xfId="0" applyNumberFormat="1" applyFont="1" applyFill="1" applyBorder="1" applyAlignment="1" applyProtection="1">
      <alignment vertical="center" shrinkToFit="1"/>
    </xf>
    <xf numFmtId="41" fontId="61" fillId="0" borderId="2" xfId="0" applyNumberFormat="1" applyFont="1" applyBorder="1" applyAlignment="1" applyProtection="1">
      <alignment vertical="center" shrinkToFit="1"/>
      <protection locked="0"/>
    </xf>
    <xf numFmtId="40" fontId="66" fillId="0" borderId="0" xfId="0" applyNumberFormat="1" applyFont="1" applyBorder="1" applyAlignment="1" applyProtection="1">
      <alignment horizontal="right" shrinkToFit="1"/>
    </xf>
    <xf numFmtId="0" fontId="59" fillId="0" borderId="0" xfId="0" applyFont="1" applyBorder="1" applyAlignment="1" applyProtection="1">
      <alignment horizontal="right" shrinkToFit="1"/>
    </xf>
    <xf numFmtId="0" fontId="58" fillId="0" borderId="0" xfId="0" applyFont="1" applyBorder="1" applyAlignment="1" applyProtection="1">
      <alignment horizontal="center" shrinkToFit="1"/>
    </xf>
    <xf numFmtId="37" fontId="66" fillId="0" borderId="0" xfId="0" applyNumberFormat="1" applyFont="1" applyBorder="1" applyAlignment="1" applyProtection="1">
      <alignment horizontal="right" shrinkToFit="1"/>
    </xf>
    <xf numFmtId="40" fontId="66" fillId="0" borderId="0" xfId="0" applyNumberFormat="1" applyFont="1" applyFill="1" applyBorder="1" applyAlignment="1" applyProtection="1">
      <alignment horizontal="right" shrinkToFit="1"/>
    </xf>
    <xf numFmtId="40" fontId="66" fillId="0" borderId="0" xfId="0" applyNumberFormat="1" applyFont="1" applyBorder="1" applyAlignment="1" applyProtection="1">
      <alignment horizontal="right" vertical="center" shrinkToFit="1"/>
    </xf>
    <xf numFmtId="40" fontId="66" fillId="0" borderId="0" xfId="0" applyNumberFormat="1" applyFont="1" applyFill="1" applyBorder="1" applyAlignment="1" applyProtection="1">
      <alignment horizontal="right" vertical="center" shrinkToFit="1"/>
    </xf>
    <xf numFmtId="0" fontId="66" fillId="0" borderId="0" xfId="0" applyFont="1" applyBorder="1" applyAlignment="1" applyProtection="1">
      <alignment horizontal="right" shrinkToFit="1"/>
    </xf>
    <xf numFmtId="175" fontId="66" fillId="0" borderId="0" xfId="0" applyNumberFormat="1" applyFont="1" applyFill="1" applyBorder="1" applyAlignment="1" applyProtection="1">
      <alignment horizontal="right" shrinkToFit="1"/>
    </xf>
    <xf numFmtId="0" fontId="58" fillId="0" borderId="0" xfId="0" applyFont="1" applyBorder="1" applyAlignment="1" applyProtection="1">
      <alignment horizontal="right" shrinkToFit="1"/>
    </xf>
    <xf numFmtId="0" fontId="61" fillId="0" borderId="0" xfId="5" applyNumberFormat="1" applyFont="1" applyBorder="1" applyAlignment="1" applyProtection="1">
      <alignment horizontal="right" shrinkToFit="1"/>
    </xf>
    <xf numFmtId="0" fontId="66"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shrinkToFit="1"/>
    </xf>
    <xf numFmtId="0" fontId="59" fillId="0" borderId="0" xfId="0" applyFont="1" applyBorder="1" applyAlignment="1" applyProtection="1">
      <alignment shrinkToFit="1"/>
    </xf>
    <xf numFmtId="0" fontId="66" fillId="0" borderId="0" xfId="5" quotePrefix="1" applyNumberFormat="1" applyFont="1" applyBorder="1" applyAlignment="1" applyProtection="1">
      <alignment horizontal="right" shrinkToFit="1"/>
    </xf>
    <xf numFmtId="1" fontId="61"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vertical="center" shrinkToFit="1"/>
    </xf>
    <xf numFmtId="172" fontId="66" fillId="0" borderId="0" xfId="0" applyNumberFormat="1" applyFont="1" applyBorder="1" applyAlignment="1" applyProtection="1">
      <alignment horizontal="right" shrinkToFit="1"/>
    </xf>
    <xf numFmtId="2" fontId="69" fillId="0" borderId="0" xfId="0" applyNumberFormat="1" applyFont="1" applyFill="1" applyBorder="1" applyAlignment="1" applyProtection="1">
      <alignment horizontal="right" shrinkToFit="1"/>
    </xf>
    <xf numFmtId="0" fontId="59" fillId="0" borderId="0" xfId="0" applyFont="1" applyFill="1" applyBorder="1" applyAlignment="1" applyProtection="1">
      <alignment shrinkToFit="1"/>
    </xf>
    <xf numFmtId="0" fontId="70" fillId="0" borderId="0" xfId="5" applyNumberFormat="1" applyFont="1" applyFill="1" applyBorder="1" applyAlignment="1" applyProtection="1">
      <alignment horizontal="right" shrinkToFit="1"/>
    </xf>
    <xf numFmtId="38" fontId="59" fillId="0" borderId="2" xfId="0" applyNumberFormat="1" applyFont="1" applyBorder="1" applyAlignment="1" applyProtection="1">
      <alignment horizontal="right" shrinkToFit="1"/>
      <protection locked="0"/>
    </xf>
    <xf numFmtId="38" fontId="59" fillId="0" borderId="2" xfId="0" applyNumberFormat="1" applyFont="1" applyFill="1" applyBorder="1" applyAlignment="1" applyProtection="1">
      <alignment horizontal="right" shrinkToFit="1"/>
      <protection locked="0"/>
    </xf>
    <xf numFmtId="38" fontId="59" fillId="3" borderId="26" xfId="0" applyNumberFormat="1" applyFont="1" applyFill="1" applyBorder="1" applyAlignment="1" applyProtection="1">
      <alignment horizontal="right" shrinkToFit="1"/>
    </xf>
    <xf numFmtId="38" fontId="59" fillId="3" borderId="18" xfId="0" applyNumberFormat="1" applyFont="1" applyFill="1" applyBorder="1" applyAlignment="1" applyProtection="1">
      <alignment horizontal="right" shrinkToFit="1"/>
    </xf>
    <xf numFmtId="38" fontId="59" fillId="0" borderId="3" xfId="0" applyNumberFormat="1" applyFont="1" applyBorder="1" applyAlignment="1" applyProtection="1">
      <alignment horizontal="right" shrinkToFit="1"/>
      <protection locked="0"/>
    </xf>
    <xf numFmtId="38" fontId="59" fillId="0" borderId="0" xfId="0" applyNumberFormat="1" applyFont="1" applyBorder="1" applyAlignment="1" applyProtection="1">
      <alignment horizontal="right" shrinkToFit="1"/>
      <protection locked="0"/>
    </xf>
    <xf numFmtId="38" fontId="59" fillId="0" borderId="3" xfId="0" applyNumberFormat="1" applyFont="1" applyFill="1" applyBorder="1" applyAlignment="1" applyProtection="1">
      <alignment horizontal="right" shrinkToFit="1"/>
      <protection locked="0"/>
    </xf>
    <xf numFmtId="38" fontId="59" fillId="6" borderId="3" xfId="0" applyNumberFormat="1" applyFont="1" applyFill="1" applyBorder="1" applyAlignment="1" applyProtection="1">
      <alignment horizontal="right" shrinkToFit="1"/>
    </xf>
    <xf numFmtId="38" fontId="59" fillId="6" borderId="26" xfId="0" applyNumberFormat="1" applyFont="1" applyFill="1" applyBorder="1" applyAlignment="1" applyProtection="1">
      <alignment horizontal="right" shrinkToFit="1"/>
    </xf>
    <xf numFmtId="38" fontId="59" fillId="0" borderId="4" xfId="0" applyNumberFormat="1" applyFont="1" applyFill="1" applyBorder="1" applyAlignment="1" applyProtection="1">
      <alignment horizontal="right" shrinkToFit="1"/>
      <protection locked="0"/>
    </xf>
    <xf numFmtId="38" fontId="59" fillId="0" borderId="26" xfId="0" applyNumberFormat="1" applyFont="1" applyFill="1" applyBorder="1" applyAlignment="1" applyProtection="1">
      <alignment horizontal="right" shrinkToFit="1"/>
      <protection locked="0"/>
    </xf>
    <xf numFmtId="38" fontId="59" fillId="6" borderId="4" xfId="0" applyNumberFormat="1" applyFont="1" applyFill="1" applyBorder="1" applyAlignment="1" applyProtection="1">
      <alignment horizontal="right" shrinkToFit="1"/>
    </xf>
    <xf numFmtId="38" fontId="59" fillId="0" borderId="4" xfId="0" applyNumberFormat="1" applyFont="1" applyBorder="1" applyAlignment="1" applyProtection="1">
      <alignment horizontal="right" shrinkToFit="1"/>
      <protection locked="0"/>
    </xf>
    <xf numFmtId="38" fontId="59" fillId="16" borderId="30" xfId="0" applyNumberFormat="1" applyFont="1" applyFill="1" applyBorder="1" applyAlignment="1" applyProtection="1">
      <alignment horizontal="right" shrinkToFit="1"/>
    </xf>
    <xf numFmtId="38" fontId="59" fillId="22" borderId="19" xfId="0" applyNumberFormat="1" applyFont="1" applyFill="1" applyBorder="1" applyAlignment="1" applyProtection="1">
      <alignment horizontal="right" shrinkToFit="1"/>
    </xf>
    <xf numFmtId="38" fontId="59" fillId="22" borderId="20" xfId="0" applyNumberFormat="1" applyFont="1" applyFill="1" applyBorder="1" applyAlignment="1" applyProtection="1">
      <alignment horizontal="right" shrinkToFit="1"/>
    </xf>
    <xf numFmtId="38" fontId="59" fillId="22" borderId="21" xfId="0" applyNumberFormat="1" applyFont="1" applyFill="1" applyBorder="1" applyAlignment="1" applyProtection="1">
      <alignment horizontal="right" shrinkToFit="1"/>
    </xf>
    <xf numFmtId="38" fontId="59" fillId="22" borderId="14" xfId="0" applyNumberFormat="1" applyFont="1" applyFill="1" applyBorder="1" applyAlignment="1" applyProtection="1">
      <alignment horizontal="right" shrinkToFit="1"/>
    </xf>
    <xf numFmtId="38" fontId="59" fillId="6" borderId="18" xfId="0" applyNumberFormat="1" applyFont="1" applyFill="1" applyBorder="1" applyAlignment="1" applyProtection="1">
      <alignment horizontal="right" shrinkToFit="1"/>
    </xf>
    <xf numFmtId="38" fontId="59" fillId="6" borderId="0" xfId="0" applyNumberFormat="1" applyFont="1" applyFill="1" applyBorder="1" applyAlignment="1" applyProtection="1">
      <alignment horizontal="right" shrinkToFit="1"/>
    </xf>
    <xf numFmtId="38" fontId="59" fillId="16" borderId="27" xfId="0" applyNumberFormat="1" applyFont="1" applyFill="1" applyBorder="1" applyAlignment="1" applyProtection="1">
      <alignment horizontal="right" shrinkToFit="1"/>
    </xf>
    <xf numFmtId="38" fontId="59" fillId="22" borderId="13" xfId="0" applyNumberFormat="1" applyFont="1" applyFill="1" applyBorder="1" applyAlignment="1" applyProtection="1">
      <alignment horizontal="right" shrinkToFit="1"/>
    </xf>
    <xf numFmtId="38" fontId="59" fillId="22" borderId="11" xfId="0" applyNumberFormat="1" applyFont="1" applyFill="1" applyBorder="1" applyAlignment="1" applyProtection="1">
      <alignment horizontal="right" shrinkToFit="1"/>
    </xf>
    <xf numFmtId="38" fontId="59" fillId="0" borderId="13" xfId="0" applyNumberFormat="1" applyFont="1" applyFill="1" applyBorder="1" applyAlignment="1" applyProtection="1">
      <alignment horizontal="right" shrinkToFit="1"/>
      <protection locked="0"/>
    </xf>
    <xf numFmtId="38" fontId="59" fillId="0" borderId="26" xfId="0" applyNumberFormat="1" applyFont="1" applyBorder="1" applyAlignment="1" applyProtection="1">
      <alignment horizontal="right" shrinkToFit="1"/>
      <protection locked="0"/>
    </xf>
    <xf numFmtId="38" fontId="59" fillId="16" borderId="26" xfId="0" applyNumberFormat="1" applyFont="1" applyFill="1" applyBorder="1" applyAlignment="1" applyProtection="1">
      <alignment horizontal="right" shrinkToFit="1"/>
    </xf>
    <xf numFmtId="38" fontId="59" fillId="16" borderId="3" xfId="0" applyNumberFormat="1" applyFont="1" applyFill="1" applyBorder="1" applyAlignment="1" applyProtection="1">
      <alignment horizontal="right" shrinkToFit="1"/>
    </xf>
    <xf numFmtId="38" fontId="59" fillId="22" borderId="49" xfId="0" applyNumberFormat="1" applyFont="1" applyFill="1" applyBorder="1" applyAlignment="1" applyProtection="1">
      <alignment horizontal="right" shrinkToFit="1"/>
    </xf>
    <xf numFmtId="38" fontId="59" fillId="22" borderId="34" xfId="0" applyNumberFormat="1" applyFont="1" applyFill="1" applyBorder="1" applyAlignment="1" applyProtection="1">
      <alignment horizontal="right" shrinkToFit="1"/>
    </xf>
    <xf numFmtId="38" fontId="61" fillId="6" borderId="26" xfId="0" applyNumberFormat="1" applyFont="1" applyFill="1" applyBorder="1" applyAlignment="1">
      <alignment horizontal="right" shrinkToFit="1"/>
    </xf>
    <xf numFmtId="38" fontId="59" fillId="6" borderId="3" xfId="0" applyNumberFormat="1" applyFont="1" applyFill="1" applyBorder="1" applyAlignment="1">
      <alignment horizontal="right" shrinkToFit="1"/>
    </xf>
    <xf numFmtId="38" fontId="59" fillId="16" borderId="4" xfId="0" applyNumberFormat="1" applyFont="1" applyFill="1" applyBorder="1" applyAlignment="1" applyProtection="1">
      <alignment horizontal="right" shrinkToFit="1"/>
    </xf>
    <xf numFmtId="38" fontId="59" fillId="16" borderId="2" xfId="0" applyNumberFormat="1" applyFont="1" applyFill="1" applyBorder="1" applyAlignment="1" applyProtection="1">
      <alignment horizontal="right" shrinkToFit="1"/>
    </xf>
    <xf numFmtId="38" fontId="59" fillId="3" borderId="21" xfId="0" applyNumberFormat="1" applyFont="1" applyFill="1" applyBorder="1" applyAlignment="1" applyProtection="1">
      <alignment horizontal="right" shrinkToFit="1"/>
    </xf>
    <xf numFmtId="38" fontId="59" fillId="3" borderId="0" xfId="0" applyNumberFormat="1" applyFont="1" applyFill="1" applyBorder="1" applyAlignment="1" applyProtection="1">
      <alignment horizontal="right" shrinkToFit="1"/>
    </xf>
    <xf numFmtId="38" fontId="59" fillId="3" borderId="3" xfId="0" applyNumberFormat="1" applyFont="1" applyFill="1" applyBorder="1" applyAlignment="1" applyProtection="1">
      <alignment horizontal="right" shrinkToFit="1"/>
    </xf>
    <xf numFmtId="38" fontId="59" fillId="3" borderId="13" xfId="0" applyNumberFormat="1" applyFont="1" applyFill="1" applyBorder="1" applyAlignment="1" applyProtection="1">
      <alignment horizontal="right" shrinkToFit="1"/>
    </xf>
    <xf numFmtId="38" fontId="59" fillId="3" borderId="2" xfId="0" applyNumberFormat="1" applyFont="1" applyFill="1" applyBorder="1" applyAlignment="1" applyProtection="1">
      <alignment horizontal="right" shrinkToFit="1"/>
    </xf>
    <xf numFmtId="38" fontId="59" fillId="0" borderId="19" xfId="0" applyNumberFormat="1" applyFont="1" applyBorder="1" applyAlignment="1" applyProtection="1">
      <alignment horizontal="right" shrinkToFit="1"/>
      <protection locked="0"/>
    </xf>
    <xf numFmtId="38" fontId="59" fillId="0" borderId="11" xfId="0" applyNumberFormat="1" applyFont="1" applyBorder="1" applyAlignment="1" applyProtection="1">
      <alignment horizontal="right" shrinkToFit="1"/>
      <protection locked="0"/>
    </xf>
    <xf numFmtId="38" fontId="59" fillId="22" borderId="31" xfId="0" applyNumberFormat="1" applyFont="1" applyFill="1" applyBorder="1" applyAlignment="1" applyProtection="1">
      <alignment horizontal="right" shrinkToFit="1"/>
    </xf>
    <xf numFmtId="38" fontId="59" fillId="3" borderId="11" xfId="0" applyNumberFormat="1" applyFont="1" applyFill="1" applyBorder="1" applyAlignment="1" applyProtection="1">
      <alignment horizontal="right" shrinkToFit="1"/>
    </xf>
    <xf numFmtId="38" fontId="59" fillId="3" borderId="4" xfId="0" applyNumberFormat="1" applyFont="1" applyFill="1" applyBorder="1" applyAlignment="1" applyProtection="1">
      <alignment horizontal="right" shrinkToFit="1"/>
    </xf>
    <xf numFmtId="38" fontId="59" fillId="16" borderId="18" xfId="0" applyNumberFormat="1" applyFont="1" applyFill="1" applyBorder="1" applyAlignment="1" applyProtection="1">
      <alignment horizontal="right" shrinkToFit="1"/>
    </xf>
    <xf numFmtId="38" fontId="59" fillId="16" borderId="19" xfId="0" applyNumberFormat="1" applyFont="1" applyFill="1" applyBorder="1" applyAlignment="1" applyProtection="1">
      <alignment horizontal="right" shrinkToFit="1"/>
    </xf>
    <xf numFmtId="38" fontId="59" fillId="3" borderId="14" xfId="0" applyNumberFormat="1" applyFont="1" applyFill="1" applyBorder="1" applyAlignment="1" applyProtection="1">
      <alignment horizontal="right" shrinkToFit="1"/>
    </xf>
    <xf numFmtId="38" fontId="59" fillId="16" borderId="0" xfId="0" applyNumberFormat="1" applyFont="1" applyFill="1" applyAlignment="1" applyProtection="1">
      <alignment horizontal="right" shrinkToFit="1"/>
    </xf>
    <xf numFmtId="38" fontId="59" fillId="16" borderId="28" xfId="0" applyNumberFormat="1" applyFont="1" applyFill="1" applyBorder="1" applyAlignment="1" applyProtection="1">
      <alignment horizontal="right" shrinkToFit="1"/>
    </xf>
    <xf numFmtId="38" fontId="59" fillId="6" borderId="2" xfId="0" applyNumberFormat="1" applyFont="1" applyFill="1" applyBorder="1" applyAlignment="1" applyProtection="1">
      <alignment horizontal="right" shrinkToFit="1"/>
    </xf>
    <xf numFmtId="38" fontId="59" fillId="16" borderId="32" xfId="0" applyNumberFormat="1" applyFont="1" applyFill="1" applyBorder="1" applyAlignment="1" applyProtection="1">
      <alignment horizontal="right" shrinkToFit="1"/>
    </xf>
    <xf numFmtId="38" fontId="59" fillId="6" borderId="28" xfId="0" applyNumberFormat="1" applyFont="1" applyFill="1" applyBorder="1" applyAlignment="1" applyProtection="1">
      <alignment horizontal="right" shrinkToFit="1"/>
    </xf>
    <xf numFmtId="38" fontId="59" fillId="0" borderId="27" xfId="0" applyNumberFormat="1" applyFont="1" applyFill="1" applyBorder="1" applyAlignment="1" applyProtection="1">
      <alignment horizontal="right" shrinkToFit="1"/>
      <protection locked="0"/>
    </xf>
    <xf numFmtId="38" fontId="59" fillId="0" borderId="33" xfId="0" applyNumberFormat="1" applyFont="1" applyFill="1" applyBorder="1" applyAlignment="1" applyProtection="1">
      <alignment horizontal="right" shrinkToFit="1"/>
      <protection locked="0"/>
    </xf>
    <xf numFmtId="38" fontId="59" fillId="0" borderId="32" xfId="0" applyNumberFormat="1" applyFont="1" applyFill="1" applyBorder="1" applyAlignment="1" applyProtection="1">
      <alignment horizontal="right" shrinkToFit="1"/>
      <protection locked="0"/>
    </xf>
    <xf numFmtId="38" fontId="59" fillId="16" borderId="33" xfId="0" applyNumberFormat="1" applyFont="1" applyFill="1" applyBorder="1" applyAlignment="1" applyProtection="1">
      <alignment horizontal="right" shrinkToFit="1"/>
    </xf>
    <xf numFmtId="38" fontId="59" fillId="0" borderId="29" xfId="0" applyNumberFormat="1" applyFont="1" applyFill="1" applyBorder="1" applyAlignment="1" applyProtection="1">
      <alignment horizontal="right" shrinkToFit="1"/>
      <protection locked="0"/>
    </xf>
    <xf numFmtId="38" fontId="59" fillId="0" borderId="0" xfId="0" applyNumberFormat="1" applyFont="1" applyAlignment="1" applyProtection="1">
      <alignment horizontal="right" shrinkToFit="1"/>
      <protection locked="0"/>
    </xf>
    <xf numFmtId="38" fontId="59" fillId="0" borderId="13" xfId="0" applyNumberFormat="1" applyFont="1" applyBorder="1" applyAlignment="1" applyProtection="1">
      <alignment horizontal="right" shrinkToFit="1"/>
      <protection locked="0"/>
    </xf>
    <xf numFmtId="38" fontId="59" fillId="16" borderId="36" xfId="0" applyNumberFormat="1" applyFont="1" applyFill="1" applyBorder="1" applyAlignment="1" applyProtection="1">
      <alignment horizontal="right" shrinkToFit="1"/>
    </xf>
    <xf numFmtId="38" fontId="59" fillId="3" borderId="17" xfId="0" applyNumberFormat="1" applyFont="1" applyFill="1" applyBorder="1" applyAlignment="1" applyProtection="1">
      <alignment horizontal="right" shrinkToFit="1"/>
    </xf>
    <xf numFmtId="37" fontId="59" fillId="16" borderId="36" xfId="0" applyNumberFormat="1" applyFont="1" applyFill="1" applyBorder="1" applyAlignment="1" applyProtection="1">
      <alignment horizontal="right" shrinkToFit="1"/>
    </xf>
    <xf numFmtId="37" fontId="59" fillId="16" borderId="27" xfId="0" applyNumberFormat="1" applyFont="1" applyFill="1" applyBorder="1" applyAlignment="1" applyProtection="1">
      <alignment horizontal="right" shrinkToFit="1"/>
    </xf>
    <xf numFmtId="37" fontId="59" fillId="3" borderId="17" xfId="0" applyNumberFormat="1" applyFont="1" applyFill="1" applyBorder="1" applyAlignment="1" applyProtection="1">
      <alignment horizontal="right" shrinkToFit="1"/>
    </xf>
    <xf numFmtId="37" fontId="59" fillId="3" borderId="26" xfId="0" applyNumberFormat="1" applyFont="1" applyFill="1" applyBorder="1" applyAlignment="1" applyProtection="1">
      <alignment horizontal="right" shrinkToFit="1"/>
    </xf>
    <xf numFmtId="38" fontId="59" fillId="0" borderId="19" xfId="0" applyNumberFormat="1" applyFont="1" applyFill="1" applyBorder="1" applyAlignment="1" applyProtection="1">
      <alignment horizontal="right" shrinkToFit="1"/>
      <protection locked="0"/>
    </xf>
    <xf numFmtId="38" fontId="59" fillId="3" borderId="0" xfId="0" applyNumberFormat="1" applyFont="1" applyFill="1" applyAlignment="1" applyProtection="1">
      <alignment horizontal="right" shrinkToFit="1"/>
    </xf>
    <xf numFmtId="38" fontId="59" fillId="16" borderId="37" xfId="0" applyNumberFormat="1" applyFont="1" applyFill="1" applyBorder="1" applyAlignment="1" applyProtection="1">
      <alignment horizontal="right" shrinkToFit="1"/>
    </xf>
    <xf numFmtId="38" fontId="59" fillId="16" borderId="12" xfId="0" applyNumberFormat="1" applyFont="1" applyFill="1" applyBorder="1" applyAlignment="1" applyProtection="1">
      <alignment horizontal="right" shrinkToFit="1"/>
    </xf>
    <xf numFmtId="38" fontId="59" fillId="3" borderId="19" xfId="0" applyNumberFormat="1" applyFont="1" applyFill="1" applyBorder="1" applyAlignment="1" applyProtection="1">
      <alignment horizontal="right" shrinkToFit="1"/>
    </xf>
    <xf numFmtId="38" fontId="59" fillId="3" borderId="38" xfId="0" applyNumberFormat="1" applyFont="1" applyFill="1" applyBorder="1" applyAlignment="1" applyProtection="1">
      <alignment horizontal="right" shrinkToFit="1"/>
    </xf>
    <xf numFmtId="38" fontId="59" fillId="3" borderId="28" xfId="0" applyNumberFormat="1" applyFont="1" applyFill="1" applyBorder="1" applyAlignment="1" applyProtection="1">
      <alignment horizontal="right" shrinkToFit="1"/>
    </xf>
    <xf numFmtId="38" fontId="59" fillId="0" borderId="125" xfId="0" applyNumberFormat="1" applyFont="1" applyBorder="1" applyAlignment="1" applyProtection="1">
      <alignment horizontal="right" shrinkToFit="1"/>
      <protection locked="0"/>
    </xf>
    <xf numFmtId="38" fontId="59" fillId="3" borderId="125" xfId="0" applyNumberFormat="1" applyFont="1" applyFill="1" applyBorder="1" applyAlignment="1" applyProtection="1">
      <alignment horizontal="right" shrinkToFit="1"/>
    </xf>
    <xf numFmtId="38" fontId="59" fillId="3" borderId="29" xfId="0" applyNumberFormat="1" applyFont="1" applyFill="1" applyBorder="1" applyAlignment="1" applyProtection="1">
      <alignment horizontal="right" shrinkToFit="1"/>
    </xf>
    <xf numFmtId="38" fontId="59" fillId="0" borderId="32" xfId="0" applyNumberFormat="1" applyFont="1" applyBorder="1" applyAlignment="1" applyProtection="1">
      <alignment horizontal="right" shrinkToFit="1"/>
      <protection locked="0"/>
    </xf>
    <xf numFmtId="38" fontId="59" fillId="0" borderId="37" xfId="0" applyNumberFormat="1" applyFont="1" applyBorder="1" applyAlignment="1" applyProtection="1">
      <alignment horizontal="right" shrinkToFit="1"/>
      <protection locked="0"/>
    </xf>
    <xf numFmtId="38" fontId="59" fillId="0" borderId="33" xfId="0" applyNumberFormat="1" applyFont="1" applyBorder="1" applyAlignment="1" applyProtection="1">
      <alignment horizontal="right" shrinkToFit="1"/>
      <protection locked="0"/>
    </xf>
    <xf numFmtId="38" fontId="59" fillId="0" borderId="36" xfId="0" applyNumberFormat="1" applyFont="1" applyFill="1" applyBorder="1" applyAlignment="1" applyProtection="1">
      <alignment horizontal="right" shrinkToFit="1"/>
      <protection locked="0"/>
    </xf>
    <xf numFmtId="38" fontId="59" fillId="0" borderId="27" xfId="0" applyNumberFormat="1" applyFont="1" applyBorder="1" applyAlignment="1" applyProtection="1">
      <alignment horizontal="right" shrinkToFit="1"/>
      <protection locked="0"/>
    </xf>
    <xf numFmtId="38" fontId="59" fillId="0" borderId="55" xfId="0" applyNumberFormat="1" applyFont="1" applyBorder="1" applyAlignment="1" applyProtection="1">
      <alignment horizontal="right" vertical="center" shrinkToFit="1"/>
      <protection locked="0"/>
    </xf>
    <xf numFmtId="38" fontId="59" fillId="0" borderId="32" xfId="0" applyNumberFormat="1" applyFont="1" applyBorder="1" applyAlignment="1" applyProtection="1">
      <alignment horizontal="right" vertical="center" shrinkToFit="1"/>
      <protection locked="0"/>
    </xf>
    <xf numFmtId="38" fontId="59" fillId="0" borderId="27" xfId="0" applyNumberFormat="1" applyFont="1" applyFill="1" applyBorder="1" applyAlignment="1" applyProtection="1">
      <alignment horizontal="right" vertical="center" shrinkToFit="1"/>
      <protection locked="0"/>
    </xf>
    <xf numFmtId="38" fontId="59" fillId="0" borderId="32" xfId="0" applyNumberFormat="1" applyFont="1" applyFill="1" applyBorder="1" applyAlignment="1" applyProtection="1">
      <alignment horizontal="right" vertical="center" shrinkToFit="1"/>
      <protection locked="0"/>
    </xf>
    <xf numFmtId="38" fontId="59" fillId="16" borderId="55" xfId="0" applyNumberFormat="1" applyFont="1" applyFill="1" applyBorder="1" applyAlignment="1" applyProtection="1">
      <alignment horizontal="right" shrinkToFit="1"/>
    </xf>
    <xf numFmtId="38" fontId="59" fillId="3" borderId="31" xfId="0" applyNumberFormat="1" applyFont="1" applyFill="1" applyBorder="1" applyAlignment="1" applyProtection="1">
      <alignment horizontal="right" vertical="center" shrinkToFit="1"/>
    </xf>
    <xf numFmtId="38" fontId="59" fillId="3" borderId="28" xfId="0" applyNumberFormat="1" applyFont="1" applyFill="1" applyBorder="1" applyAlignment="1" applyProtection="1">
      <alignment horizontal="right" vertical="center" shrinkToFit="1"/>
    </xf>
    <xf numFmtId="38" fontId="59" fillId="3" borderId="0" xfId="0" applyNumberFormat="1" applyFont="1" applyFill="1" applyAlignment="1" applyProtection="1">
      <alignment horizontal="right" vertical="center" shrinkToFit="1"/>
    </xf>
    <xf numFmtId="38" fontId="59" fillId="3" borderId="26" xfId="0" applyNumberFormat="1" applyFont="1" applyFill="1" applyBorder="1" applyAlignment="1" applyProtection="1">
      <alignment horizontal="right" vertical="center" shrinkToFit="1"/>
    </xf>
    <xf numFmtId="38" fontId="59" fillId="3" borderId="39" xfId="0" applyNumberFormat="1" applyFont="1" applyFill="1" applyBorder="1" applyAlignment="1" applyProtection="1">
      <alignment horizontal="right" shrinkToFit="1"/>
    </xf>
    <xf numFmtId="38" fontId="59" fillId="0" borderId="2" xfId="0" applyNumberFormat="1" applyFont="1" applyFill="1" applyBorder="1" applyAlignment="1" applyProtection="1">
      <alignment horizontal="right" vertical="center" shrinkToFit="1"/>
      <protection locked="0"/>
    </xf>
    <xf numFmtId="38" fontId="59" fillId="6" borderId="2" xfId="0" applyNumberFormat="1" applyFont="1" applyFill="1" applyBorder="1" applyAlignment="1" applyProtection="1">
      <alignment horizontal="right" vertical="center" shrinkToFit="1"/>
    </xf>
    <xf numFmtId="38" fontId="59" fillId="0" borderId="122" xfId="0" applyNumberFormat="1" applyFont="1" applyFill="1" applyBorder="1" applyAlignment="1" applyProtection="1">
      <alignment horizontal="right" shrinkToFit="1"/>
      <protection locked="0"/>
    </xf>
    <xf numFmtId="38" fontId="59" fillId="0" borderId="121" xfId="0" applyNumberFormat="1" applyFont="1" applyFill="1" applyBorder="1" applyAlignment="1" applyProtection="1">
      <alignment horizontal="right" shrinkToFit="1"/>
      <protection locked="0"/>
    </xf>
    <xf numFmtId="38" fontId="59" fillId="0" borderId="111" xfId="0" applyNumberFormat="1" applyFont="1" applyFill="1" applyBorder="1" applyAlignment="1" applyProtection="1">
      <alignment horizontal="right" shrinkToFit="1"/>
      <protection locked="0"/>
    </xf>
    <xf numFmtId="3" fontId="59" fillId="3" borderId="125" xfId="0" applyNumberFormat="1" applyFont="1" applyFill="1" applyBorder="1" applyAlignment="1">
      <alignment horizontal="center" shrinkToFit="1"/>
    </xf>
    <xf numFmtId="3" fontId="59" fillId="3" borderId="26" xfId="0" applyNumberFormat="1" applyFont="1" applyFill="1" applyBorder="1" applyAlignment="1">
      <alignment horizontal="center" shrinkToFit="1"/>
    </xf>
    <xf numFmtId="3" fontId="59" fillId="3" borderId="125" xfId="0" applyNumberFormat="1" applyFont="1" applyFill="1" applyBorder="1" applyAlignment="1">
      <alignment horizontal="right" shrinkToFit="1"/>
    </xf>
    <xf numFmtId="38" fontId="59" fillId="16" borderId="2" xfId="0" applyNumberFormat="1" applyFont="1" applyFill="1" applyBorder="1" applyAlignment="1">
      <alignment horizontal="right" shrinkToFit="1"/>
    </xf>
    <xf numFmtId="38" fontId="59" fillId="3" borderId="26" xfId="0" applyNumberFormat="1" applyFont="1" applyFill="1" applyBorder="1" applyAlignment="1">
      <alignment horizontal="right" shrinkToFit="1"/>
    </xf>
    <xf numFmtId="38" fontId="59" fillId="16" borderId="27" xfId="0" applyNumberFormat="1" applyFont="1" applyFill="1" applyBorder="1" applyAlignment="1">
      <alignment horizontal="right" shrinkToFit="1"/>
    </xf>
    <xf numFmtId="38" fontId="59" fillId="3" borderId="28" xfId="0" applyNumberFormat="1" applyFont="1" applyFill="1" applyBorder="1" applyAlignment="1">
      <alignment horizontal="right" shrinkToFit="1"/>
    </xf>
    <xf numFmtId="38" fontId="59" fillId="3" borderId="4" xfId="0" applyNumberFormat="1" applyFont="1" applyFill="1" applyBorder="1" applyAlignment="1">
      <alignment horizontal="right" shrinkToFit="1"/>
    </xf>
    <xf numFmtId="38" fontId="59" fillId="3" borderId="29" xfId="0" applyNumberFormat="1" applyFont="1" applyFill="1" applyBorder="1" applyAlignment="1">
      <alignment horizontal="right" shrinkToFit="1"/>
    </xf>
    <xf numFmtId="38" fontId="59" fillId="16" borderId="4" xfId="0" applyNumberFormat="1" applyFont="1" applyFill="1" applyBorder="1" applyAlignment="1">
      <alignment horizontal="right" shrinkToFit="1"/>
    </xf>
    <xf numFmtId="38" fontId="59" fillId="16" borderId="30" xfId="0" applyNumberFormat="1" applyFont="1" applyFill="1" applyBorder="1" applyAlignment="1">
      <alignment horizontal="right" shrinkToFit="1"/>
    </xf>
    <xf numFmtId="38" fontId="59" fillId="3" borderId="31" xfId="0" applyNumberFormat="1" applyFont="1" applyFill="1" applyBorder="1" applyAlignment="1">
      <alignment horizontal="right" shrinkToFit="1"/>
    </xf>
    <xf numFmtId="38" fontId="59" fillId="16" borderId="32" xfId="0" applyNumberFormat="1" applyFont="1" applyFill="1" applyBorder="1" applyAlignment="1">
      <alignment horizontal="right" shrinkToFit="1"/>
    </xf>
    <xf numFmtId="38" fontId="59" fillId="5" borderId="4" xfId="0" applyNumberFormat="1" applyFont="1" applyFill="1" applyBorder="1" applyAlignment="1" applyProtection="1">
      <alignment horizontal="right" shrinkToFit="1"/>
      <protection locked="0"/>
    </xf>
    <xf numFmtId="38" fontId="59" fillId="6" borderId="28" xfId="0" applyNumberFormat="1" applyFont="1" applyFill="1" applyBorder="1" applyAlignment="1">
      <alignment horizontal="right" shrinkToFit="1"/>
    </xf>
    <xf numFmtId="38" fontId="59" fillId="6" borderId="26" xfId="0" applyNumberFormat="1" applyFont="1" applyFill="1" applyBorder="1" applyAlignment="1">
      <alignment horizontal="right" shrinkToFit="1"/>
    </xf>
    <xf numFmtId="38" fontId="59" fillId="0" borderId="125" xfId="0" applyNumberFormat="1" applyFont="1" applyFill="1" applyBorder="1" applyAlignment="1" applyProtection="1">
      <alignment horizontal="right" shrinkToFit="1"/>
      <protection locked="0"/>
    </xf>
    <xf numFmtId="38" fontId="59" fillId="6" borderId="4" xfId="0" applyNumberFormat="1" applyFont="1" applyFill="1" applyBorder="1" applyAlignment="1">
      <alignment horizontal="right" shrinkToFit="1"/>
    </xf>
    <xf numFmtId="38" fontId="59" fillId="16" borderId="33" xfId="0" applyNumberFormat="1" applyFont="1" applyFill="1" applyBorder="1" applyAlignment="1">
      <alignment horizontal="right" shrinkToFit="1"/>
    </xf>
    <xf numFmtId="38" fontId="59" fillId="16" borderId="26" xfId="0" applyNumberFormat="1" applyFont="1" applyFill="1" applyBorder="1" applyAlignment="1">
      <alignment horizontal="right" shrinkToFit="1"/>
    </xf>
    <xf numFmtId="38" fontId="59" fillId="16" borderId="28" xfId="0" applyNumberFormat="1" applyFont="1" applyFill="1" applyBorder="1" applyAlignment="1">
      <alignment horizontal="right" shrinkToFit="1"/>
    </xf>
    <xf numFmtId="38" fontId="59" fillId="0" borderId="21" xfId="0" applyNumberFormat="1" applyFont="1" applyFill="1" applyBorder="1" applyAlignment="1">
      <alignment horizontal="right" shrinkToFit="1"/>
    </xf>
    <xf numFmtId="38" fontId="59" fillId="23" borderId="19" xfId="0" applyNumberFormat="1" applyFont="1" applyFill="1" applyBorder="1" applyAlignment="1">
      <alignment horizontal="right" shrinkToFit="1"/>
    </xf>
    <xf numFmtId="38" fontId="59" fillId="23" borderId="20" xfId="0" applyNumberFormat="1" applyFont="1" applyFill="1" applyBorder="1" applyAlignment="1">
      <alignment horizontal="right" shrinkToFit="1"/>
    </xf>
    <xf numFmtId="38" fontId="59" fillId="23" borderId="11" xfId="0" applyNumberFormat="1" applyFont="1" applyFill="1" applyBorder="1" applyAlignment="1">
      <alignment horizontal="right" shrinkToFit="1"/>
    </xf>
    <xf numFmtId="38" fontId="59" fillId="3" borderId="2" xfId="0" applyNumberFormat="1" applyFont="1" applyFill="1" applyBorder="1" applyAlignment="1">
      <alignment horizontal="right" shrinkToFit="1"/>
    </xf>
    <xf numFmtId="38" fontId="59" fillId="0" borderId="29" xfId="0" applyNumberFormat="1" applyFont="1" applyBorder="1" applyAlignment="1" applyProtection="1">
      <alignment horizontal="right" shrinkToFit="1"/>
      <protection locked="0"/>
    </xf>
    <xf numFmtId="38" fontId="59" fillId="16" borderId="29" xfId="0" applyNumberFormat="1" applyFont="1" applyFill="1" applyBorder="1" applyAlignment="1">
      <alignment horizontal="right" shrinkToFit="1"/>
    </xf>
    <xf numFmtId="38" fontId="59" fillId="16" borderId="125" xfId="0" applyNumberFormat="1" applyFont="1" applyFill="1" applyBorder="1" applyAlignment="1" applyProtection="1">
      <alignment horizontal="right" shrinkToFit="1"/>
    </xf>
    <xf numFmtId="38" fontId="59" fillId="6" borderId="29" xfId="0" applyNumberFormat="1" applyFont="1" applyFill="1" applyBorder="1" applyAlignment="1">
      <alignment horizontal="right" shrinkToFit="1"/>
    </xf>
    <xf numFmtId="38" fontId="59" fillId="15" borderId="3" xfId="0" applyNumberFormat="1" applyFont="1" applyFill="1" applyBorder="1" applyAlignment="1" applyProtection="1">
      <alignment horizontal="right" shrinkToFit="1"/>
    </xf>
    <xf numFmtId="38" fontId="59" fillId="15" borderId="3" xfId="0" applyNumberFormat="1" applyFont="1" applyFill="1" applyBorder="1" applyAlignment="1">
      <alignment horizontal="right" shrinkToFit="1"/>
    </xf>
    <xf numFmtId="38" fontId="59" fillId="15" borderId="26" xfId="0" applyNumberFormat="1" applyFont="1" applyFill="1" applyBorder="1" applyAlignment="1" applyProtection="1">
      <alignment horizontal="right" shrinkToFit="1"/>
    </xf>
    <xf numFmtId="38" fontId="59" fillId="15" borderId="26" xfId="0" applyNumberFormat="1" applyFont="1" applyFill="1" applyBorder="1" applyAlignment="1">
      <alignment horizontal="right" shrinkToFit="1"/>
    </xf>
    <xf numFmtId="38" fontId="59" fillId="22" borderId="19" xfId="0" applyNumberFormat="1" applyFont="1" applyFill="1" applyBorder="1" applyAlignment="1">
      <alignment horizontal="right" shrinkToFit="1"/>
    </xf>
    <xf numFmtId="38" fontId="59" fillId="22" borderId="20" xfId="0" applyNumberFormat="1" applyFont="1" applyFill="1" applyBorder="1" applyAlignment="1">
      <alignment horizontal="right" shrinkToFit="1"/>
    </xf>
    <xf numFmtId="38" fontId="59" fillId="22" borderId="11" xfId="0" applyNumberFormat="1" applyFont="1" applyFill="1" applyBorder="1" applyAlignment="1">
      <alignment horizontal="right" shrinkToFit="1"/>
    </xf>
    <xf numFmtId="38" fontId="59" fillId="3" borderId="125" xfId="0" applyNumberFormat="1" applyFont="1" applyFill="1" applyBorder="1" applyAlignment="1">
      <alignment horizontal="right" shrinkToFit="1"/>
    </xf>
    <xf numFmtId="38" fontId="59" fillId="3" borderId="3" xfId="0" applyNumberFormat="1" applyFont="1" applyFill="1" applyBorder="1" applyAlignment="1">
      <alignment horizontal="right" shrinkToFit="1"/>
    </xf>
    <xf numFmtId="38" fontId="59" fillId="0" borderId="20" xfId="0" applyNumberFormat="1" applyFont="1" applyFill="1" applyBorder="1" applyAlignment="1">
      <alignment horizontal="right" shrinkToFit="1"/>
    </xf>
    <xf numFmtId="38" fontId="59" fillId="22" borderId="13" xfId="0" applyNumberFormat="1" applyFont="1" applyFill="1" applyBorder="1" applyAlignment="1">
      <alignment horizontal="right" shrinkToFit="1"/>
    </xf>
    <xf numFmtId="38" fontId="59" fillId="22" borderId="21" xfId="0" applyNumberFormat="1" applyFont="1" applyFill="1" applyBorder="1" applyAlignment="1">
      <alignment horizontal="right" shrinkToFit="1"/>
    </xf>
    <xf numFmtId="38" fontId="59" fillId="22" borderId="14" xfId="0" applyNumberFormat="1" applyFont="1" applyFill="1" applyBorder="1" applyAlignment="1">
      <alignment horizontal="right" shrinkToFit="1"/>
    </xf>
    <xf numFmtId="38" fontId="59" fillId="0" borderId="0" xfId="0" applyNumberFormat="1" applyFont="1" applyFill="1" applyBorder="1" applyAlignment="1">
      <alignment horizontal="right" shrinkToFit="1"/>
    </xf>
    <xf numFmtId="38" fontId="59" fillId="16" borderId="3" xfId="0" applyNumberFormat="1" applyFont="1" applyFill="1" applyBorder="1" applyAlignment="1">
      <alignment horizontal="right" shrinkToFit="1"/>
    </xf>
    <xf numFmtId="38" fontId="59" fillId="25" borderId="26" xfId="0" applyNumberFormat="1" applyFont="1" applyFill="1" applyBorder="1" applyAlignment="1">
      <alignment horizontal="right" shrinkToFit="1"/>
    </xf>
    <xf numFmtId="38" fontId="59" fillId="2" borderId="2" xfId="0" applyNumberFormat="1" applyFont="1" applyFill="1" applyBorder="1" applyAlignment="1">
      <alignment horizontal="right" shrinkToFit="1"/>
    </xf>
    <xf numFmtId="0" fontId="61" fillId="6" borderId="0" xfId="0" applyFont="1" applyFill="1" applyAlignment="1">
      <alignment vertical="center" shrinkToFit="1"/>
    </xf>
    <xf numFmtId="38" fontId="59" fillId="6" borderId="0" xfId="8" applyNumberFormat="1" applyFont="1" applyFill="1" applyBorder="1" applyAlignment="1" applyProtection="1">
      <alignment horizontal="right" shrinkToFit="1"/>
    </xf>
    <xf numFmtId="38" fontId="59" fillId="6" borderId="26" xfId="8" applyNumberFormat="1" applyFont="1" applyFill="1" applyBorder="1" applyAlignment="1" applyProtection="1">
      <alignment horizontal="right" shrinkToFit="1"/>
    </xf>
    <xf numFmtId="38" fontId="59" fillId="0" borderId="2" xfId="8" applyNumberFormat="1" applyFont="1" applyFill="1" applyBorder="1" applyAlignment="1" applyProtection="1">
      <alignment horizontal="right" shrinkToFit="1"/>
      <protection locked="0"/>
    </xf>
    <xf numFmtId="38" fontId="59" fillId="16" borderId="125" xfId="0" applyNumberFormat="1" applyFont="1" applyFill="1" applyBorder="1" applyAlignment="1" applyProtection="1">
      <alignment horizontal="right" vertical="center" shrinkToFit="1"/>
      <protection locked="0"/>
    </xf>
    <xf numFmtId="38" fontId="59" fillId="0" borderId="125" xfId="0" applyNumberFormat="1" applyFont="1" applyFill="1" applyBorder="1" applyAlignment="1" applyProtection="1">
      <alignment horizontal="right" vertical="center" shrinkToFit="1"/>
      <protection locked="0"/>
    </xf>
    <xf numFmtId="38" fontId="59" fillId="16" borderId="125" xfId="0" applyNumberFormat="1" applyFont="1" applyFill="1" applyBorder="1" applyAlignment="1" applyProtection="1">
      <alignment horizontal="right" vertical="center" shrinkToFit="1"/>
    </xf>
    <xf numFmtId="38" fontId="59" fillId="16" borderId="2" xfId="0" applyNumberFormat="1" applyFont="1" applyFill="1" applyBorder="1" applyAlignment="1" applyProtection="1">
      <alignment horizontal="right" vertical="center" shrinkToFit="1"/>
      <protection locked="0"/>
    </xf>
    <xf numFmtId="38" fontId="59" fillId="16" borderId="2" xfId="0" applyNumberFormat="1" applyFont="1" applyFill="1" applyBorder="1" applyAlignment="1" applyProtection="1">
      <alignment horizontal="right" vertical="center" shrinkToFit="1"/>
    </xf>
    <xf numFmtId="38" fontId="59" fillId="16" borderId="27" xfId="0" applyNumberFormat="1" applyFont="1" applyFill="1" applyBorder="1" applyAlignment="1" applyProtection="1">
      <alignment horizontal="right" vertical="center" shrinkToFit="1"/>
      <protection locked="0"/>
    </xf>
    <xf numFmtId="42" fontId="53" fillId="11" borderId="110" xfId="0" applyNumberFormat="1" applyFont="1" applyFill="1" applyBorder="1" applyAlignment="1" applyProtection="1">
      <alignment horizontal="right" shrinkToFit="1"/>
      <protection locked="0"/>
    </xf>
    <xf numFmtId="42" fontId="53" fillId="10" borderId="110" xfId="0" applyNumberFormat="1" applyFont="1" applyFill="1" applyBorder="1" applyAlignment="1">
      <alignment horizontal="right"/>
    </xf>
    <xf numFmtId="42" fontId="53" fillId="10" borderId="0" xfId="0" applyNumberFormat="1" applyFont="1" applyFill="1" applyBorder="1" applyAlignment="1" applyProtection="1">
      <alignment horizontal="right" shrinkToFit="1"/>
      <protection locked="0"/>
    </xf>
    <xf numFmtId="38" fontId="68" fillId="6" borderId="10" xfId="0" applyNumberFormat="1" applyFont="1" applyFill="1" applyBorder="1" applyAlignment="1" applyProtection="1">
      <alignment horizontal="center" vertical="center" wrapText="1"/>
      <protection hidden="1"/>
    </xf>
    <xf numFmtId="38" fontId="68" fillId="6" borderId="3" xfId="0" applyNumberFormat="1" applyFont="1" applyFill="1" applyBorder="1" applyAlignment="1" applyProtection="1">
      <alignment horizontal="center" vertical="center" wrapText="1"/>
      <protection hidden="1"/>
    </xf>
    <xf numFmtId="38" fontId="59" fillId="16" borderId="27" xfId="0" applyNumberFormat="1" applyFont="1" applyFill="1" applyBorder="1" applyAlignment="1" applyProtection="1">
      <alignment horizontal="right" vertical="center" shrinkToFit="1"/>
    </xf>
    <xf numFmtId="38" fontId="59" fillId="0" borderId="2" xfId="0" applyNumberFormat="1" applyFont="1" applyBorder="1" applyAlignment="1" applyProtection="1">
      <alignment horizontal="right" vertical="center" shrinkToFit="1"/>
      <protection locked="0"/>
    </xf>
    <xf numFmtId="38" fontId="59" fillId="0" borderId="2" xfId="9" applyNumberFormat="1" applyFont="1" applyFill="1" applyBorder="1" applyAlignment="1" applyProtection="1">
      <alignment horizontal="right" shrinkToFit="1"/>
      <protection locked="0"/>
    </xf>
    <xf numFmtId="3" fontId="59" fillId="0" borderId="2" xfId="9" applyNumberFormat="1" applyFont="1" applyFill="1" applyBorder="1" applyAlignment="1" applyProtection="1">
      <alignment horizontal="right" vertical="center" shrinkToFit="1"/>
      <protection locked="0"/>
    </xf>
    <xf numFmtId="38" fontId="59" fillId="16" borderId="2" xfId="9" applyNumberFormat="1" applyFont="1" applyFill="1" applyBorder="1" applyAlignment="1" applyProtection="1">
      <alignment horizontal="right" shrinkToFit="1"/>
    </xf>
    <xf numFmtId="38" fontId="59" fillId="0" borderId="2" xfId="9" applyNumberFormat="1" applyFont="1" applyFill="1" applyBorder="1" applyAlignment="1" applyProtection="1">
      <alignment horizontal="right" vertical="center" shrinkToFit="1"/>
      <protection locked="0"/>
    </xf>
    <xf numFmtId="0" fontId="59" fillId="0" borderId="2" xfId="0" applyFont="1" applyFill="1" applyBorder="1" applyAlignment="1" applyProtection="1">
      <alignment horizontal="right" shrinkToFit="1"/>
      <protection locked="0"/>
    </xf>
    <xf numFmtId="0" fontId="59" fillId="0" borderId="2" xfId="9" applyFont="1" applyFill="1" applyBorder="1" applyAlignment="1" applyProtection="1">
      <alignment horizontal="right" vertical="top" shrinkToFit="1"/>
      <protection locked="0"/>
    </xf>
    <xf numFmtId="38" fontId="59" fillId="0" borderId="2" xfId="9" applyNumberFormat="1" applyFont="1" applyFill="1" applyBorder="1" applyAlignment="1" applyProtection="1">
      <alignment horizontal="right" vertical="top" shrinkToFit="1"/>
      <protection locked="0"/>
    </xf>
    <xf numFmtId="38" fontId="59" fillId="0" borderId="2" xfId="9" quotePrefix="1" applyNumberFormat="1" applyFont="1" applyFill="1" applyBorder="1" applyAlignment="1" applyProtection="1">
      <alignment horizontal="right" shrinkToFit="1"/>
      <protection locked="0"/>
    </xf>
    <xf numFmtId="38" fontId="59" fillId="6" borderId="2" xfId="9" applyNumberFormat="1" applyFont="1" applyFill="1" applyBorder="1" applyAlignment="1" applyProtection="1">
      <alignment horizontal="right" shrinkToFit="1"/>
    </xf>
    <xf numFmtId="49" fontId="68" fillId="5" borderId="2" xfId="9" applyNumberFormat="1" applyFont="1" applyFill="1" applyBorder="1" applyAlignment="1" applyProtection="1">
      <alignment horizontal="center" vertical="center" wrapText="1"/>
    </xf>
    <xf numFmtId="38" fontId="59" fillId="0" borderId="22" xfId="0" applyNumberFormat="1" applyFont="1" applyBorder="1" applyAlignment="1" applyProtection="1">
      <alignment vertical="center" shrinkToFit="1"/>
      <protection locked="0"/>
    </xf>
    <xf numFmtId="38" fontId="59" fillId="0" borderId="22" xfId="0" applyNumberFormat="1" applyFont="1" applyFill="1" applyBorder="1" applyAlignment="1" applyProtection="1">
      <alignment horizontal="right" vertical="center" shrinkToFit="1"/>
      <protection locked="0"/>
    </xf>
    <xf numFmtId="38" fontId="59" fillId="6" borderId="45" xfId="0" applyNumberFormat="1" applyFont="1" applyFill="1" applyBorder="1" applyAlignment="1" applyProtection="1">
      <alignment vertical="center" shrinkToFit="1"/>
    </xf>
    <xf numFmtId="38" fontId="59" fillId="6" borderId="22" xfId="0" applyNumberFormat="1" applyFont="1" applyFill="1" applyBorder="1" applyAlignment="1" applyProtection="1">
      <alignment vertical="center" shrinkToFit="1"/>
    </xf>
    <xf numFmtId="38" fontId="59" fillId="6" borderId="45" xfId="0" applyNumberFormat="1" applyFont="1" applyFill="1" applyBorder="1" applyAlignment="1" applyProtection="1">
      <alignment horizontal="right" vertical="center" shrinkToFit="1"/>
    </xf>
    <xf numFmtId="38" fontId="59" fillId="6" borderId="8" xfId="0" applyNumberFormat="1" applyFont="1" applyFill="1" applyBorder="1" applyAlignment="1" applyProtection="1">
      <alignment vertical="center" shrinkToFit="1"/>
    </xf>
    <xf numFmtId="38" fontId="59" fillId="0" borderId="22" xfId="0" applyNumberFormat="1" applyFont="1" applyFill="1" applyBorder="1" applyAlignment="1" applyProtection="1">
      <alignment vertical="center" shrinkToFit="1"/>
      <protection locked="0"/>
    </xf>
    <xf numFmtId="38" fontId="59" fillId="6" borderId="8" xfId="0" applyNumberFormat="1" applyFont="1" applyFill="1" applyBorder="1" applyAlignment="1" applyProtection="1">
      <alignment horizontal="right" vertical="center" shrinkToFit="1"/>
    </xf>
    <xf numFmtId="38" fontId="59" fillId="6" borderId="22"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vertical="center" shrinkToFit="1"/>
    </xf>
    <xf numFmtId="38" fontId="59" fillId="0" borderId="7" xfId="0" applyNumberFormat="1" applyFont="1" applyBorder="1" applyAlignment="1" applyProtection="1">
      <alignment vertical="center" shrinkToFit="1"/>
      <protection locked="0"/>
    </xf>
    <xf numFmtId="38" fontId="59" fillId="16" borderId="41" xfId="0" applyNumberFormat="1" applyFont="1" applyFill="1" applyBorder="1" applyAlignment="1" applyProtection="1">
      <alignment vertical="center" shrinkToFit="1"/>
    </xf>
    <xf numFmtId="0" fontId="59" fillId="6" borderId="42" xfId="0" applyFont="1" applyFill="1" applyBorder="1" applyAlignment="1" applyProtection="1">
      <alignment horizontal="right" vertical="center" shrinkToFit="1"/>
    </xf>
    <xf numFmtId="0" fontId="59" fillId="6" borderId="43" xfId="0" applyFont="1" applyFill="1" applyBorder="1" applyAlignment="1" applyProtection="1">
      <alignment horizontal="right" vertical="center" shrinkToFit="1"/>
    </xf>
    <xf numFmtId="0" fontId="59" fillId="6" borderId="40" xfId="0" applyFont="1" applyFill="1" applyBorder="1" applyAlignment="1" applyProtection="1">
      <alignment horizontal="right" vertical="center" shrinkToFit="1"/>
    </xf>
    <xf numFmtId="38" fontId="59" fillId="3" borderId="45" xfId="0" applyNumberFormat="1" applyFont="1" applyFill="1" applyBorder="1" applyAlignment="1" applyProtection="1">
      <alignment vertical="center" shrinkToFit="1"/>
    </xf>
    <xf numFmtId="38" fontId="59" fillId="3" borderId="44" xfId="0" applyNumberFormat="1" applyFont="1" applyFill="1" applyBorder="1" applyAlignment="1" applyProtection="1">
      <alignment vertical="center" shrinkToFit="1"/>
    </xf>
    <xf numFmtId="38" fontId="59" fillId="3" borderId="8" xfId="0" applyNumberFormat="1" applyFont="1" applyFill="1" applyBorder="1" applyAlignment="1" applyProtection="1">
      <alignment horizontal="right" vertical="center" shrinkToFit="1"/>
    </xf>
    <xf numFmtId="38" fontId="59" fillId="3" borderId="44"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horizontal="right" vertical="center" shrinkToFit="1"/>
    </xf>
    <xf numFmtId="38" fontId="59" fillId="3" borderId="8" xfId="0" applyNumberFormat="1" applyFont="1" applyFill="1" applyBorder="1" applyAlignment="1" applyProtection="1">
      <alignment vertical="center" shrinkToFit="1"/>
    </xf>
    <xf numFmtId="38" fontId="59" fillId="16" borderId="41" xfId="0" applyNumberFormat="1" applyFont="1" applyFill="1" applyBorder="1" applyAlignment="1" applyProtection="1">
      <alignment horizontal="right" vertical="center" shrinkToFit="1"/>
    </xf>
    <xf numFmtId="38" fontId="59" fillId="0" borderId="8" xfId="0" applyNumberFormat="1" applyFont="1" applyFill="1" applyBorder="1" applyAlignment="1" applyProtection="1">
      <alignment horizontal="right" vertical="center" shrinkToFit="1"/>
      <protection locked="0"/>
    </xf>
    <xf numFmtId="38" fontId="59" fillId="16" borderId="60" xfId="0" applyNumberFormat="1" applyFont="1" applyFill="1" applyBorder="1" applyAlignment="1" applyProtection="1">
      <alignment shrinkToFit="1"/>
    </xf>
    <xf numFmtId="38" fontId="59" fillId="0" borderId="8" xfId="0" applyNumberFormat="1" applyFont="1" applyFill="1" applyBorder="1" applyAlignment="1" applyProtection="1">
      <alignment vertical="center" shrinkToFit="1"/>
      <protection locked="0"/>
    </xf>
    <xf numFmtId="38" fontId="59" fillId="0" borderId="44" xfId="0" applyNumberFormat="1" applyFont="1" applyFill="1" applyBorder="1" applyAlignment="1" applyProtection="1">
      <alignment horizontal="right" vertical="center" shrinkToFit="1"/>
      <protection locked="0"/>
    </xf>
    <xf numFmtId="38" fontId="59" fillId="0" borderId="8"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shrinkToFit="1"/>
      <protection locked="0"/>
    </xf>
    <xf numFmtId="38" fontId="59" fillId="16" borderId="41" xfId="0" applyNumberFormat="1" applyFont="1" applyFill="1" applyBorder="1" applyAlignment="1" applyProtection="1">
      <alignment horizontal="right" shrinkToFit="1"/>
    </xf>
    <xf numFmtId="3" fontId="66" fillId="16" borderId="9" xfId="10" applyNumberFormat="1" applyFont="1" applyFill="1" applyBorder="1" applyAlignment="1" applyProtection="1">
      <alignment vertical="center" shrinkToFit="1"/>
    </xf>
    <xf numFmtId="3" fontId="66" fillId="16" borderId="6" xfId="10" applyNumberFormat="1" applyFont="1" applyFill="1" applyBorder="1" applyAlignment="1" applyProtection="1">
      <alignment vertical="center" shrinkToFit="1"/>
    </xf>
    <xf numFmtId="3" fontId="68" fillId="16" borderId="57" xfId="10" applyNumberFormat="1" applyFont="1" applyFill="1" applyBorder="1" applyAlignment="1" applyProtection="1">
      <alignment vertical="center" shrinkToFit="1"/>
    </xf>
    <xf numFmtId="0" fontId="66" fillId="0" borderId="0" xfId="10" applyFont="1" applyFill="1" applyAlignment="1">
      <alignment vertical="center" shrinkToFit="1"/>
    </xf>
    <xf numFmtId="0" fontId="66" fillId="0" borderId="0" xfId="10" applyFont="1" applyFill="1" applyBorder="1" applyAlignment="1">
      <alignment vertical="center" shrinkToFit="1"/>
    </xf>
    <xf numFmtId="38" fontId="66" fillId="16" borderId="9" xfId="10" applyNumberFormat="1" applyFont="1" applyFill="1" applyBorder="1" applyAlignment="1" applyProtection="1">
      <alignment horizontal="right" vertical="center" shrinkToFit="1"/>
    </xf>
    <xf numFmtId="38" fontId="66" fillId="16" borderId="0" xfId="10" applyNumberFormat="1" applyFont="1" applyFill="1" applyAlignment="1">
      <alignment vertical="top" shrinkToFit="1"/>
    </xf>
    <xf numFmtId="38" fontId="66" fillId="16" borderId="6" xfId="10" applyNumberFormat="1" applyFont="1" applyFill="1" applyBorder="1" applyAlignment="1" applyProtection="1">
      <alignment horizontal="right" vertical="center" shrinkToFit="1"/>
    </xf>
    <xf numFmtId="38" fontId="66" fillId="16" borderId="6" xfId="10" applyNumberFormat="1" applyFont="1" applyFill="1" applyBorder="1" applyAlignment="1" applyProtection="1">
      <alignment horizontal="right" shrinkToFit="1"/>
    </xf>
    <xf numFmtId="38" fontId="66" fillId="16" borderId="0" xfId="10" applyNumberFormat="1" applyFont="1" applyFill="1" applyAlignment="1">
      <alignment horizontal="right" shrinkToFit="1"/>
    </xf>
    <xf numFmtId="38" fontId="66" fillId="16" borderId="9" xfId="10" applyNumberFormat="1" applyFont="1" applyFill="1" applyBorder="1" applyAlignment="1" applyProtection="1">
      <alignment horizontal="right" shrinkToFit="1"/>
    </xf>
    <xf numFmtId="38" fontId="66" fillId="16" borderId="6" xfId="10" applyNumberFormat="1" applyFont="1" applyFill="1" applyBorder="1" applyAlignment="1">
      <alignment horizontal="right" shrinkToFit="1"/>
    </xf>
    <xf numFmtId="38" fontId="66" fillId="16" borderId="145" xfId="10" applyNumberFormat="1" applyFont="1" applyFill="1" applyBorder="1" applyAlignment="1" applyProtection="1">
      <alignment horizontal="right" shrinkToFit="1"/>
    </xf>
    <xf numFmtId="38" fontId="68" fillId="16" borderId="47" xfId="10" applyNumberFormat="1" applyFont="1" applyFill="1" applyBorder="1" applyAlignment="1">
      <alignment horizontal="right" shrinkToFit="1"/>
    </xf>
    <xf numFmtId="38" fontId="66" fillId="16" borderId="58" xfId="10" applyNumberFormat="1" applyFont="1" applyFill="1" applyBorder="1" applyAlignment="1" applyProtection="1">
      <alignment horizontal="right" shrinkToFit="1"/>
    </xf>
    <xf numFmtId="40" fontId="66" fillId="0" borderId="9" xfId="10" applyNumberFormat="1" applyFont="1" applyFill="1" applyBorder="1" applyAlignment="1" applyProtection="1">
      <alignment horizontal="right" shrinkToFit="1"/>
      <protection locked="0"/>
    </xf>
    <xf numFmtId="40" fontId="68" fillId="16" borderId="47" xfId="10" applyNumberFormat="1" applyFont="1" applyFill="1" applyBorder="1" applyAlignment="1" applyProtection="1">
      <alignment horizontal="right" shrinkToFit="1"/>
    </xf>
    <xf numFmtId="4" fontId="68" fillId="0" borderId="0" xfId="10" applyNumberFormat="1" applyFont="1" applyFill="1" applyBorder="1" applyAlignment="1" applyProtection="1">
      <alignment vertical="center" shrinkToFit="1"/>
    </xf>
    <xf numFmtId="38" fontId="66" fillId="16" borderId="9" xfId="11" applyNumberFormat="1" applyFont="1" applyFill="1" applyBorder="1" applyAlignment="1" applyProtection="1">
      <alignment horizontal="right" shrinkToFit="1"/>
    </xf>
    <xf numFmtId="38" fontId="66" fillId="16" borderId="6" xfId="11" applyNumberFormat="1" applyFont="1" applyFill="1" applyBorder="1" applyAlignment="1" applyProtection="1">
      <alignment horizontal="right" shrinkToFit="1"/>
    </xf>
    <xf numFmtId="38" fontId="66" fillId="0" borderId="145" xfId="11" applyNumberFormat="1" applyFont="1" applyFill="1" applyBorder="1" applyAlignment="1" applyProtection="1">
      <alignment horizontal="right" shrinkToFit="1"/>
      <protection locked="0"/>
    </xf>
    <xf numFmtId="38" fontId="66" fillId="0" borderId="0" xfId="11" applyNumberFormat="1" applyFont="1" applyFill="1" applyAlignment="1">
      <alignment horizontal="right" shrinkToFit="1"/>
    </xf>
    <xf numFmtId="38" fontId="68" fillId="16" borderId="9" xfId="11" applyNumberFormat="1" applyFont="1" applyFill="1" applyBorder="1" applyAlignment="1" applyProtection="1">
      <alignment horizontal="right" shrinkToFit="1"/>
    </xf>
    <xf numFmtId="40" fontId="66" fillId="16" borderId="9" xfId="11" applyNumberFormat="1" applyFont="1" applyFill="1" applyBorder="1" applyAlignment="1" applyProtection="1">
      <alignment horizontal="right" shrinkToFit="1"/>
    </xf>
    <xf numFmtId="40" fontId="68" fillId="16" borderId="57" xfId="11" applyNumberFormat="1" applyFont="1" applyFill="1" applyBorder="1" applyAlignment="1" applyProtection="1">
      <alignment horizontal="right" shrinkToFit="1"/>
    </xf>
    <xf numFmtId="0" fontId="68" fillId="16" borderId="0" xfId="10" applyFont="1" applyFill="1" applyAlignment="1" applyProtection="1">
      <alignment horizontal="right" vertical="center"/>
      <protection hidden="1"/>
    </xf>
    <xf numFmtId="38" fontId="59" fillId="0" borderId="13" xfId="0" applyNumberFormat="1" applyFont="1" applyBorder="1" applyAlignment="1" applyProtection="1">
      <alignment vertical="center" shrinkToFit="1"/>
      <protection locked="0"/>
    </xf>
    <xf numFmtId="38" fontId="59" fillId="19" borderId="13" xfId="0" applyNumberFormat="1" applyFont="1" applyFill="1" applyBorder="1" applyAlignment="1" applyProtection="1">
      <alignment shrinkToFit="1"/>
      <protection locked="0"/>
    </xf>
    <xf numFmtId="0" fontId="59" fillId="16" borderId="124" xfId="0" applyFont="1" applyFill="1" applyBorder="1" applyAlignment="1">
      <alignment shrinkToFit="1"/>
    </xf>
    <xf numFmtId="37" fontId="59" fillId="16" borderId="124" xfId="0" applyNumberFormat="1" applyFont="1" applyFill="1" applyBorder="1" applyAlignment="1">
      <alignment shrinkToFit="1"/>
    </xf>
    <xf numFmtId="37" fontId="59" fillId="16" borderId="126" xfId="0" applyNumberFormat="1" applyFont="1" applyFill="1" applyBorder="1" applyAlignment="1">
      <alignment shrinkToFit="1"/>
    </xf>
    <xf numFmtId="0" fontId="59" fillId="16" borderId="14" xfId="0" applyFont="1" applyFill="1" applyBorder="1" applyAlignment="1">
      <alignment shrinkToFit="1"/>
    </xf>
    <xf numFmtId="0" fontId="59" fillId="16" borderId="21" xfId="0" applyFont="1" applyFill="1" applyBorder="1" applyAlignment="1">
      <alignment shrinkToFit="1"/>
    </xf>
    <xf numFmtId="37" fontId="59" fillId="16" borderId="14" xfId="0" applyNumberFormat="1" applyFont="1" applyFill="1" applyBorder="1" applyAlignment="1">
      <alignment shrinkToFit="1"/>
    </xf>
    <xf numFmtId="37" fontId="59" fillId="16" borderId="21" xfId="0" applyNumberFormat="1" applyFont="1" applyFill="1" applyBorder="1" applyAlignment="1">
      <alignment shrinkToFit="1"/>
    </xf>
    <xf numFmtId="38" fontId="59" fillId="16" borderId="14" xfId="0" applyNumberFormat="1" applyFont="1" applyFill="1" applyBorder="1" applyAlignment="1">
      <alignment shrinkToFit="1"/>
    </xf>
    <xf numFmtId="38" fontId="59" fillId="16" borderId="18" xfId="0" applyNumberFormat="1" applyFont="1" applyFill="1" applyBorder="1" applyAlignment="1">
      <alignment shrinkToFit="1"/>
    </xf>
    <xf numFmtId="10" fontId="58" fillId="16" borderId="14" xfId="0" applyNumberFormat="1" applyFont="1" applyFill="1" applyBorder="1" applyAlignment="1">
      <alignment horizontal="left" shrinkToFit="1"/>
    </xf>
    <xf numFmtId="0" fontId="104" fillId="22" borderId="0" xfId="18" applyFont="1" applyFill="1" applyAlignment="1" applyProtection="1">
      <alignment horizontal="centerContinuous" vertical="center"/>
      <protection hidden="1"/>
    </xf>
    <xf numFmtId="38" fontId="59" fillId="16" borderId="22" xfId="3" applyNumberFormat="1" applyFont="1" applyFill="1" applyBorder="1" applyAlignment="1">
      <alignment horizontal="right" vertical="center" shrinkToFit="1"/>
    </xf>
    <xf numFmtId="38" fontId="59" fillId="16" borderId="41"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0" fontId="68" fillId="20" borderId="44" xfId="3" applyFont="1" applyFill="1" applyBorder="1" applyAlignment="1" applyProtection="1">
      <alignment horizontal="center"/>
      <protection hidden="1"/>
    </xf>
    <xf numFmtId="0" fontId="68" fillId="21" borderId="44" xfId="3" applyFont="1" applyFill="1" applyBorder="1" applyAlignment="1" applyProtection="1">
      <alignment horizontal="center"/>
      <protection hidden="1"/>
    </xf>
    <xf numFmtId="169" fontId="66" fillId="0" borderId="8" xfId="3" applyNumberFormat="1" applyFont="1" applyBorder="1" applyAlignment="1" applyProtection="1">
      <alignment horizontal="center" shrinkToFit="1"/>
      <protection locked="0"/>
    </xf>
    <xf numFmtId="1" fontId="66" fillId="0" borderId="8" xfId="3" applyNumberFormat="1" applyFont="1" applyBorder="1" applyAlignment="1" applyProtection="1">
      <alignment horizontal="center" shrinkToFit="1"/>
      <protection locked="0"/>
    </xf>
    <xf numFmtId="3" fontId="66" fillId="0" borderId="8" xfId="3" applyNumberFormat="1" applyFont="1" applyBorder="1" applyAlignment="1" applyProtection="1">
      <alignment horizontal="center" shrinkToFit="1"/>
      <protection locked="0"/>
    </xf>
    <xf numFmtId="169" fontId="66" fillId="0" borderId="22" xfId="3" applyNumberFormat="1" applyFont="1" applyBorder="1" applyAlignment="1" applyProtection="1">
      <alignment horizontal="center" shrinkToFit="1"/>
      <protection locked="0"/>
    </xf>
    <xf numFmtId="1" fontId="66" fillId="0" borderId="22" xfId="3" applyNumberFormat="1" applyFont="1" applyBorder="1" applyAlignment="1" applyProtection="1">
      <alignment horizontal="center" shrinkToFit="1"/>
      <protection locked="0"/>
    </xf>
    <xf numFmtId="3" fontId="66" fillId="0" borderId="22" xfId="3" applyNumberFormat="1" applyFont="1" applyBorder="1" applyAlignment="1" applyProtection="1">
      <alignment horizontal="center" shrinkToFit="1"/>
      <protection locked="0"/>
    </xf>
    <xf numFmtId="181" fontId="18" fillId="0" borderId="0" xfId="12" applyNumberFormat="1" applyFont="1" applyBorder="1" applyAlignment="1" applyProtection="1">
      <alignment vertical="center"/>
    </xf>
    <xf numFmtId="181" fontId="19" fillId="20" borderId="0" xfId="0" applyNumberFormat="1" applyFont="1" applyFill="1" applyAlignment="1">
      <alignment shrinkToFit="1"/>
    </xf>
    <xf numFmtId="181" fontId="0" fillId="20" borderId="0" xfId="0" applyNumberFormat="1" applyFill="1" applyAlignment="1">
      <alignment shrinkToFit="1"/>
    </xf>
    <xf numFmtId="0" fontId="38" fillId="0" borderId="0" xfId="0" applyFont="1" applyFill="1"/>
    <xf numFmtId="0" fontId="15" fillId="0" borderId="17" xfId="12" applyFont="1" applyBorder="1" applyAlignment="1" applyProtection="1">
      <alignment horizontal="left" vertical="center"/>
    </xf>
    <xf numFmtId="41" fontId="14" fillId="0" borderId="0" xfId="0" applyNumberFormat="1" applyFont="1" applyAlignment="1">
      <alignment horizontal="right"/>
    </xf>
    <xf numFmtId="41" fontId="14" fillId="0" borderId="0" xfId="0" applyNumberFormat="1" applyFont="1" applyFill="1" applyAlignment="1">
      <alignment horizontal="right"/>
    </xf>
    <xf numFmtId="0" fontId="15" fillId="0" borderId="123" xfId="12" applyFont="1" applyFill="1" applyBorder="1" applyAlignment="1" applyProtection="1">
      <alignment vertical="center"/>
      <protection hidden="1"/>
    </xf>
    <xf numFmtId="0" fontId="16" fillId="0" borderId="0" xfId="12" applyFont="1" applyFill="1" applyBorder="1" applyAlignment="1" applyProtection="1">
      <alignment horizontal="left" vertical="center"/>
      <protection hidden="1"/>
    </xf>
    <xf numFmtId="0" fontId="15" fillId="0" borderId="0" xfId="12" applyFont="1" applyFill="1" applyBorder="1" applyAlignment="1" applyProtection="1">
      <alignment vertical="center"/>
    </xf>
    <xf numFmtId="0" fontId="66" fillId="0" borderId="0" xfId="0" applyFont="1" applyFill="1" applyAlignment="1" applyProtection="1">
      <alignment horizontal="left" vertical="center"/>
      <protection hidden="1"/>
    </xf>
    <xf numFmtId="0" fontId="61" fillId="0" borderId="0" xfId="0" applyFont="1" applyFill="1" applyBorder="1" applyAlignment="1" applyProtection="1">
      <alignment vertical="center"/>
    </xf>
    <xf numFmtId="0" fontId="59" fillId="0" borderId="0" xfId="0" applyFont="1" applyFill="1" applyBorder="1" applyAlignment="1" applyProtection="1">
      <alignment horizontal="left" vertical="top"/>
    </xf>
    <xf numFmtId="0" fontId="61" fillId="0" borderId="0" xfId="0" applyFont="1" applyFill="1" applyBorder="1" applyAlignment="1">
      <alignment horizontal="left" vertical="top"/>
    </xf>
    <xf numFmtId="0" fontId="64" fillId="0" borderId="0" xfId="0" applyFont="1" applyFill="1" applyBorder="1" applyAlignment="1" applyProtection="1">
      <alignment vertical="center"/>
    </xf>
    <xf numFmtId="0" fontId="69" fillId="0" borderId="0" xfId="0" applyFont="1" applyFill="1" applyBorder="1" applyAlignment="1" applyProtection="1">
      <alignment horizontal="right"/>
      <protection hidden="1"/>
    </xf>
    <xf numFmtId="0" fontId="66" fillId="0" borderId="0" xfId="0" applyFont="1" applyFill="1" applyAlignment="1" applyProtection="1">
      <alignment vertical="center"/>
    </xf>
    <xf numFmtId="0" fontId="68" fillId="0" borderId="20" xfId="0" applyFont="1" applyFill="1" applyBorder="1" applyAlignment="1" applyProtection="1">
      <alignment horizontal="left" vertical="center" indent="2"/>
    </xf>
    <xf numFmtId="0" fontId="68" fillId="0" borderId="2" xfId="0" applyNumberFormat="1" applyFont="1" applyFill="1" applyBorder="1" applyAlignment="1" applyProtection="1">
      <alignment horizontal="center" vertical="center" wrapText="1"/>
      <protection hidden="1"/>
    </xf>
    <xf numFmtId="0" fontId="61" fillId="0" borderId="0" xfId="0" applyFont="1" applyFill="1" applyProtection="1"/>
    <xf numFmtId="0" fontId="58" fillId="0" borderId="8" xfId="0" applyFont="1" applyFill="1" applyBorder="1" applyAlignment="1" applyProtection="1">
      <alignment horizontal="center" vertical="center" wrapText="1"/>
      <protection hidden="1"/>
    </xf>
    <xf numFmtId="0" fontId="68" fillId="0" borderId="0" xfId="10" applyFont="1" applyFill="1" applyAlignment="1" applyProtection="1">
      <alignment vertical="center"/>
      <protection hidden="1"/>
    </xf>
    <xf numFmtId="0" fontId="68" fillId="0" borderId="0" xfId="11" applyFont="1" applyFill="1" applyAlignment="1">
      <alignment vertical="center"/>
    </xf>
    <xf numFmtId="0" fontId="68" fillId="0" borderId="0" xfId="11" applyFont="1" applyFill="1" applyAlignment="1">
      <alignment horizontal="right" vertical="center"/>
    </xf>
    <xf numFmtId="0" fontId="68" fillId="0" borderId="0" xfId="0" applyFont="1" applyFill="1" applyBorder="1" applyAlignment="1" applyProtection="1">
      <alignment horizontal="left" vertical="center"/>
      <protection hidden="1"/>
    </xf>
    <xf numFmtId="0" fontId="68" fillId="0" borderId="0" xfId="10" applyFont="1" applyFill="1" applyAlignment="1">
      <alignment vertical="center"/>
    </xf>
    <xf numFmtId="0" fontId="59" fillId="0" borderId="0" xfId="0" applyFont="1" applyFill="1"/>
    <xf numFmtId="0" fontId="107" fillId="0" borderId="0" xfId="18" applyFont="1" applyFill="1"/>
    <xf numFmtId="0" fontId="143" fillId="0" borderId="0" xfId="18" applyFont="1"/>
    <xf numFmtId="0" fontId="107" fillId="0" borderId="0" xfId="18" applyFont="1" applyProtection="1"/>
    <xf numFmtId="0" fontId="9" fillId="0" borderId="0" xfId="19" applyFont="1" applyAlignment="1">
      <alignment vertical="center"/>
    </xf>
    <xf numFmtId="182" fontId="9" fillId="0" borderId="0" xfId="19" applyNumberFormat="1" applyAlignment="1">
      <alignment vertical="center"/>
    </xf>
    <xf numFmtId="0" fontId="9" fillId="0" borderId="0" xfId="19" applyAlignment="1">
      <alignment vertical="center"/>
    </xf>
    <xf numFmtId="0" fontId="9" fillId="0" borderId="0" xfId="19"/>
    <xf numFmtId="0" fontId="9" fillId="0" borderId="0" xfId="19" applyAlignment="1">
      <alignment horizontal="center" vertical="center" wrapText="1"/>
    </xf>
    <xf numFmtId="182" fontId="9" fillId="0" borderId="0" xfId="19" applyNumberFormat="1" applyAlignment="1">
      <alignment horizontal="center" vertical="center" wrapText="1"/>
    </xf>
    <xf numFmtId="0" fontId="9" fillId="0" borderId="0" xfId="19" applyAlignment="1">
      <alignment horizontal="center" vertical="top" wrapText="1"/>
    </xf>
    <xf numFmtId="182" fontId="9" fillId="0" borderId="0" xfId="19" applyNumberFormat="1" applyAlignment="1">
      <alignment horizontal="center" vertical="top" wrapText="1"/>
    </xf>
    <xf numFmtId="0" fontId="103" fillId="0" borderId="138" xfId="19" applyFont="1" applyBorder="1" applyAlignment="1">
      <alignment horizontal="left" vertical="top"/>
    </xf>
    <xf numFmtId="182" fontId="130" fillId="0" borderId="139" xfId="19" applyNumberFormat="1" applyFont="1" applyBorder="1" applyAlignment="1">
      <alignment horizontal="center" vertical="top"/>
    </xf>
    <xf numFmtId="0" fontId="130" fillId="0" borderId="139" xfId="19" applyFont="1" applyBorder="1" applyAlignment="1">
      <alignment horizontal="center" vertical="top"/>
    </xf>
    <xf numFmtId="0" fontId="130" fillId="0" borderId="140" xfId="19" applyFont="1" applyBorder="1" applyAlignment="1">
      <alignment horizontal="center" vertical="top"/>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182" fontId="131" fillId="0" borderId="0" xfId="19" applyNumberFormat="1"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129" fillId="22" borderId="154" xfId="19" applyFont="1" applyFill="1" applyBorder="1" applyAlignment="1">
      <alignment horizontal="center" vertical="center" wrapText="1"/>
    </xf>
    <xf numFmtId="182" fontId="129" fillId="22" borderId="154" xfId="19" applyNumberFormat="1" applyFont="1" applyFill="1" applyBorder="1" applyAlignment="1">
      <alignment horizontal="center" vertical="center" wrapText="1"/>
    </xf>
    <xf numFmtId="38" fontId="129" fillId="22" borderId="154" xfId="19" applyNumberFormat="1" applyFont="1" applyFill="1" applyBorder="1" applyAlignment="1">
      <alignment horizontal="center" vertical="center" wrapText="1"/>
    </xf>
    <xf numFmtId="0" fontId="131" fillId="20" borderId="155" xfId="19" applyFont="1" applyFill="1" applyBorder="1" applyAlignment="1" applyProtection="1">
      <alignment horizontal="left" vertical="top" wrapText="1"/>
    </xf>
    <xf numFmtId="0" fontId="131" fillId="20" borderId="155" xfId="19" applyFont="1" applyFill="1" applyBorder="1" applyAlignment="1" applyProtection="1">
      <alignment vertical="top"/>
    </xf>
    <xf numFmtId="38" fontId="131" fillId="20" borderId="155" xfId="19" applyNumberFormat="1" applyFont="1" applyFill="1" applyBorder="1" applyAlignment="1" applyProtection="1">
      <alignment horizontal="right" vertical="top"/>
    </xf>
    <xf numFmtId="38" fontId="131" fillId="20" borderId="155" xfId="19" applyNumberFormat="1" applyFont="1" applyFill="1" applyBorder="1" applyAlignment="1" applyProtection="1">
      <alignment vertical="top"/>
    </xf>
    <xf numFmtId="0" fontId="9" fillId="0" borderId="155" xfId="19" applyFont="1" applyBorder="1" applyAlignment="1" applyProtection="1">
      <alignment horizontal="left" vertical="top" wrapText="1"/>
      <protection locked="0"/>
    </xf>
    <xf numFmtId="0" fontId="9" fillId="0" borderId="155" xfId="19" applyFont="1" applyBorder="1" applyAlignment="1" applyProtection="1">
      <alignment vertical="top"/>
      <protection locked="0"/>
    </xf>
    <xf numFmtId="38" fontId="9" fillId="0" borderId="155" xfId="19" applyNumberFormat="1" applyBorder="1" applyAlignment="1" applyProtection="1">
      <alignment horizontal="right" vertical="top"/>
      <protection locked="0"/>
    </xf>
    <xf numFmtId="0" fontId="9" fillId="0" borderId="0" xfId="19" quotePrefix="1" applyNumberFormat="1" applyFont="1"/>
    <xf numFmtId="0" fontId="9" fillId="0" borderId="155" xfId="19" applyBorder="1" applyAlignment="1" applyProtection="1">
      <alignment horizontal="left" vertical="top" wrapText="1"/>
      <protection locked="0"/>
    </xf>
    <xf numFmtId="0" fontId="9" fillId="0" borderId="155" xfId="19" applyBorder="1" applyAlignment="1" applyProtection="1">
      <alignment vertical="top"/>
      <protection locked="0"/>
    </xf>
    <xf numFmtId="0" fontId="9" fillId="16" borderId="156" xfId="19" applyFill="1" applyBorder="1" applyAlignment="1" applyProtection="1">
      <alignment horizontal="left" vertical="top" wrapText="1"/>
    </xf>
    <xf numFmtId="0" fontId="9" fillId="16" borderId="156" xfId="19" applyFill="1" applyBorder="1" applyAlignment="1" applyProtection="1">
      <alignment vertical="top"/>
    </xf>
    <xf numFmtId="38" fontId="9" fillId="16" borderId="156" xfId="19" applyNumberFormat="1" applyFill="1" applyBorder="1" applyAlignment="1" applyProtection="1">
      <alignment horizontal="right" vertical="top"/>
    </xf>
    <xf numFmtId="38" fontId="9" fillId="16" borderId="156" xfId="19" applyNumberFormat="1" applyFont="1" applyFill="1" applyBorder="1" applyAlignment="1" applyProtection="1">
      <alignment horizontal="right" vertical="top"/>
    </xf>
    <xf numFmtId="38" fontId="9" fillId="16" borderId="156" xfId="19" applyNumberFormat="1" applyFill="1" applyBorder="1" applyAlignment="1" applyProtection="1">
      <alignment vertical="top"/>
    </xf>
    <xf numFmtId="0" fontId="9" fillId="0" borderId="0" xfId="19" applyAlignment="1">
      <alignment horizontal="left" vertical="top" wrapText="1"/>
    </xf>
    <xf numFmtId="182" fontId="9" fillId="0" borderId="0" xfId="19" applyNumberFormat="1" applyAlignment="1">
      <alignment vertical="top"/>
    </xf>
    <xf numFmtId="0" fontId="9" fillId="0" borderId="0" xfId="19" applyAlignment="1">
      <alignment vertical="top"/>
    </xf>
    <xf numFmtId="38" fontId="9" fillId="0" borderId="0" xfId="19" applyNumberFormat="1" applyAlignment="1">
      <alignment horizontal="right" vertical="top"/>
    </xf>
    <xf numFmtId="183" fontId="9" fillId="0" borderId="0" xfId="19" applyNumberFormat="1"/>
    <xf numFmtId="0" fontId="142" fillId="0" borderId="0" xfId="0" applyFont="1"/>
    <xf numFmtId="0" fontId="89" fillId="0" borderId="2" xfId="0" applyFont="1" applyBorder="1" applyAlignment="1">
      <alignment horizontal="left" wrapText="1"/>
    </xf>
    <xf numFmtId="0" fontId="144" fillId="0" borderId="96" xfId="19" applyFont="1" applyBorder="1" applyAlignment="1">
      <alignment vertical="top"/>
    </xf>
    <xf numFmtId="0" fontId="144" fillId="0" borderId="0" xfId="19" applyFont="1" applyBorder="1" applyAlignment="1">
      <alignment vertical="top"/>
    </xf>
    <xf numFmtId="41" fontId="53" fillId="11" borderId="110" xfId="0" applyNumberFormat="1" applyFont="1" applyFill="1" applyBorder="1" applyAlignment="1" applyProtection="1">
      <alignment horizontal="right" shrinkToFit="1"/>
      <protection locked="0"/>
    </xf>
    <xf numFmtId="41" fontId="53" fillId="10" borderId="0" xfId="0" applyNumberFormat="1" applyFont="1" applyFill="1" applyBorder="1" applyAlignment="1">
      <alignment horizontal="right" shrinkToFit="1"/>
    </xf>
    <xf numFmtId="38" fontId="9" fillId="16" borderId="155" xfId="19" applyNumberFormat="1" applyFill="1" applyBorder="1" applyAlignment="1" applyProtection="1">
      <alignment horizontal="right" vertical="top"/>
    </xf>
    <xf numFmtId="184" fontId="131" fillId="20" borderId="155" xfId="19" applyNumberFormat="1" applyFont="1" applyFill="1" applyBorder="1" applyAlignment="1" applyProtection="1">
      <alignment horizontal="center" vertical="top"/>
    </xf>
    <xf numFmtId="184" fontId="9" fillId="0" borderId="155" xfId="19" applyNumberFormat="1" applyFont="1" applyBorder="1" applyAlignment="1" applyProtection="1">
      <alignment horizontal="center" vertical="top"/>
      <protection locked="0"/>
    </xf>
    <xf numFmtId="184" fontId="9" fillId="0" borderId="155" xfId="19" applyNumberFormat="1" applyFont="1" applyBorder="1" applyAlignment="1" applyProtection="1">
      <alignment horizontal="center" vertical="center"/>
      <protection locked="0"/>
    </xf>
    <xf numFmtId="184" fontId="9" fillId="0" borderId="155" xfId="19" applyNumberFormat="1" applyBorder="1" applyAlignment="1" applyProtection="1">
      <alignment horizontal="center" vertical="center"/>
      <protection locked="0"/>
    </xf>
    <xf numFmtId="184" fontId="9" fillId="16" borderId="156" xfId="19" applyNumberFormat="1" applyFill="1" applyBorder="1" applyAlignment="1" applyProtection="1">
      <alignment vertical="top"/>
    </xf>
    <xf numFmtId="0" fontId="8" fillId="0" borderId="0" xfId="19" applyFont="1" applyAlignment="1">
      <alignment horizontal="left" vertical="center"/>
    </xf>
    <xf numFmtId="0" fontId="68" fillId="0" borderId="44" xfId="3" applyFont="1" applyFill="1" applyBorder="1" applyAlignment="1" applyProtection="1">
      <alignment horizontal="center"/>
      <protection hidden="1"/>
    </xf>
    <xf numFmtId="0" fontId="61" fillId="0" borderId="0" xfId="3" applyFont="1" applyFill="1" applyAlignment="1" applyProtection="1">
      <alignment horizontal="center"/>
    </xf>
    <xf numFmtId="0" fontId="68" fillId="0" borderId="142" xfId="3" applyFont="1" applyFill="1" applyBorder="1" applyAlignment="1" applyProtection="1">
      <alignment horizontal="centerContinuous"/>
    </xf>
    <xf numFmtId="169" fontId="68" fillId="0" borderId="0" xfId="3" applyNumberFormat="1" applyFont="1" applyFill="1" applyProtection="1">
      <protection hidden="1"/>
    </xf>
    <xf numFmtId="0" fontId="61" fillId="0" borderId="0" xfId="3" applyFont="1" applyFill="1" applyProtection="1">
      <protection hidden="1"/>
    </xf>
    <xf numFmtId="0" fontId="69" fillId="0" borderId="0" xfId="3" applyFont="1" applyFill="1" applyBorder="1" applyAlignment="1" applyProtection="1">
      <alignment horizontal="right"/>
      <protection hidden="1"/>
    </xf>
    <xf numFmtId="38" fontId="59" fillId="0" borderId="2"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5"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5" xfId="0" applyNumberFormat="1" applyFont="1" applyBorder="1" applyAlignment="1" applyProtection="1">
      <alignment horizontal="right"/>
      <protection locked="0"/>
    </xf>
    <xf numFmtId="38" fontId="59" fillId="0" borderId="14" xfId="0" applyNumberFormat="1" applyFont="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5"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0" fontId="61" fillId="0" borderId="0" xfId="3" applyFont="1" applyAlignment="1">
      <alignment horizontal="center" vertical="center"/>
    </xf>
    <xf numFmtId="0" fontId="6" fillId="0" borderId="0" xfId="3740"/>
    <xf numFmtId="0" fontId="104" fillId="0" borderId="178" xfId="3741" applyFont="1" applyBorder="1"/>
    <xf numFmtId="0" fontId="104" fillId="0" borderId="164" xfId="3741" applyFont="1" applyBorder="1"/>
    <xf numFmtId="0" fontId="104" fillId="0" borderId="179" xfId="3741" applyFont="1" applyBorder="1"/>
    <xf numFmtId="0" fontId="104" fillId="0" borderId="0" xfId="3741" applyFont="1"/>
    <xf numFmtId="0" fontId="104" fillId="0" borderId="181" xfId="3741" applyFont="1" applyBorder="1"/>
    <xf numFmtId="0" fontId="103" fillId="0" borderId="181" xfId="3741" applyFont="1" applyBorder="1"/>
    <xf numFmtId="0" fontId="104" fillId="0" borderId="180" xfId="3741" applyFont="1" applyBorder="1"/>
    <xf numFmtId="0" fontId="186" fillId="0" borderId="0" xfId="3741" applyFont="1"/>
    <xf numFmtId="38" fontId="69" fillId="16" borderId="182" xfId="3741" applyNumberFormat="1" applyFont="1" applyFill="1" applyBorder="1" applyAlignment="1">
      <alignment horizontal="center"/>
    </xf>
    <xf numFmtId="38" fontId="69" fillId="16" borderId="77" xfId="3741" applyNumberFormat="1" applyFont="1" applyFill="1" applyBorder="1" applyAlignment="1">
      <alignment horizontal="center"/>
    </xf>
    <xf numFmtId="38" fontId="69" fillId="66" borderId="77" xfId="3741" applyNumberFormat="1" applyFont="1" applyFill="1" applyBorder="1" applyAlignment="1">
      <alignment horizontal="center"/>
    </xf>
    <xf numFmtId="0" fontId="61" fillId="66" borderId="77" xfId="3741" applyFont="1" applyFill="1" applyBorder="1"/>
    <xf numFmtId="38" fontId="69" fillId="16" borderId="184" xfId="3741" applyNumberFormat="1" applyFont="1" applyFill="1" applyBorder="1" applyAlignment="1">
      <alignment horizontal="center" wrapText="1"/>
    </xf>
    <xf numFmtId="38" fontId="61" fillId="0" borderId="185" xfId="3741" applyNumberFormat="1" applyFont="1" applyBorder="1" applyAlignment="1" applyProtection="1">
      <alignment horizontal="center"/>
      <protection locked="0"/>
    </xf>
    <xf numFmtId="38" fontId="61" fillId="0" borderId="186" xfId="3741" applyNumberFormat="1" applyFont="1" applyBorder="1" applyAlignment="1" applyProtection="1">
      <alignment horizontal="center"/>
      <protection locked="0"/>
    </xf>
    <xf numFmtId="38" fontId="61" fillId="66" borderId="0" xfId="3741" applyNumberFormat="1" applyFont="1" applyFill="1" applyAlignment="1">
      <alignment horizontal="center"/>
    </xf>
    <xf numFmtId="0" fontId="61" fillId="0" borderId="185" xfId="3741" applyFont="1" applyBorder="1" applyAlignment="1">
      <alignment horizontal="center"/>
    </xf>
    <xf numFmtId="38" fontId="61" fillId="0" borderId="188" xfId="3741" applyNumberFormat="1" applyFont="1" applyBorder="1" applyAlignment="1" applyProtection="1">
      <alignment horizontal="center"/>
      <protection locked="0"/>
    </xf>
    <xf numFmtId="38" fontId="61" fillId="0" borderId="189" xfId="3741" applyNumberFormat="1" applyFont="1" applyBorder="1" applyAlignment="1" applyProtection="1">
      <alignment horizontal="center"/>
      <protection locked="0"/>
    </xf>
    <xf numFmtId="0" fontId="61" fillId="0" borderId="188" xfId="3741" applyFont="1" applyBorder="1" applyAlignment="1">
      <alignment horizontal="center"/>
    </xf>
    <xf numFmtId="38" fontId="61" fillId="0" borderId="191" xfId="3741" applyNumberFormat="1" applyFont="1" applyBorder="1" applyAlignment="1" applyProtection="1">
      <alignment horizontal="center"/>
      <protection locked="0"/>
    </xf>
    <xf numFmtId="38" fontId="61" fillId="0" borderId="192" xfId="3741" applyNumberFormat="1" applyFont="1" applyBorder="1" applyAlignment="1" applyProtection="1">
      <alignment horizontal="center"/>
      <protection locked="0"/>
    </xf>
    <xf numFmtId="38" fontId="69" fillId="67" borderId="193" xfId="3741" applyNumberFormat="1" applyFont="1" applyFill="1" applyBorder="1" applyAlignment="1" applyProtection="1">
      <alignment horizontal="center"/>
      <protection locked="0"/>
    </xf>
    <xf numFmtId="0" fontId="61" fillId="0" borderId="191" xfId="3741" applyFont="1" applyBorder="1" applyAlignment="1">
      <alignment horizontal="center"/>
    </xf>
    <xf numFmtId="0" fontId="105" fillId="0" borderId="182" xfId="3741" applyFont="1" applyBorder="1" applyAlignment="1">
      <alignment horizontal="center" wrapText="1"/>
    </xf>
    <xf numFmtId="0" fontId="105" fillId="0" borderId="77" xfId="3741" applyFont="1" applyBorder="1" applyAlignment="1">
      <alignment horizontal="center" wrapText="1"/>
    </xf>
    <xf numFmtId="0" fontId="61" fillId="66" borderId="77" xfId="3741" applyFont="1" applyFill="1" applyBorder="1" applyAlignment="1">
      <alignment horizontal="center"/>
    </xf>
    <xf numFmtId="0" fontId="61" fillId="0" borderId="180" xfId="3741" applyFont="1" applyBorder="1"/>
    <xf numFmtId="0" fontId="61" fillId="0" borderId="0" xfId="3741" applyFont="1"/>
    <xf numFmtId="0" fontId="61" fillId="0" borderId="181" xfId="3741" applyFont="1" applyBorder="1"/>
    <xf numFmtId="0" fontId="61" fillId="0" borderId="0" xfId="3" applyFont="1" applyAlignment="1">
      <alignment horizontal="right" vertical="center" indent="1"/>
    </xf>
    <xf numFmtId="0" fontId="187" fillId="0" borderId="181" xfId="3741" applyFont="1" applyBorder="1"/>
    <xf numFmtId="0" fontId="103" fillId="0" borderId="180" xfId="3741" applyFont="1" applyBorder="1" applyAlignment="1">
      <alignment wrapText="1"/>
    </xf>
    <xf numFmtId="0" fontId="103" fillId="0" borderId="0" xfId="3741" applyFont="1" applyAlignment="1">
      <alignment wrapText="1"/>
    </xf>
    <xf numFmtId="0" fontId="92" fillId="0" borderId="0" xfId="3741" applyFont="1"/>
    <xf numFmtId="0" fontId="61" fillId="0" borderId="180" xfId="3741" applyFont="1" applyBorder="1" applyAlignment="1">
      <alignment wrapText="1"/>
    </xf>
    <xf numFmtId="0" fontId="61" fillId="0" borderId="0" xfId="3741" applyFont="1" applyAlignment="1">
      <alignment wrapText="1"/>
    </xf>
    <xf numFmtId="0" fontId="61" fillId="0" borderId="181" xfId="3741" applyFont="1" applyBorder="1" applyAlignment="1">
      <alignment wrapText="1"/>
    </xf>
    <xf numFmtId="0" fontId="61" fillId="0" borderId="178" xfId="3" applyFont="1" applyBorder="1" applyAlignment="1">
      <alignment vertical="center"/>
    </xf>
    <xf numFmtId="0" fontId="61" fillId="0" borderId="164" xfId="3" applyFont="1" applyBorder="1" applyAlignment="1">
      <alignment vertical="center"/>
    </xf>
    <xf numFmtId="0" fontId="61" fillId="0" borderId="179" xfId="3" applyFont="1" applyBorder="1" applyAlignment="1">
      <alignment vertical="center"/>
    </xf>
    <xf numFmtId="0" fontId="61" fillId="0" borderId="180" xfId="3" applyFont="1" applyBorder="1" applyAlignment="1">
      <alignment vertical="center"/>
    </xf>
    <xf numFmtId="0" fontId="61" fillId="0" borderId="181" xfId="3" applyFont="1" applyBorder="1" applyAlignment="1">
      <alignment vertical="center"/>
    </xf>
    <xf numFmtId="0" fontId="61" fillId="0" borderId="0" xfId="3" quotePrefix="1" applyFont="1" applyAlignment="1" applyProtection="1">
      <alignment horizontal="left" vertical="top" wrapText="1" indent="2"/>
      <protection hidden="1"/>
    </xf>
    <xf numFmtId="0" fontId="69" fillId="0" borderId="22" xfId="3" applyFont="1" applyBorder="1" applyAlignment="1" applyProtection="1">
      <alignment horizontal="center" vertical="center"/>
      <protection locked="0"/>
    </xf>
    <xf numFmtId="0" fontId="84" fillId="0" borderId="0" xfId="3" applyFont="1" applyAlignment="1">
      <alignment horizontal="centerContinuous" vertical="center"/>
    </xf>
    <xf numFmtId="0" fontId="93" fillId="0" borderId="0" xfId="2" applyNumberFormat="1" applyFont="1" applyBorder="1" applyAlignment="1" applyProtection="1">
      <alignment horizontal="centerContinuous" vertical="center"/>
    </xf>
    <xf numFmtId="0" fontId="61" fillId="0" borderId="0" xfId="3" applyFont="1" applyAlignment="1">
      <alignment horizontal="left" vertical="center" indent="2"/>
    </xf>
    <xf numFmtId="0" fontId="61" fillId="0" borderId="0" xfId="3" applyFont="1" applyAlignment="1" applyProtection="1">
      <alignment horizontal="left" vertical="top" wrapText="1" indent="2"/>
      <protection hidden="1"/>
    </xf>
    <xf numFmtId="0" fontId="69" fillId="0" borderId="0" xfId="3" applyFont="1" applyAlignment="1">
      <alignment vertical="center"/>
    </xf>
    <xf numFmtId="0" fontId="83" fillId="0" borderId="0" xfId="3" applyFont="1" applyAlignment="1">
      <alignment vertical="center"/>
    </xf>
    <xf numFmtId="0" fontId="84" fillId="0" borderId="0" xfId="3" applyFont="1" applyAlignment="1">
      <alignment horizontal="center" vertical="center" wrapText="1"/>
    </xf>
    <xf numFmtId="0" fontId="61" fillId="0" borderId="0" xfId="3" applyFont="1" applyAlignment="1">
      <alignment horizontal="center" wrapText="1"/>
    </xf>
    <xf numFmtId="0" fontId="69" fillId="0" borderId="0" xfId="3" applyFont="1" applyAlignment="1">
      <alignment horizontal="right"/>
    </xf>
    <xf numFmtId="0" fontId="61" fillId="0" borderId="0" xfId="3" applyFont="1" applyAlignment="1">
      <alignment horizontal="right" vertical="center"/>
    </xf>
    <xf numFmtId="0" fontId="84" fillId="0" borderId="0" xfId="3" applyFont="1"/>
    <xf numFmtId="0" fontId="84" fillId="0" borderId="131" xfId="3" applyFont="1" applyBorder="1" applyAlignment="1">
      <alignment horizontal="center"/>
    </xf>
    <xf numFmtId="0" fontId="84" fillId="0" borderId="0" xfId="3" applyFont="1" applyAlignment="1">
      <alignment vertical="center" wrapText="1"/>
    </xf>
    <xf numFmtId="0" fontId="61" fillId="0" borderId="131" xfId="3" applyFont="1" applyBorder="1" applyAlignment="1">
      <alignment vertical="center"/>
    </xf>
    <xf numFmtId="0" fontId="84" fillId="0" borderId="131" xfId="3" applyFont="1" applyBorder="1" applyAlignment="1">
      <alignment horizontal="center" vertical="center"/>
    </xf>
    <xf numFmtId="171" fontId="61" fillId="0" borderId="0" xfId="3" applyNumberFormat="1" applyFont="1" applyAlignment="1">
      <alignment horizontal="center"/>
    </xf>
    <xf numFmtId="0" fontId="84" fillId="0" borderId="181" xfId="3" applyFont="1" applyBorder="1" applyAlignment="1">
      <alignment vertical="center"/>
    </xf>
    <xf numFmtId="0" fontId="61" fillId="0" borderId="0" xfId="3" applyFont="1" applyAlignment="1" applyProtection="1">
      <alignment vertical="center"/>
      <protection hidden="1"/>
    </xf>
    <xf numFmtId="0" fontId="61" fillId="0" borderId="0" xfId="3" applyFont="1" applyAlignment="1" applyProtection="1">
      <alignment horizontal="right" vertical="center"/>
      <protection hidden="1"/>
    </xf>
    <xf numFmtId="0" fontId="61" fillId="0" borderId="181" xfId="3" applyFont="1" applyBorder="1" applyAlignment="1" applyProtection="1">
      <alignment vertical="center"/>
      <protection hidden="1"/>
    </xf>
    <xf numFmtId="0" fontId="69" fillId="0" borderId="181" xfId="3" applyFont="1" applyBorder="1" applyAlignment="1">
      <alignment vertical="center"/>
    </xf>
    <xf numFmtId="9" fontId="61" fillId="0" borderId="0" xfId="3" applyNumberFormat="1" applyFont="1" applyAlignment="1">
      <alignment horizontal="center" vertical="center" shrinkToFit="1"/>
    </xf>
    <xf numFmtId="0" fontId="61" fillId="0" borderId="0" xfId="3" applyFont="1" applyAlignment="1">
      <alignment vertical="center" shrinkToFit="1"/>
    </xf>
    <xf numFmtId="0" fontId="61" fillId="0" borderId="181" xfId="3" applyFont="1" applyBorder="1" applyAlignment="1">
      <alignment horizontal="right" vertical="center"/>
    </xf>
    <xf numFmtId="9" fontId="61" fillId="16" borderId="125" xfId="3" applyNumberFormat="1" applyFont="1" applyFill="1" applyBorder="1" applyAlignment="1">
      <alignment horizontal="center" vertical="center" shrinkToFit="1"/>
    </xf>
    <xf numFmtId="0" fontId="61" fillId="15" borderId="125" xfId="3" applyFont="1" applyFill="1" applyBorder="1" applyAlignment="1">
      <alignment vertical="center" shrinkToFit="1"/>
    </xf>
    <xf numFmtId="164" fontId="69" fillId="0" borderId="202" xfId="3" applyNumberFormat="1" applyFont="1" applyBorder="1" applyAlignment="1">
      <alignment horizontal="right" vertical="center"/>
    </xf>
    <xf numFmtId="38" fontId="61" fillId="16" borderId="27" xfId="3" applyNumberFormat="1" applyFont="1" applyFill="1" applyBorder="1" applyAlignment="1">
      <alignment vertical="center" shrinkToFit="1"/>
    </xf>
    <xf numFmtId="0" fontId="61" fillId="0" borderId="14" xfId="3" applyFont="1" applyBorder="1" applyAlignment="1">
      <alignment horizontal="center" vertical="center"/>
    </xf>
    <xf numFmtId="0" fontId="69" fillId="0" borderId="21" xfId="3" applyFont="1" applyBorder="1" applyAlignment="1">
      <alignment horizontal="left" vertical="center"/>
    </xf>
    <xf numFmtId="38" fontId="61" fillId="16" borderId="2" xfId="3" applyNumberFormat="1" applyFont="1" applyFill="1" applyBorder="1" applyAlignment="1">
      <alignment vertical="center" shrinkToFit="1"/>
    </xf>
    <xf numFmtId="38" fontId="61" fillId="0" borderId="2" xfId="3" applyNumberFormat="1" applyFont="1" applyBorder="1" applyAlignment="1" applyProtection="1">
      <alignment vertical="center" shrinkToFit="1"/>
      <protection locked="0"/>
    </xf>
    <xf numFmtId="164" fontId="69" fillId="0" borderId="202" xfId="3" applyNumberFormat="1" applyFont="1" applyBorder="1" applyAlignment="1">
      <alignment vertical="top"/>
    </xf>
    <xf numFmtId="0" fontId="61" fillId="15" borderId="2" xfId="3" applyFont="1" applyFill="1" applyBorder="1" applyAlignment="1">
      <alignment vertical="center" shrinkToFit="1"/>
    </xf>
    <xf numFmtId="38" fontId="61" fillId="16" borderId="2" xfId="3" applyNumberFormat="1" applyFont="1" applyFill="1" applyBorder="1" applyAlignment="1" applyProtection="1">
      <alignment vertical="center" shrinkToFit="1"/>
      <protection locked="0"/>
    </xf>
    <xf numFmtId="38" fontId="61" fillId="67" borderId="2" xfId="3" applyNumberFormat="1" applyFont="1" applyFill="1" applyBorder="1" applyAlignment="1" applyProtection="1">
      <alignment vertical="center" shrinkToFit="1"/>
      <protection locked="0"/>
    </xf>
    <xf numFmtId="0" fontId="61" fillId="0" borderId="2" xfId="3" applyFont="1" applyBorder="1" applyAlignment="1">
      <alignment horizontal="left" vertical="center" indent="1"/>
    </xf>
    <xf numFmtId="0" fontId="61" fillId="0" borderId="14" xfId="3" applyFont="1" applyBorder="1" applyAlignment="1">
      <alignment horizontal="left" vertical="center"/>
    </xf>
    <xf numFmtId="0" fontId="61" fillId="0" borderId="21" xfId="3" applyFont="1" applyBorder="1" applyAlignment="1">
      <alignment horizontal="left" vertical="center"/>
    </xf>
    <xf numFmtId="0" fontId="61" fillId="0" borderId="2" xfId="3" applyFont="1" applyBorder="1" applyAlignment="1">
      <alignment horizontal="left" vertical="top" indent="1"/>
    </xf>
    <xf numFmtId="0" fontId="69" fillId="0" borderId="125" xfId="3" applyFont="1" applyBorder="1" applyAlignment="1">
      <alignment horizontal="center" vertical="center"/>
    </xf>
    <xf numFmtId="0" fontId="69" fillId="0" borderId="125" xfId="3741" applyFont="1" applyBorder="1" applyAlignment="1">
      <alignment horizontal="center" vertical="center" wrapText="1"/>
    </xf>
    <xf numFmtId="0" fontId="69" fillId="0" borderId="125" xfId="3" applyFont="1" applyBorder="1" applyAlignment="1">
      <alignment horizontal="center" vertical="center" wrapText="1"/>
    </xf>
    <xf numFmtId="0" fontId="69" fillId="0" borderId="3" xfId="3" applyFont="1" applyBorder="1" applyAlignment="1">
      <alignment horizontal="center" vertical="center"/>
    </xf>
    <xf numFmtId="0" fontId="69" fillId="0" borderId="3" xfId="3741" quotePrefix="1" applyFont="1" applyBorder="1" applyAlignment="1">
      <alignment horizontal="center" vertical="center"/>
    </xf>
    <xf numFmtId="0" fontId="61" fillId="0" borderId="3" xfId="3" applyFont="1" applyBorder="1" applyAlignment="1">
      <alignment horizontal="center" vertical="center"/>
    </xf>
    <xf numFmtId="0" fontId="69" fillId="0" borderId="10" xfId="3" applyFont="1" applyBorder="1" applyAlignment="1">
      <alignment horizontal="center" vertical="center"/>
    </xf>
    <xf numFmtId="0" fontId="61" fillId="0" borderId="26" xfId="3" applyFont="1" applyBorder="1" applyAlignment="1">
      <alignment vertical="center"/>
    </xf>
    <xf numFmtId="0" fontId="61" fillId="0" borderId="10" xfId="3" applyFont="1" applyBorder="1" applyAlignment="1" applyProtection="1">
      <alignment horizontal="centerContinuous" vertical="center"/>
      <protection hidden="1"/>
    </xf>
    <xf numFmtId="0" fontId="61" fillId="0" borderId="16" xfId="3" applyFont="1" applyBorder="1" applyAlignment="1" applyProtection="1">
      <alignment horizontal="centerContinuous" vertical="center"/>
      <protection hidden="1"/>
    </xf>
    <xf numFmtId="0" fontId="69" fillId="0" borderId="3" xfId="3" applyFont="1" applyBorder="1" applyAlignment="1" applyProtection="1">
      <alignment horizontal="centerContinuous" vertical="center"/>
      <protection hidden="1"/>
    </xf>
    <xf numFmtId="0" fontId="69" fillId="0" borderId="12" xfId="3" applyFont="1" applyBorder="1" applyAlignment="1" applyProtection="1">
      <alignment horizontal="centerContinuous" vertical="center"/>
      <protection hidden="1"/>
    </xf>
    <xf numFmtId="0" fontId="61" fillId="0" borderId="3" xfId="3" applyFont="1" applyBorder="1" applyAlignment="1">
      <alignment vertical="center"/>
    </xf>
    <xf numFmtId="0" fontId="61" fillId="0" borderId="16" xfId="3" applyFont="1" applyBorder="1" applyAlignment="1">
      <alignment vertical="center"/>
    </xf>
    <xf numFmtId="0" fontId="61" fillId="0" borderId="204" xfId="3" applyFont="1" applyBorder="1" applyAlignment="1">
      <alignment vertical="center"/>
    </xf>
    <xf numFmtId="0" fontId="61" fillId="0" borderId="126" xfId="3" applyFont="1" applyBorder="1" applyAlignment="1">
      <alignment vertical="center"/>
    </xf>
    <xf numFmtId="0" fontId="61" fillId="0" borderId="123" xfId="3" applyFont="1" applyBorder="1" applyAlignment="1">
      <alignment vertical="center"/>
    </xf>
    <xf numFmtId="0" fontId="61" fillId="22" borderId="124" xfId="3" applyFont="1" applyFill="1" applyBorder="1" applyAlignment="1">
      <alignment vertical="center"/>
    </xf>
    <xf numFmtId="0" fontId="61" fillId="22" borderId="126" xfId="3" applyFont="1" applyFill="1" applyBorder="1" applyAlignment="1">
      <alignment vertical="center"/>
    </xf>
    <xf numFmtId="0" fontId="61" fillId="22" borderId="203" xfId="3" applyFont="1" applyFill="1" applyBorder="1" applyAlignment="1">
      <alignment vertical="center"/>
    </xf>
    <xf numFmtId="0" fontId="61" fillId="0" borderId="17" xfId="3" applyFont="1" applyBorder="1" applyAlignment="1">
      <alignment vertical="center"/>
    </xf>
    <xf numFmtId="0" fontId="61" fillId="0" borderId="17" xfId="3" applyFont="1" applyBorder="1" applyAlignment="1">
      <alignment horizontal="center" vertical="center"/>
    </xf>
    <xf numFmtId="0" fontId="69" fillId="22" borderId="204" xfId="3" applyFont="1" applyFill="1" applyBorder="1" applyAlignment="1">
      <alignment horizontal="left"/>
    </xf>
    <xf numFmtId="0" fontId="69" fillId="0" borderId="0" xfId="3" applyFont="1" applyAlignment="1">
      <alignment horizontal="left" vertical="center"/>
    </xf>
    <xf numFmtId="0" fontId="61" fillId="0" borderId="196" xfId="3" applyFont="1" applyBorder="1" applyAlignment="1">
      <alignment vertical="center"/>
    </xf>
    <xf numFmtId="0" fontId="61" fillId="0" borderId="172" xfId="3" applyFont="1" applyBorder="1" applyAlignment="1">
      <alignment vertical="center"/>
    </xf>
    <xf numFmtId="0" fontId="69" fillId="0" borderId="172" xfId="3" applyFont="1" applyBorder="1" applyAlignment="1">
      <alignment horizontal="left" vertical="center"/>
    </xf>
    <xf numFmtId="0" fontId="69" fillId="0" borderId="172" xfId="3" applyFont="1" applyBorder="1" applyAlignment="1">
      <alignment horizontal="center" vertical="center"/>
    </xf>
    <xf numFmtId="0" fontId="61" fillId="0" borderId="205" xfId="3" applyFont="1" applyBorder="1" applyAlignment="1">
      <alignment vertical="center"/>
    </xf>
    <xf numFmtId="3" fontId="66" fillId="0" borderId="45" xfId="3" applyNumberFormat="1" applyFont="1" applyBorder="1" applyAlignment="1" applyProtection="1">
      <alignment horizontal="center" shrinkToFit="1"/>
      <protection locked="0"/>
    </xf>
    <xf numFmtId="3" fontId="66" fillId="0" borderId="44" xfId="3" applyNumberFormat="1" applyFont="1" applyBorder="1" applyAlignment="1" applyProtection="1">
      <alignment horizontal="center" shrinkToFit="1"/>
      <protection locked="0"/>
    </xf>
    <xf numFmtId="3" fontId="66" fillId="0" borderId="77" xfId="3" applyNumberFormat="1" applyFont="1" applyBorder="1" applyAlignment="1" applyProtection="1">
      <alignment horizontal="center"/>
      <protection locked="0"/>
    </xf>
    <xf numFmtId="0" fontId="61" fillId="0" borderId="0" xfId="3" applyFont="1" applyProtection="1"/>
    <xf numFmtId="0" fontId="66" fillId="0" borderId="0" xfId="3" applyFont="1" applyBorder="1" applyAlignment="1" applyProtection="1">
      <alignment horizontal="center"/>
    </xf>
    <xf numFmtId="0" fontId="66" fillId="0" borderId="0" xfId="3" applyFont="1" applyBorder="1" applyProtection="1"/>
    <xf numFmtId="0" fontId="61" fillId="0" borderId="0" xfId="3" applyFont="1" applyAlignment="1" applyProtection="1">
      <alignment horizontal="center"/>
    </xf>
    <xf numFmtId="0" fontId="58" fillId="0" borderId="0" xfId="3" applyFont="1" applyProtection="1"/>
    <xf numFmtId="0" fontId="58" fillId="0" borderId="0" xfId="3" applyFont="1" applyFill="1" applyProtection="1"/>
    <xf numFmtId="0" fontId="61" fillId="0" borderId="0" xfId="3" applyFont="1" applyFill="1" applyProtection="1"/>
    <xf numFmtId="0" fontId="59" fillId="0" borderId="0" xfId="3" applyFont="1" applyProtection="1"/>
    <xf numFmtId="0" fontId="61" fillId="0" borderId="78" xfId="3" applyFont="1" applyBorder="1" applyProtection="1"/>
    <xf numFmtId="0" fontId="66" fillId="0" borderId="0" xfId="3" applyFont="1" applyProtection="1"/>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3" xfId="3" applyNumberFormat="1" applyFont="1" applyBorder="1" applyAlignment="1" applyProtection="1">
      <alignment horizontal="center"/>
    </xf>
    <xf numFmtId="0" fontId="68" fillId="0" borderId="142" xfId="3" applyFont="1" applyBorder="1" applyAlignment="1" applyProtection="1">
      <alignment horizontal="centerContinuous"/>
    </xf>
    <xf numFmtId="0" fontId="68" fillId="0" borderId="143"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43"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20" borderId="72" xfId="3" applyFont="1" applyFill="1" applyBorder="1" applyAlignment="1" applyProtection="1">
      <alignment horizontal="center"/>
    </xf>
    <xf numFmtId="0" fontId="68" fillId="21" borderId="72" xfId="3" applyFont="1" applyFill="1" applyBorder="1" applyAlignment="1" applyProtection="1">
      <alignment horizontal="center"/>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20" borderId="70" xfId="3" applyFont="1" applyFill="1" applyBorder="1" applyAlignment="1" applyProtection="1">
      <alignment horizontal="center"/>
    </xf>
    <xf numFmtId="0" fontId="68" fillId="5" borderId="70" xfId="3" applyFont="1" applyFill="1" applyBorder="1" applyAlignment="1" applyProtection="1">
      <alignment horizontal="center"/>
    </xf>
    <xf numFmtId="0" fontId="68" fillId="21" borderId="70" xfId="3" applyFont="1" applyFill="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0" fontId="61" fillId="0" borderId="0" xfId="3" applyFont="1" applyAlignment="1" applyProtection="1">
      <alignment textRotation="180" wrapText="1"/>
    </xf>
    <xf numFmtId="169" fontId="66" fillId="0" borderId="0" xfId="3" applyNumberFormat="1" applyFont="1" applyBorder="1" applyProtection="1"/>
    <xf numFmtId="1" fontId="66" fillId="0" borderId="0" xfId="3" applyNumberFormat="1" applyFont="1" applyBorder="1" applyProtection="1"/>
    <xf numFmtId="0" fontId="58" fillId="20" borderId="0" xfId="3" applyFont="1" applyFill="1" applyProtection="1"/>
    <xf numFmtId="169" fontId="61" fillId="20" borderId="0" xfId="3" applyNumberFormat="1" applyFont="1" applyFill="1" applyProtection="1"/>
    <xf numFmtId="1" fontId="61" fillId="20" borderId="0" xfId="3" applyNumberFormat="1" applyFont="1" applyFill="1" applyProtection="1"/>
    <xf numFmtId="0" fontId="61" fillId="20" borderId="0" xfId="3" applyFont="1" applyFill="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0" fontId="68" fillId="0" borderId="5" xfId="3" applyFont="1" applyFill="1" applyBorder="1" applyAlignment="1" applyProtection="1"/>
    <xf numFmtId="0" fontId="68" fillId="20" borderId="44" xfId="3" applyFont="1" applyFill="1" applyBorder="1" applyAlignment="1" applyProtection="1">
      <alignment horizontal="center"/>
      <protection hidden="1"/>
    </xf>
    <xf numFmtId="0" fontId="68" fillId="21" borderId="44" xfId="3" applyFont="1" applyFill="1" applyBorder="1" applyAlignment="1" applyProtection="1">
      <alignment horizontal="center"/>
      <protection hidden="1"/>
    </xf>
    <xf numFmtId="169" fontId="66" fillId="0" borderId="8" xfId="3" applyNumberFormat="1" applyFont="1" applyBorder="1" applyAlignment="1" applyProtection="1">
      <alignment horizontal="center" shrinkToFit="1"/>
      <protection locked="0"/>
    </xf>
    <xf numFmtId="1" fontId="66" fillId="0" borderId="8" xfId="3" applyNumberFormat="1" applyFont="1" applyBorder="1" applyAlignment="1" applyProtection="1">
      <alignment horizontal="center" shrinkToFit="1"/>
      <protection locked="0"/>
    </xf>
    <xf numFmtId="3" fontId="66" fillId="0" borderId="8" xfId="3" applyNumberFormat="1" applyFont="1" applyBorder="1" applyAlignment="1" applyProtection="1">
      <alignment horizontal="center" shrinkToFit="1"/>
      <protection locked="0"/>
    </xf>
    <xf numFmtId="169" fontId="66" fillId="0" borderId="22" xfId="3" applyNumberFormat="1" applyFont="1" applyBorder="1" applyAlignment="1" applyProtection="1">
      <alignment horizontal="center" shrinkToFit="1"/>
      <protection locked="0"/>
    </xf>
    <xf numFmtId="1" fontId="66" fillId="0" borderId="22" xfId="3" applyNumberFormat="1" applyFont="1" applyBorder="1" applyAlignment="1" applyProtection="1">
      <alignment horizontal="center" shrinkToFit="1"/>
      <protection locked="0"/>
    </xf>
    <xf numFmtId="3" fontId="66" fillId="0" borderId="22" xfId="3" applyNumberFormat="1" applyFont="1" applyBorder="1" applyAlignment="1" applyProtection="1">
      <alignment horizontal="center" shrinkToFit="1"/>
      <protection locked="0"/>
    </xf>
    <xf numFmtId="0" fontId="68" fillId="0" borderId="44" xfId="3" applyFont="1" applyFill="1" applyBorder="1" applyAlignment="1" applyProtection="1">
      <alignment horizontal="center"/>
      <protection hidden="1"/>
    </xf>
    <xf numFmtId="0" fontId="61" fillId="0" borderId="0" xfId="3" applyFont="1" applyFill="1" applyAlignment="1" applyProtection="1">
      <alignment horizontal="center"/>
    </xf>
    <xf numFmtId="0" fontId="68" fillId="0" borderId="142" xfId="3" applyFont="1" applyFill="1" applyBorder="1" applyAlignment="1" applyProtection="1">
      <alignment horizontal="centerContinuous"/>
    </xf>
    <xf numFmtId="3" fontId="66" fillId="0" borderId="22" xfId="3" applyNumberFormat="1" applyFont="1" applyBorder="1" applyAlignment="1" applyProtection="1">
      <alignment horizontal="left" vertical="center" wrapText="1"/>
      <protection locked="0"/>
    </xf>
    <xf numFmtId="169" fontId="66" fillId="0" borderId="22" xfId="3" applyNumberFormat="1" applyFont="1" applyBorder="1" applyAlignment="1" applyProtection="1">
      <alignment horizontal="center" shrinkToFit="1"/>
      <protection locked="0"/>
    </xf>
    <xf numFmtId="1" fontId="66" fillId="0" borderId="22" xfId="3" applyNumberFormat="1" applyFont="1" applyBorder="1" applyAlignment="1" applyProtection="1">
      <alignment horizontal="center" shrinkToFit="1"/>
      <protection locked="0"/>
    </xf>
    <xf numFmtId="3" fontId="66" fillId="0" borderId="22" xfId="3" applyNumberFormat="1" applyFont="1" applyBorder="1" applyAlignment="1" applyProtection="1">
      <alignment horizontal="center" shrinkToFit="1"/>
      <protection locked="0"/>
    </xf>
    <xf numFmtId="3" fontId="66" fillId="0" borderId="22" xfId="3" applyNumberFormat="1" applyFont="1" applyFill="1" applyBorder="1" applyAlignment="1" applyProtection="1">
      <alignment horizontal="center" shrinkToFit="1"/>
      <protection locked="0"/>
    </xf>
    <xf numFmtId="169" fontId="66" fillId="0" borderId="22" xfId="3" applyNumberFormat="1" applyFont="1" applyBorder="1" applyAlignment="1" applyProtection="1">
      <alignment horizontal="center" shrinkToFit="1"/>
      <protection locked="0"/>
    </xf>
    <xf numFmtId="1" fontId="66" fillId="0" borderId="22" xfId="3" applyNumberFormat="1" applyFont="1" applyBorder="1" applyAlignment="1" applyProtection="1">
      <alignment horizontal="center" shrinkToFit="1"/>
      <protection locked="0"/>
    </xf>
    <xf numFmtId="3" fontId="66" fillId="0" borderId="22" xfId="3" applyNumberFormat="1" applyFont="1" applyBorder="1" applyAlignment="1" applyProtection="1">
      <alignment horizontal="center" shrinkToFit="1"/>
      <protection locked="0"/>
    </xf>
    <xf numFmtId="3" fontId="66" fillId="0" borderId="22" xfId="3" applyNumberFormat="1" applyFont="1" applyBorder="1" applyAlignment="1" applyProtection="1">
      <alignment horizontal="center" shrinkToFit="1"/>
      <protection locked="0"/>
    </xf>
    <xf numFmtId="3" fontId="66" fillId="0" borderId="22" xfId="3" applyNumberFormat="1" applyFont="1" applyFill="1" applyBorder="1" applyAlignment="1" applyProtection="1">
      <alignment horizontal="center" shrinkToFit="1"/>
      <protection locked="0"/>
    </xf>
    <xf numFmtId="0" fontId="61" fillId="0" borderId="0" xfId="3" applyFont="1" applyProtection="1"/>
    <xf numFmtId="0" fontId="66" fillId="0" borderId="0" xfId="3" applyFont="1" applyBorder="1" applyAlignment="1" applyProtection="1">
      <alignment horizontal="center"/>
    </xf>
    <xf numFmtId="0" fontId="66" fillId="0" borderId="0" xfId="3" applyFont="1" applyBorder="1" applyProtection="1"/>
    <xf numFmtId="0" fontId="61" fillId="0" borderId="0" xfId="3" applyFont="1" applyAlignment="1" applyProtection="1">
      <alignment horizontal="center"/>
    </xf>
    <xf numFmtId="0" fontId="58" fillId="0" borderId="0" xfId="3" applyFont="1" applyProtection="1"/>
    <xf numFmtId="0" fontId="58" fillId="0" borderId="0" xfId="3" applyFont="1" applyFill="1" applyProtection="1"/>
    <xf numFmtId="0" fontId="61" fillId="0" borderId="0" xfId="3" applyFont="1" applyFill="1" applyProtection="1"/>
    <xf numFmtId="0" fontId="59" fillId="0" borderId="0" xfId="3" applyFont="1" applyProtection="1"/>
    <xf numFmtId="0" fontId="61" fillId="0" borderId="78" xfId="3" applyFont="1" applyBorder="1" applyProtection="1"/>
    <xf numFmtId="0" fontId="66" fillId="0" borderId="0" xfId="3" applyFont="1" applyProtection="1"/>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3" xfId="3" applyNumberFormat="1" applyFont="1" applyBorder="1" applyAlignment="1" applyProtection="1">
      <alignment horizontal="center"/>
    </xf>
    <xf numFmtId="0" fontId="68" fillId="0" borderId="142" xfId="3" applyFont="1" applyBorder="1" applyAlignment="1" applyProtection="1">
      <alignment horizontal="centerContinuous"/>
    </xf>
    <xf numFmtId="0" fontId="68" fillId="0" borderId="143"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43"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20" borderId="72" xfId="3" applyFont="1" applyFill="1" applyBorder="1" applyAlignment="1" applyProtection="1">
      <alignment horizontal="center"/>
    </xf>
    <xf numFmtId="0" fontId="68" fillId="21" borderId="72" xfId="3" applyFont="1" applyFill="1" applyBorder="1" applyAlignment="1" applyProtection="1">
      <alignment horizontal="center"/>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20" borderId="70" xfId="3" applyFont="1" applyFill="1" applyBorder="1" applyAlignment="1" applyProtection="1">
      <alignment horizontal="center"/>
    </xf>
    <xf numFmtId="0" fontId="68" fillId="5" borderId="70" xfId="3" applyFont="1" applyFill="1" applyBorder="1" applyAlignment="1" applyProtection="1">
      <alignment horizontal="center"/>
    </xf>
    <xf numFmtId="0" fontId="68" fillId="21" borderId="70" xfId="3" applyFont="1" applyFill="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0" fontId="61" fillId="0" borderId="0" xfId="3" applyFont="1" applyAlignment="1" applyProtection="1">
      <alignment textRotation="180" wrapText="1"/>
    </xf>
    <xf numFmtId="169" fontId="66" fillId="0" borderId="0" xfId="3" applyNumberFormat="1" applyFont="1" applyBorder="1" applyProtection="1"/>
    <xf numFmtId="1" fontId="66" fillId="0" borderId="0" xfId="3" applyNumberFormat="1" applyFont="1" applyBorder="1" applyProtection="1"/>
    <xf numFmtId="0" fontId="58" fillId="20" borderId="0" xfId="3" applyFont="1" applyFill="1" applyProtection="1"/>
    <xf numFmtId="169" fontId="61" fillId="20" borderId="0" xfId="3" applyNumberFormat="1" applyFont="1" applyFill="1" applyProtection="1"/>
    <xf numFmtId="1" fontId="61" fillId="20" borderId="0" xfId="3" applyNumberFormat="1" applyFont="1" applyFill="1" applyProtection="1"/>
    <xf numFmtId="0" fontId="61" fillId="20" borderId="0" xfId="3" applyFont="1" applyFill="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0" fontId="68" fillId="0" borderId="5" xfId="3" applyFont="1" applyFill="1" applyBorder="1" applyAlignment="1" applyProtection="1"/>
    <xf numFmtId="0" fontId="68" fillId="20" borderId="44" xfId="3" applyFont="1" applyFill="1" applyBorder="1" applyAlignment="1" applyProtection="1">
      <alignment horizontal="center"/>
      <protection hidden="1"/>
    </xf>
    <xf numFmtId="0" fontId="68" fillId="21" borderId="44" xfId="3" applyFont="1" applyFill="1" applyBorder="1" applyAlignment="1" applyProtection="1">
      <alignment horizontal="center"/>
      <protection hidden="1"/>
    </xf>
    <xf numFmtId="3" fontId="66" fillId="0" borderId="8" xfId="3" applyNumberFormat="1" applyFont="1" applyBorder="1" applyAlignment="1" applyProtection="1">
      <alignment horizontal="center" shrinkToFit="1"/>
      <protection locked="0"/>
    </xf>
    <xf numFmtId="3" fontId="66" fillId="0" borderId="22" xfId="3" applyNumberFormat="1" applyFont="1" applyBorder="1" applyAlignment="1" applyProtection="1">
      <alignment horizontal="center" shrinkToFit="1"/>
      <protection locked="0"/>
    </xf>
    <xf numFmtId="0" fontId="68" fillId="0" borderId="44" xfId="3" applyFont="1" applyFill="1" applyBorder="1" applyAlignment="1" applyProtection="1">
      <alignment horizontal="center"/>
      <protection hidden="1"/>
    </xf>
    <xf numFmtId="0" fontId="61" fillId="0" borderId="0" xfId="3" applyFont="1" applyFill="1" applyAlignment="1" applyProtection="1">
      <alignment horizontal="center"/>
    </xf>
    <xf numFmtId="0" fontId="68" fillId="0" borderId="142" xfId="3" applyFont="1" applyFill="1" applyBorder="1" applyAlignment="1" applyProtection="1">
      <alignment horizontal="centerContinuous"/>
    </xf>
    <xf numFmtId="3" fontId="66" fillId="0" borderId="22" xfId="3" applyNumberFormat="1" applyFont="1" applyFill="1" applyBorder="1" applyAlignment="1" applyProtection="1">
      <alignment horizontal="center" shrinkToFit="1"/>
      <protection locked="0"/>
    </xf>
    <xf numFmtId="3" fontId="66" fillId="0" borderId="22" xfId="3" applyNumberFormat="1" applyFont="1" applyBorder="1" applyAlignment="1" applyProtection="1">
      <alignment horizontal="left" vertical="center" wrapText="1"/>
      <protection locked="0"/>
    </xf>
    <xf numFmtId="3" fontId="66" fillId="0" borderId="22" xfId="3" applyNumberFormat="1" applyFont="1" applyFill="1" applyBorder="1" applyAlignment="1" applyProtection="1">
      <alignment horizontal="left" vertical="center" wrapText="1"/>
      <protection locked="0"/>
    </xf>
    <xf numFmtId="169" fontId="66" fillId="0" borderId="22" xfId="3" applyNumberFormat="1" applyFont="1" applyBorder="1" applyAlignment="1" applyProtection="1">
      <alignment horizontal="center" shrinkToFit="1"/>
      <protection locked="0"/>
    </xf>
    <xf numFmtId="169" fontId="66" fillId="0" borderId="22" xfId="3" applyNumberFormat="1" applyFont="1" applyFill="1" applyBorder="1" applyAlignment="1" applyProtection="1">
      <alignment horizontal="center" shrinkToFit="1"/>
      <protection locked="0"/>
    </xf>
    <xf numFmtId="1" fontId="66" fillId="0" borderId="22" xfId="3" applyNumberFormat="1" applyFont="1" applyBorder="1" applyAlignment="1" applyProtection="1">
      <alignment horizontal="center" shrinkToFit="1"/>
      <protection locked="0"/>
    </xf>
    <xf numFmtId="1" fontId="66" fillId="0" borderId="22" xfId="3" applyNumberFormat="1" applyFont="1" applyFill="1" applyBorder="1" applyAlignment="1" applyProtection="1">
      <alignment horizontal="center" shrinkToFit="1"/>
      <protection locked="0"/>
    </xf>
    <xf numFmtId="3" fontId="66" fillId="0" borderId="22" xfId="3" applyNumberFormat="1" applyFont="1" applyBorder="1" applyAlignment="1" applyProtection="1">
      <alignment horizontal="center" shrinkToFit="1"/>
      <protection locked="0"/>
    </xf>
    <xf numFmtId="3" fontId="66" fillId="0" borderId="22" xfId="3" applyNumberFormat="1" applyFont="1" applyFill="1" applyBorder="1" applyAlignment="1" applyProtection="1">
      <alignment horizontal="center" shrinkToFit="1"/>
      <protection locked="0"/>
    </xf>
    <xf numFmtId="3" fontId="66" fillId="0" borderId="22" xfId="3" applyNumberFormat="1" applyFont="1" applyBorder="1" applyAlignment="1" applyProtection="1">
      <alignment horizontal="center" shrinkToFit="1"/>
      <protection locked="0"/>
    </xf>
    <xf numFmtId="3" fontId="66" fillId="0" borderId="22" xfId="3" applyNumberFormat="1" applyFont="1" applyFill="1" applyBorder="1" applyAlignment="1" applyProtection="1">
      <alignment horizontal="center" shrinkToFit="1"/>
      <protection locked="0"/>
    </xf>
    <xf numFmtId="0" fontId="24" fillId="0" borderId="2" xfId="12" applyNumberFormat="1" applyFont="1" applyBorder="1" applyAlignment="1" applyProtection="1">
      <alignment horizontal="center" vertical="center"/>
      <protection locked="0"/>
    </xf>
    <xf numFmtId="3" fontId="66" fillId="0" borderId="22" xfId="3" applyNumberFormat="1" applyFont="1" applyBorder="1" applyAlignment="1" applyProtection="1">
      <alignment horizontal="center" shrinkToFit="1"/>
      <protection locked="0"/>
    </xf>
    <xf numFmtId="3" fontId="66" fillId="0" borderId="22" xfId="3" applyNumberFormat="1" applyFont="1" applyFill="1" applyBorder="1" applyAlignment="1" applyProtection="1">
      <alignment horizontal="center" shrinkToFit="1"/>
      <protection locked="0"/>
    </xf>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3" fontId="59" fillId="0" borderId="2" xfId="9" applyNumberFormat="1" applyFont="1" applyFill="1" applyBorder="1" applyAlignment="1" applyProtection="1">
      <alignment horizontal="right" vertical="center"/>
      <protection locked="0"/>
    </xf>
    <xf numFmtId="0" fontId="3" fillId="0" borderId="155" xfId="4618" applyBorder="1" applyAlignment="1" applyProtection="1">
      <alignment horizontal="left" vertical="top" wrapText="1"/>
      <protection locked="0"/>
    </xf>
    <xf numFmtId="184" fontId="3" fillId="0" borderId="155" xfId="4618" applyNumberFormat="1" applyBorder="1" applyAlignment="1" applyProtection="1">
      <alignment horizontal="center" vertical="top"/>
      <protection locked="0"/>
    </xf>
    <xf numFmtId="0" fontId="3" fillId="0" borderId="155" xfId="4618" applyBorder="1" applyAlignment="1" applyProtection="1">
      <alignment vertical="top"/>
      <protection locked="0"/>
    </xf>
    <xf numFmtId="38" fontId="3" fillId="0" borderId="155" xfId="4618" applyNumberFormat="1" applyBorder="1" applyAlignment="1" applyProtection="1">
      <alignment horizontal="right" vertical="top"/>
      <protection locked="0"/>
    </xf>
    <xf numFmtId="49" fontId="135" fillId="0" borderId="105" xfId="4619" applyNumberFormat="1" applyFont="1" applyBorder="1" applyAlignment="1" applyProtection="1">
      <alignment horizontal="center" vertical="center"/>
      <protection locked="0"/>
    </xf>
    <xf numFmtId="0" fontId="104" fillId="0" borderId="105" xfId="4619" applyFont="1" applyBorder="1" applyProtection="1">
      <protection locked="0"/>
    </xf>
    <xf numFmtId="49" fontId="135" fillId="0" borderId="107" xfId="4619" applyNumberFormat="1" applyFont="1" applyBorder="1" applyAlignment="1" applyProtection="1">
      <alignment horizontal="center" vertical="center"/>
      <protection locked="0"/>
    </xf>
    <xf numFmtId="38" fontId="61" fillId="0" borderId="2" xfId="3" applyNumberFormat="1" applyFont="1" applyBorder="1" applyAlignment="1" applyProtection="1">
      <alignment vertical="center" shrinkToFit="1"/>
      <protection locked="0"/>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18"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8"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7" fillId="0" borderId="19" xfId="2" applyNumberForma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indent="1"/>
      <protection locked="0"/>
    </xf>
    <xf numFmtId="0" fontId="48" fillId="0" borderId="20" xfId="2" applyFont="1" applyBorder="1" applyAlignment="1" applyProtection="1">
      <alignment horizontal="left" vertical="center" indent="1"/>
      <protection locked="0"/>
    </xf>
    <xf numFmtId="0" fontId="25" fillId="0" borderId="20" xfId="0" applyFont="1" applyBorder="1" applyAlignment="1" applyProtection="1">
      <alignment horizontal="left" vertical="center" indent="1"/>
      <protection locked="0"/>
    </xf>
    <xf numFmtId="0" fontId="25" fillId="0" borderId="11"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137" fillId="0" borderId="124" xfId="12" applyFont="1" applyBorder="1" applyAlignment="1" applyProtection="1">
      <alignment horizontal="center" vertical="center" wrapText="1"/>
    </xf>
    <xf numFmtId="0" fontId="18" fillId="0" borderId="20" xfId="12" applyFont="1" applyBorder="1" applyAlignment="1" applyProtection="1">
      <alignment vertical="center"/>
    </xf>
    <xf numFmtId="180" fontId="17" fillId="0" borderId="19" xfId="12" applyNumberFormat="1"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7" fillId="0" borderId="17" xfId="12" applyNumberFormat="1" applyFont="1" applyBorder="1" applyAlignment="1" applyProtection="1">
      <alignment horizontal="left" vertical="center" indent="1"/>
      <protection locked="0"/>
    </xf>
    <xf numFmtId="0" fontId="17" fillId="0" borderId="0" xfId="0" applyNumberFormat="1"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0" fontId="0" fillId="0" borderId="0" xfId="0" applyBorder="1" applyAlignment="1">
      <alignment horizontal="center" vertical="center"/>
    </xf>
    <xf numFmtId="49" fontId="17" fillId="0" borderId="0" xfId="12" applyNumberFormat="1" applyFont="1" applyBorder="1" applyAlignment="1" applyProtection="1">
      <alignment horizontal="center" vertical="center"/>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17" fillId="0" borderId="18" xfId="0" applyFont="1" applyBorder="1" applyAlignment="1" applyProtection="1">
      <alignment horizontal="left" vertical="center" indent="1"/>
      <protection locked="0"/>
    </xf>
    <xf numFmtId="174" fontId="17" fillId="0" borderId="17" xfId="12" applyNumberFormat="1" applyFont="1" applyBorder="1" applyAlignment="1" applyProtection="1">
      <alignment horizontal="left" vertical="center" indent="1"/>
      <protection locked="0"/>
    </xf>
    <xf numFmtId="174" fontId="17" fillId="0" borderId="0" xfId="0" applyNumberFormat="1" applyFont="1" applyBorder="1" applyAlignment="1" applyProtection="1">
      <alignment horizontal="left" vertical="center" indent="1"/>
      <protection locked="0"/>
    </xf>
    <xf numFmtId="174" fontId="17" fillId="0" borderId="18" xfId="0"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indent="1"/>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7" fillId="0" borderId="19" xfId="12" applyNumberFormat="1" applyFont="1" applyBorder="1" applyAlignment="1" applyProtection="1">
      <alignment horizontal="left" vertical="center"/>
      <protection locked="0"/>
    </xf>
    <xf numFmtId="0" fontId="18" fillId="0" borderId="20" xfId="0" applyFont="1" applyBorder="1" applyAlignment="1" applyProtection="1">
      <alignment vertical="center"/>
      <protection locked="0"/>
    </xf>
    <xf numFmtId="0" fontId="18" fillId="0" borderId="11" xfId="0" applyFont="1" applyBorder="1" applyAlignment="1" applyProtection="1">
      <alignment vertical="center"/>
      <protection locked="0"/>
    </xf>
    <xf numFmtId="0" fontId="17" fillId="0" borderId="134" xfId="12" applyFont="1" applyBorder="1" applyAlignment="1" applyProtection="1">
      <alignment horizontal="left" vertical="center" indent="1"/>
      <protection locked="0"/>
    </xf>
    <xf numFmtId="0" fontId="17" fillId="0" borderId="124"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6"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8" fillId="0" borderId="16" xfId="12" applyNumberFormat="1" applyFont="1" applyFill="1" applyBorder="1" applyAlignment="1" applyProtection="1">
      <alignment horizontal="left" vertical="center" shrinkToFit="1"/>
      <protection hidden="1"/>
    </xf>
    <xf numFmtId="181" fontId="18" fillId="0" borderId="10" xfId="12" applyNumberFormat="1" applyFont="1" applyFill="1" applyBorder="1" applyAlignment="1" applyProtection="1">
      <alignment horizontal="left" vertical="center" shrinkToFit="1"/>
      <protection hidden="1"/>
    </xf>
    <xf numFmtId="181" fontId="18" fillId="0" borderId="0" xfId="12" applyNumberFormat="1" applyFont="1" applyFill="1" applyBorder="1" applyAlignment="1" applyProtection="1">
      <alignment horizontal="left" vertical="center" shrinkToFit="1"/>
      <protection hidden="1"/>
    </xf>
    <xf numFmtId="181" fontId="18" fillId="0" borderId="18" xfId="12" applyNumberFormat="1" applyFont="1" applyFill="1" applyBorder="1" applyAlignment="1" applyProtection="1">
      <alignment horizontal="left" vertical="center" shrinkToFit="1"/>
      <protection hidden="1"/>
    </xf>
    <xf numFmtId="0" fontId="37" fillId="0" borderId="19" xfId="2" applyBorder="1" applyAlignment="1" applyProtection="1">
      <protection locked="0"/>
    </xf>
    <xf numFmtId="0" fontId="23" fillId="0" borderId="20" xfId="0" applyFont="1" applyBorder="1" applyProtection="1">
      <protection locked="0"/>
    </xf>
    <xf numFmtId="0" fontId="23" fillId="0" borderId="11" xfId="0" applyFont="1" applyBorder="1" applyProtection="1">
      <protection locked="0"/>
    </xf>
    <xf numFmtId="0" fontId="17" fillId="0" borderId="0" xfId="0" applyFont="1" applyBorder="1" applyAlignment="1" applyProtection="1">
      <alignment horizontal="left" vertical="center" indent="1"/>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protection locked="0"/>
    </xf>
    <xf numFmtId="14" fontId="17" fillId="0" borderId="123" xfId="12" applyNumberFormat="1" applyFont="1" applyBorder="1" applyAlignment="1" applyProtection="1">
      <alignment horizontal="left" vertical="center" indent="1"/>
      <protection locked="0"/>
    </xf>
    <xf numFmtId="0" fontId="17" fillId="0" borderId="126" xfId="12" applyNumberFormat="1" applyFont="1" applyBorder="1" applyAlignment="1" applyProtection="1">
      <alignment horizontal="left" vertical="center" indent="1"/>
      <protection locked="0"/>
    </xf>
    <xf numFmtId="0" fontId="17" fillId="0" borderId="124" xfId="12" applyNumberFormat="1" applyFont="1" applyBorder="1" applyAlignment="1" applyProtection="1">
      <alignment horizontal="left" vertical="center" indent="1"/>
      <protection locked="0"/>
    </xf>
    <xf numFmtId="180" fontId="17" fillId="0" borderId="123" xfId="12" applyNumberFormat="1" applyFont="1" applyBorder="1" applyAlignment="1" applyProtection="1">
      <alignment horizontal="left" vertical="center" indent="1"/>
      <protection locked="0"/>
    </xf>
    <xf numFmtId="180" fontId="17" fillId="0" borderId="126" xfId="12" applyNumberFormat="1" applyFont="1" applyBorder="1" applyAlignment="1" applyProtection="1">
      <alignment horizontal="left" vertical="center" indent="1"/>
      <protection locked="0"/>
    </xf>
    <xf numFmtId="180" fontId="17" fillId="0" borderId="124" xfId="12" applyNumberFormat="1"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58" fillId="0" borderId="0" xfId="0" applyFont="1" applyBorder="1" applyAlignment="1">
      <alignment horizontal="center" vertical="center"/>
    </xf>
    <xf numFmtId="0" fontId="58" fillId="0" borderId="0" xfId="0" applyFont="1" applyBorder="1" applyAlignment="1">
      <alignment horizontal="center"/>
    </xf>
    <xf numFmtId="0" fontId="37" fillId="0" borderId="0" xfId="2"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3" xfId="3" applyFont="1" applyBorder="1" applyAlignment="1" applyProtection="1">
      <alignment horizontal="left" vertical="top"/>
      <protection locked="0"/>
    </xf>
    <xf numFmtId="0" fontId="59" fillId="0" borderId="126" xfId="3" applyFont="1" applyBorder="1" applyAlignment="1" applyProtection="1">
      <alignment horizontal="left" vertical="top"/>
      <protection locked="0"/>
    </xf>
    <xf numFmtId="0" fontId="59" fillId="0" borderId="124" xfId="3" applyFont="1" applyBorder="1" applyAlignment="1" applyProtection="1">
      <alignment horizontal="left" vertical="top"/>
      <protection locked="0"/>
    </xf>
    <xf numFmtId="0" fontId="58" fillId="0" borderId="132"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4"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3" xfId="0" applyFont="1" applyBorder="1" applyAlignment="1" applyProtection="1">
      <alignment horizontal="left" vertical="top" wrapText="1"/>
      <protection locked="0"/>
    </xf>
    <xf numFmtId="0" fontId="59" fillId="0" borderId="126" xfId="0" applyFont="1" applyBorder="1" applyAlignment="1" applyProtection="1">
      <alignment horizontal="left" vertical="top" wrapText="1"/>
      <protection locked="0"/>
    </xf>
    <xf numFmtId="0" fontId="59" fillId="0" borderId="124" xfId="0" applyFont="1" applyBorder="1" applyAlignment="1" applyProtection="1">
      <alignment horizontal="left" vertical="top" wrapText="1"/>
      <protection locked="0"/>
    </xf>
    <xf numFmtId="0" fontId="82" fillId="11" borderId="118" xfId="0" applyFont="1" applyFill="1" applyBorder="1" applyAlignment="1">
      <alignment horizontal="center" vertical="center" shrinkToFit="1"/>
    </xf>
    <xf numFmtId="0" fontId="82" fillId="11" borderId="163" xfId="0" applyFont="1" applyFill="1" applyBorder="1" applyAlignment="1">
      <alignment horizontal="center" vertical="center" shrinkToFit="1"/>
    </xf>
    <xf numFmtId="0" fontId="66" fillId="13" borderId="117" xfId="0" applyFont="1" applyFill="1" applyBorder="1" applyAlignment="1" applyProtection="1">
      <alignment horizontal="center" vertical="center" shrinkToFit="1"/>
    </xf>
    <xf numFmtId="0" fontId="66" fillId="13" borderId="110" xfId="0" applyFont="1" applyFill="1" applyBorder="1" applyAlignment="1" applyProtection="1">
      <alignment horizontal="center" vertical="center" shrinkToFit="1"/>
    </xf>
    <xf numFmtId="0" fontId="66" fillId="13" borderId="103" xfId="0" applyFont="1" applyFill="1" applyBorder="1" applyAlignment="1" applyProtection="1">
      <alignment horizontal="center" vertical="center" shrinkToFit="1"/>
    </xf>
    <xf numFmtId="0" fontId="64" fillId="0" borderId="0" xfId="0" applyFont="1" applyBorder="1" applyAlignment="1" applyProtection="1">
      <alignment horizontal="center" vertical="center"/>
    </xf>
    <xf numFmtId="38" fontId="58" fillId="0" borderId="79" xfId="0" applyNumberFormat="1" applyFont="1" applyBorder="1" applyAlignment="1" applyProtection="1">
      <alignment horizontal="left" vertical="top"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0" xfId="0" applyFont="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58" fillId="0" borderId="86"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4" xfId="0" applyFont="1" applyFill="1" applyBorder="1" applyAlignment="1" applyProtection="1">
      <alignment horizontal="center" vertical="center" wrapText="1"/>
    </xf>
    <xf numFmtId="3" fontId="68" fillId="22" borderId="13" xfId="0" applyNumberFormat="1" applyFont="1" applyFill="1" applyBorder="1" applyAlignment="1" applyProtection="1">
      <alignment horizontal="left" vertical="center"/>
    </xf>
    <xf numFmtId="3" fontId="68" fillId="22" borderId="14" xfId="0" applyNumberFormat="1" applyFont="1" applyFill="1" applyBorder="1" applyAlignment="1" applyProtection="1">
      <alignment horizontal="left" vertical="center"/>
    </xf>
    <xf numFmtId="164" fontId="68" fillId="22" borderId="49" xfId="0" applyNumberFormat="1" applyFont="1" applyFill="1" applyBorder="1" applyAlignment="1" applyProtection="1">
      <alignment horizontal="left" vertical="center"/>
    </xf>
    <xf numFmtId="164" fontId="68" fillId="22" borderId="31" xfId="0" applyNumberFormat="1" applyFont="1" applyFill="1" applyBorder="1" applyAlignment="1" applyProtection="1">
      <alignment horizontal="left" vertical="center"/>
    </xf>
    <xf numFmtId="0" fontId="68" fillId="22" borderId="34" xfId="0" applyFont="1" applyFill="1" applyBorder="1" applyAlignment="1" applyProtection="1">
      <alignment horizontal="left" vertical="center"/>
    </xf>
    <xf numFmtId="0" fontId="68" fillId="22" borderId="31" xfId="0" applyFont="1" applyFill="1" applyBorder="1" applyAlignment="1" applyProtection="1">
      <alignment horizontal="left" vertical="center"/>
    </xf>
    <xf numFmtId="164" fontId="68" fillId="22" borderId="13" xfId="0" applyNumberFormat="1" applyFont="1" applyFill="1" applyBorder="1" applyAlignment="1" applyProtection="1">
      <alignment horizontal="left" vertical="center"/>
    </xf>
    <xf numFmtId="164" fontId="68" fillId="22"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protection hidden="1"/>
    </xf>
    <xf numFmtId="0" fontId="68" fillId="16" borderId="30" xfId="0" applyFont="1" applyFill="1" applyBorder="1" applyAlignment="1" applyProtection="1">
      <alignment horizontal="left" vertical="center" indent="2"/>
      <protection hidden="1"/>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4"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4" borderId="13" xfId="0" applyNumberFormat="1" applyFont="1" applyFill="1" applyBorder="1" applyAlignment="1" applyProtection="1">
      <alignment horizontal="left" vertical="center" wrapText="1" indent="1"/>
    </xf>
    <xf numFmtId="164" fontId="68" fillId="24"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2" borderId="13" xfId="0" applyNumberFormat="1" applyFont="1" applyFill="1" applyBorder="1" applyAlignment="1" applyProtection="1">
      <alignment horizontal="left" vertical="center"/>
    </xf>
    <xf numFmtId="49" fontId="68" fillId="22" borderId="14" xfId="0" applyNumberFormat="1" applyFont="1" applyFill="1" applyBorder="1" applyAlignment="1" applyProtection="1">
      <alignment horizontal="left" vertical="center"/>
    </xf>
    <xf numFmtId="0" fontId="68" fillId="22" borderId="13" xfId="0" applyFont="1" applyFill="1" applyBorder="1" applyAlignment="1" applyProtection="1">
      <alignment vertical="center"/>
    </xf>
    <xf numFmtId="0" fontId="68" fillId="22"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0" borderId="18" xfId="0" applyNumberFormat="1" applyFont="1" applyBorder="1" applyAlignment="1" applyProtection="1">
      <alignment horizontal="center" vertical="center" wrapText="1"/>
    </xf>
    <xf numFmtId="0" fontId="69" fillId="22" borderId="19" xfId="0" applyFont="1" applyFill="1" applyBorder="1" applyAlignment="1">
      <alignment horizontal="center" vertical="center"/>
    </xf>
    <xf numFmtId="0" fontId="61" fillId="22" borderId="11" xfId="0" applyFont="1" applyFill="1" applyBorder="1" applyAlignment="1">
      <alignment horizontal="center" vertical="center"/>
    </xf>
    <xf numFmtId="0" fontId="69" fillId="23" borderId="20" xfId="0" applyFont="1" applyFill="1" applyBorder="1" applyAlignment="1">
      <alignment horizontal="center" vertical="center"/>
    </xf>
    <xf numFmtId="0" fontId="69" fillId="23" borderId="11" xfId="0" applyFont="1" applyFill="1" applyBorder="1" applyAlignment="1">
      <alignment horizontal="center" vertical="center"/>
    </xf>
    <xf numFmtId="0" fontId="61" fillId="23" borderId="11" xfId="0" applyFont="1" applyFill="1" applyBorder="1" applyAlignment="1">
      <alignment horizontal="center" vertical="center"/>
    </xf>
    <xf numFmtId="0" fontId="69" fillId="22" borderId="107" xfId="0" applyFont="1" applyFill="1" applyBorder="1" applyAlignment="1">
      <alignment horizontal="center" vertical="center"/>
    </xf>
    <xf numFmtId="0" fontId="61" fillId="22" borderId="129" xfId="0" applyFont="1" applyFill="1" applyBorder="1" applyAlignment="1">
      <alignment horizontal="center" vertical="center"/>
    </xf>
    <xf numFmtId="0" fontId="69" fillId="22"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2" borderId="20" xfId="0" applyFont="1" applyFill="1" applyBorder="1" applyAlignment="1">
      <alignment horizontal="center" vertical="center" wrapText="1"/>
    </xf>
    <xf numFmtId="0" fontId="61" fillId="22" borderId="11" xfId="0" applyFont="1" applyFill="1" applyBorder="1" applyAlignment="1">
      <alignment horizontal="center" vertical="center" wrapText="1"/>
    </xf>
    <xf numFmtId="3" fontId="69" fillId="22" borderId="13" xfId="0" applyNumberFormat="1" applyFont="1" applyFill="1" applyBorder="1" applyAlignment="1">
      <alignment horizontal="center" vertical="center"/>
    </xf>
    <xf numFmtId="0" fontId="61" fillId="22" borderId="14" xfId="0" applyFont="1" applyFill="1" applyBorder="1" applyAlignment="1">
      <alignment horizontal="center" vertical="center"/>
    </xf>
    <xf numFmtId="0" fontId="69" fillId="22" borderId="21" xfId="0" applyFont="1" applyFill="1" applyBorder="1" applyAlignment="1">
      <alignment horizontal="center" vertical="center"/>
    </xf>
    <xf numFmtId="3" fontId="68" fillId="15" borderId="10" xfId="0" applyNumberFormat="1" applyFont="1" applyFill="1" applyBorder="1" applyAlignment="1" applyProtection="1">
      <alignment horizontal="center" vertical="center" wrapText="1"/>
    </xf>
    <xf numFmtId="3" fontId="68" fillId="15" borderId="124" xfId="0" applyNumberFormat="1" applyFont="1" applyFill="1" applyBorder="1" applyAlignment="1" applyProtection="1">
      <alignment horizontal="center" vertical="center" wrapText="1"/>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0" fontId="69" fillId="12" borderId="13" xfId="9" applyFont="1" applyFill="1" applyBorder="1" applyAlignment="1">
      <alignment horizontal="center" vertical="center"/>
    </xf>
    <xf numFmtId="0" fontId="61" fillId="12" borderId="14" xfId="0" applyFont="1" applyFill="1" applyBorder="1" applyAlignment="1">
      <alignment horizontal="center" vertical="center"/>
    </xf>
    <xf numFmtId="0" fontId="68" fillId="6" borderId="13" xfId="0" applyFont="1" applyFill="1" applyBorder="1" applyAlignment="1" applyProtection="1">
      <alignment horizontal="left" vertical="center" wrapText="1"/>
    </xf>
    <xf numFmtId="49" fontId="69" fillId="12" borderId="13" xfId="0" applyNumberFormat="1" applyFont="1" applyFill="1" applyBorder="1" applyAlignment="1" applyProtection="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5" xfId="0" applyFont="1" applyBorder="1" applyAlignment="1" applyProtection="1">
      <alignment horizontal="left" vertical="center" wrapText="1" indent="1"/>
    </xf>
    <xf numFmtId="0" fontId="66" fillId="0" borderId="146" xfId="0" applyFont="1" applyBorder="1" applyAlignment="1" applyProtection="1">
      <alignment horizontal="left" vertical="center" wrapText="1" inden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Fill="1" applyBorder="1" applyAlignment="1" applyProtection="1">
      <alignment horizontal="left" vertical="center" wrapText="1"/>
      <protection hidden="1"/>
    </xf>
    <xf numFmtId="0" fontId="68" fillId="0" borderId="6" xfId="0" applyFont="1" applyFill="1" applyBorder="1" applyAlignment="1" applyProtection="1">
      <alignment horizontal="left" vertical="center" wrapText="1"/>
      <protection hidden="1"/>
    </xf>
    <xf numFmtId="0" fontId="61" fillId="0" borderId="6" xfId="0" applyFont="1" applyFill="1" applyBorder="1" applyAlignment="1" applyProtection="1">
      <alignment wrapText="1"/>
      <protection hidden="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8" fillId="6" borderId="88" xfId="0" applyFont="1" applyFill="1" applyBorder="1" applyAlignment="1" applyProtection="1">
      <alignment horizontal="left" vertical="center" wrapText="1"/>
    </xf>
    <xf numFmtId="0" fontId="61" fillId="0" borderId="88" xfId="0" applyFont="1" applyBorder="1" applyAlignment="1">
      <alignment wrapTex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5"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protection hidden="1"/>
    </xf>
    <xf numFmtId="0" fontId="68" fillId="16" borderId="145" xfId="0" applyFont="1" applyFill="1" applyBorder="1" applyAlignment="1" applyProtection="1">
      <alignment horizontal="left" vertical="center" indent="1"/>
      <protection hidden="1"/>
    </xf>
    <xf numFmtId="0" fontId="68" fillId="3" borderId="145" xfId="0" applyFont="1" applyFill="1" applyBorder="1" applyAlignment="1" applyProtection="1">
      <alignment horizontal="left" vertical="center"/>
    </xf>
    <xf numFmtId="0" fontId="68" fillId="3" borderId="146" xfId="0" applyFont="1" applyFill="1" applyBorder="1" applyAlignment="1" applyProtection="1">
      <alignment horizontal="left" vertical="center"/>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2" borderId="144" xfId="0" applyFont="1" applyFill="1" applyBorder="1" applyAlignment="1" applyProtection="1">
      <alignment horizontal="left" vertical="center" indent="1"/>
    </xf>
    <xf numFmtId="0" fontId="69" fillId="22" borderId="145" xfId="0" applyFont="1" applyFill="1" applyBorder="1" applyAlignment="1" applyProtection="1">
      <alignment horizontal="left" vertical="center" indent="1"/>
    </xf>
    <xf numFmtId="0" fontId="69" fillId="22" borderId="146" xfId="0" applyFont="1" applyFill="1" applyBorder="1" applyAlignment="1" applyProtection="1">
      <alignment horizontal="left" vertical="center" indent="1"/>
    </xf>
    <xf numFmtId="0" fontId="72" fillId="6" borderId="89" xfId="10" applyFont="1" applyFill="1" applyBorder="1" applyAlignment="1">
      <alignment horizontal="center" vertical="center"/>
    </xf>
    <xf numFmtId="0" fontId="102" fillId="0" borderId="90" xfId="0" applyFont="1" applyBorder="1" applyAlignment="1">
      <alignment horizontal="center" vertical="center"/>
    </xf>
    <xf numFmtId="0" fontId="102" fillId="0" borderId="91" xfId="0" applyFont="1" applyBorder="1" applyAlignment="1">
      <alignment horizontal="center" vertical="center"/>
    </xf>
    <xf numFmtId="0" fontId="69" fillId="22" borderId="92" xfId="10" applyFont="1" applyFill="1" applyBorder="1" applyAlignment="1" applyProtection="1">
      <alignment horizontal="center" vertical="center" wrapText="1"/>
      <protection hidden="1"/>
    </xf>
    <xf numFmtId="0" fontId="69" fillId="22" borderId="25" xfId="0" applyFont="1" applyFill="1" applyBorder="1" applyAlignment="1" applyProtection="1">
      <alignment horizontal="center" vertical="center" wrapText="1"/>
      <protection hidden="1"/>
    </xf>
    <xf numFmtId="0" fontId="69" fillId="22" borderId="93" xfId="0" applyFont="1" applyFill="1" applyBorder="1" applyAlignment="1" applyProtection="1">
      <alignment horizontal="center" vertical="center" wrapText="1"/>
      <protection hidden="1"/>
    </xf>
    <xf numFmtId="0" fontId="133" fillId="22" borderId="94" xfId="10" applyFont="1" applyFill="1" applyBorder="1" applyAlignment="1">
      <alignment horizontal="center" vertical="center"/>
    </xf>
    <xf numFmtId="0" fontId="59" fillId="22" borderId="47" xfId="0" applyFont="1" applyFill="1" applyBorder="1" applyAlignment="1">
      <alignment horizontal="center" vertical="center"/>
    </xf>
    <xf numFmtId="0" fontId="59" fillId="22" borderId="95" xfId="0" applyFont="1" applyFill="1" applyBorder="1" applyAlignment="1">
      <alignment horizontal="center" vertical="center"/>
    </xf>
    <xf numFmtId="0" fontId="84" fillId="0" borderId="74" xfId="10" applyFont="1" applyBorder="1" applyAlignment="1">
      <alignment horizontal="center"/>
    </xf>
    <xf numFmtId="0" fontId="61" fillId="0" borderId="74" xfId="0" applyFont="1" applyBorder="1" applyAlignment="1">
      <alignment horizontal="center"/>
    </xf>
    <xf numFmtId="0" fontId="131" fillId="0" borderId="96" xfId="19" applyFont="1" applyFill="1" applyBorder="1" applyAlignment="1" applyProtection="1">
      <alignment horizontal="left" vertical="top" wrapText="1"/>
      <protection hidden="1"/>
    </xf>
    <xf numFmtId="0" fontId="131" fillId="0" borderId="0" xfId="19" applyFont="1" applyFill="1" applyBorder="1" applyAlignment="1" applyProtection="1">
      <alignment horizontal="left" vertical="top" wrapText="1"/>
      <protection hidden="1"/>
    </xf>
    <xf numFmtId="0" fontId="131" fillId="0" borderId="97" xfId="19" applyFont="1" applyFill="1" applyBorder="1" applyAlignment="1" applyProtection="1">
      <alignment horizontal="left" vertical="top" wrapText="1"/>
      <protection hidden="1"/>
    </xf>
    <xf numFmtId="0" fontId="130" fillId="22" borderId="138" xfId="19" applyFont="1" applyFill="1" applyBorder="1" applyAlignment="1">
      <alignment horizontal="center" vertical="center"/>
    </xf>
    <xf numFmtId="0" fontId="130" fillId="22" borderId="139" xfId="19" applyFont="1" applyFill="1" applyBorder="1" applyAlignment="1">
      <alignment horizontal="center" vertical="center"/>
    </xf>
    <xf numFmtId="0" fontId="130" fillId="22" borderId="140" xfId="19" applyFont="1" applyFill="1" applyBorder="1" applyAlignment="1">
      <alignment horizontal="center" vertical="center"/>
    </xf>
    <xf numFmtId="0" fontId="130" fillId="22" borderId="98" xfId="19" applyFont="1" applyFill="1" applyBorder="1" applyAlignment="1">
      <alignment horizontal="center" vertical="center"/>
    </xf>
    <xf numFmtId="0" fontId="130" fillId="22" borderId="78" xfId="19" applyFont="1" applyFill="1" applyBorder="1" applyAlignment="1">
      <alignment horizontal="center" vertical="center"/>
    </xf>
    <xf numFmtId="0" fontId="130" fillId="22" borderId="99" xfId="19" applyFont="1" applyFill="1" applyBorder="1" applyAlignment="1">
      <alignment horizontal="center" vertical="center"/>
    </xf>
    <xf numFmtId="0" fontId="131" fillId="0" borderId="96" xfId="19" applyFont="1" applyBorder="1" applyAlignment="1">
      <alignment vertical="top" wrapText="1"/>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protection hidden="1"/>
    </xf>
    <xf numFmtId="0" fontId="61" fillId="19" borderId="21" xfId="0" applyFont="1" applyFill="1" applyBorder="1" applyAlignment="1" applyProtection="1">
      <alignment horizontal="left" vertical="center" wrapText="1" indent="1"/>
      <protection hidden="1"/>
    </xf>
    <xf numFmtId="0" fontId="61" fillId="19" borderId="14" xfId="0" applyFont="1" applyFill="1" applyBorder="1" applyAlignment="1" applyProtection="1">
      <alignment horizontal="left" vertical="center" wrapText="1" indent="1"/>
      <protection hidden="1"/>
    </xf>
    <xf numFmtId="0" fontId="53" fillId="0" borderId="98" xfId="18" applyFont="1" applyBorder="1" applyAlignment="1" applyProtection="1">
      <alignment vertical="top" wrapText="1"/>
      <protection locked="0"/>
    </xf>
    <xf numFmtId="0" fontId="53" fillId="0" borderId="78" xfId="18" applyFont="1" applyBorder="1" applyAlignment="1" applyProtection="1">
      <alignment vertical="top" wrapText="1"/>
      <protection locked="0"/>
    </xf>
    <xf numFmtId="0" fontId="53" fillId="0" borderId="99" xfId="18" applyFont="1" applyBorder="1" applyAlignment="1" applyProtection="1">
      <alignment vertical="top" wrapText="1"/>
      <protection locked="0"/>
    </xf>
    <xf numFmtId="0" fontId="10" fillId="0" borderId="96"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7" xfId="18" applyFont="1" applyBorder="1" applyAlignment="1" applyProtection="1">
      <alignment vertical="top" wrapText="1"/>
      <protection locked="0"/>
    </xf>
    <xf numFmtId="0" fontId="10" fillId="0" borderId="98" xfId="18" applyFont="1" applyBorder="1" applyAlignment="1" applyProtection="1">
      <alignment vertical="top" wrapText="1"/>
      <protection locked="0"/>
    </xf>
    <xf numFmtId="0" fontId="10" fillId="0" borderId="78" xfId="18" applyFont="1" applyBorder="1" applyAlignment="1" applyProtection="1">
      <alignment vertical="top" wrapText="1"/>
      <protection locked="0"/>
    </xf>
    <xf numFmtId="0" fontId="10" fillId="0" borderId="99" xfId="18" applyFont="1" applyBorder="1" applyAlignment="1" applyProtection="1">
      <alignment vertical="top" wrapText="1"/>
      <protection locked="0"/>
    </xf>
    <xf numFmtId="0" fontId="53" fillId="0" borderId="139" xfId="18" applyFont="1" applyBorder="1" applyAlignment="1" applyProtection="1">
      <alignment horizontal="center" vertical="top" wrapText="1"/>
      <protection locked="0"/>
    </xf>
    <xf numFmtId="0" fontId="53" fillId="0" borderId="140" xfId="18" applyFont="1" applyBorder="1" applyAlignment="1" applyProtection="1">
      <alignment horizontal="center" vertical="top" wrapText="1"/>
      <protection locked="0"/>
    </xf>
    <xf numFmtId="0" fontId="53" fillId="0" borderId="96" xfId="18" applyFont="1" applyBorder="1" applyAlignment="1" applyProtection="1">
      <alignment vertical="top" wrapText="1"/>
      <protection locked="0"/>
    </xf>
    <xf numFmtId="0" fontId="53" fillId="0" borderId="0" xfId="18" applyFont="1" applyBorder="1" applyAlignment="1" applyProtection="1">
      <alignment vertical="top" wrapText="1"/>
      <protection locked="0"/>
    </xf>
    <xf numFmtId="0" fontId="53" fillId="0" borderId="97" xfId="18" applyFont="1" applyBorder="1" applyAlignment="1" applyProtection="1">
      <alignment vertical="top" wrapText="1"/>
      <protection locked="0"/>
    </xf>
    <xf numFmtId="0" fontId="105" fillId="22" borderId="0" xfId="18" applyFont="1" applyFill="1" applyAlignment="1">
      <alignment horizontal="center" vertical="center"/>
    </xf>
    <xf numFmtId="0" fontId="77" fillId="0" borderId="135"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8" xfId="18" applyNumberFormat="1" applyFont="1" applyBorder="1" applyAlignment="1">
      <alignment horizontal="center" vertical="center" wrapText="1"/>
    </xf>
    <xf numFmtId="0" fontId="10" fillId="0" borderId="139" xfId="18" applyFont="1" applyBorder="1" applyAlignment="1" applyProtection="1">
      <alignment horizontal="center" vertical="top" wrapText="1"/>
      <protection locked="0"/>
    </xf>
    <xf numFmtId="0" fontId="10" fillId="0" borderId="140" xfId="18" applyFont="1" applyBorder="1" applyAlignment="1" applyProtection="1">
      <alignment horizontal="center" vertical="top" wrapText="1"/>
      <protection locked="0"/>
    </xf>
    <xf numFmtId="0" fontId="69" fillId="0" borderId="21" xfId="3" applyFont="1" applyBorder="1" applyAlignment="1" applyProtection="1">
      <alignment vertical="center"/>
      <protection hidden="1"/>
    </xf>
    <xf numFmtId="0" fontId="69" fillId="0" borderId="14" xfId="3" applyFont="1" applyBorder="1" applyAlignment="1" applyProtection="1">
      <alignment vertical="center"/>
      <protection hidden="1"/>
    </xf>
    <xf numFmtId="0" fontId="69" fillId="67" borderId="78" xfId="3" applyFont="1" applyFill="1" applyBorder="1" applyAlignment="1" applyProtection="1">
      <alignment horizontal="left" vertical="center" indent="1"/>
      <protection locked="0"/>
    </xf>
    <xf numFmtId="0" fontId="69" fillId="67" borderId="78" xfId="3" applyFont="1" applyFill="1" applyBorder="1" applyAlignment="1" applyProtection="1">
      <alignment horizontal="left" vertical="center"/>
      <protection locked="0"/>
    </xf>
    <xf numFmtId="0" fontId="61" fillId="22" borderId="181" xfId="3" applyFont="1" applyFill="1" applyBorder="1" applyAlignment="1">
      <alignment horizontal="left" vertical="top" wrapText="1"/>
    </xf>
    <xf numFmtId="0" fontId="61" fillId="22" borderId="0" xfId="3" applyFont="1" applyFill="1" applyAlignment="1">
      <alignment vertical="top"/>
    </xf>
    <xf numFmtId="0" fontId="61" fillId="22" borderId="18" xfId="3" applyFont="1" applyFill="1" applyBorder="1" applyAlignment="1">
      <alignment vertical="top"/>
    </xf>
    <xf numFmtId="166" fontId="69" fillId="67" borderId="76" xfId="3" applyNumberFormat="1" applyFont="1" applyFill="1" applyBorder="1" applyAlignment="1" applyProtection="1">
      <alignment horizontal="left" vertical="center" indent="1"/>
      <protection locked="0"/>
    </xf>
    <xf numFmtId="0" fontId="69" fillId="0" borderId="203" xfId="3" applyFont="1" applyBorder="1" applyAlignment="1">
      <alignment horizontal="center" vertical="center"/>
    </xf>
    <xf numFmtId="0" fontId="61" fillId="0" borderId="126" xfId="3" applyFont="1" applyBorder="1" applyAlignment="1">
      <alignment horizontal="center" vertical="center"/>
    </xf>
    <xf numFmtId="0" fontId="61" fillId="0" borderId="124" xfId="3" applyFont="1" applyBorder="1" applyAlignment="1">
      <alignment horizontal="center" vertical="center"/>
    </xf>
    <xf numFmtId="0" fontId="61" fillId="0" borderId="21" xfId="3" applyFont="1" applyBorder="1" applyAlignment="1">
      <alignment horizontal="left" vertical="center" wrapText="1"/>
    </xf>
    <xf numFmtId="0" fontId="61" fillId="0" borderId="14" xfId="3" applyFont="1" applyBorder="1" applyAlignment="1">
      <alignment horizontal="left" vertical="center" wrapText="1"/>
    </xf>
    <xf numFmtId="0" fontId="61" fillId="0" borderId="126" xfId="3" applyFont="1" applyBorder="1" applyAlignment="1">
      <alignment horizontal="left" vertical="center" indent="1"/>
    </xf>
    <xf numFmtId="0" fontId="61" fillId="0" borderId="198" xfId="3" applyFont="1" applyBorder="1" applyAlignment="1">
      <alignment horizontal="left" vertical="center"/>
    </xf>
    <xf numFmtId="0" fontId="61" fillId="0" borderId="132" xfId="3" applyFont="1" applyBorder="1" applyAlignment="1" applyProtection="1">
      <alignment horizontal="center" vertical="center"/>
      <protection locked="0"/>
    </xf>
    <xf numFmtId="171" fontId="61" fillId="0" borderId="132" xfId="3" applyNumberFormat="1" applyFont="1" applyBorder="1" applyAlignment="1" applyProtection="1">
      <alignment horizontal="center"/>
      <protection locked="0"/>
    </xf>
    <xf numFmtId="0" fontId="84" fillId="0" borderId="131" xfId="3" applyFont="1" applyBorder="1" applyAlignment="1">
      <alignment horizontal="center" vertical="center" wrapText="1"/>
    </xf>
    <xf numFmtId="0" fontId="61" fillId="0" borderId="132" xfId="3" applyFont="1" applyBorder="1" applyAlignment="1" applyProtection="1">
      <alignment horizontal="center"/>
      <protection locked="0"/>
    </xf>
    <xf numFmtId="0" fontId="84" fillId="0" borderId="131" xfId="3" applyFont="1" applyBorder="1" applyAlignment="1">
      <alignment horizontal="center"/>
    </xf>
    <xf numFmtId="0" fontId="61" fillId="0" borderId="0" xfId="3" applyFont="1" applyAlignment="1" applyProtection="1">
      <alignment horizontal="left" vertical="top" wrapText="1" indent="2"/>
      <protection hidden="1"/>
    </xf>
    <xf numFmtId="0" fontId="61" fillId="0" borderId="5" xfId="3" quotePrefix="1" applyFont="1" applyBorder="1" applyAlignment="1" applyProtection="1">
      <alignment horizontal="left" vertical="top" wrapText="1" indent="2"/>
      <protection hidden="1"/>
    </xf>
    <xf numFmtId="0" fontId="61" fillId="0" borderId="0" xfId="3" quotePrefix="1" applyFont="1" applyAlignment="1" applyProtection="1">
      <alignment horizontal="left" vertical="top" wrapText="1" indent="2"/>
      <protection hidden="1"/>
    </xf>
    <xf numFmtId="0" fontId="188" fillId="0" borderId="201" xfId="3741" applyFont="1" applyBorder="1" applyAlignment="1">
      <alignment horizontal="center"/>
    </xf>
    <xf numFmtId="0" fontId="188" fillId="0" borderId="200" xfId="3741" applyFont="1" applyBorder="1" applyAlignment="1">
      <alignment horizontal="center"/>
    </xf>
    <xf numFmtId="0" fontId="188" fillId="0" borderId="199" xfId="3741" applyFont="1" applyBorder="1" applyAlignment="1">
      <alignment horizontal="center"/>
    </xf>
    <xf numFmtId="0" fontId="61" fillId="0" borderId="181" xfId="3741" applyFont="1" applyBorder="1" applyAlignment="1">
      <alignment wrapText="1"/>
    </xf>
    <xf numFmtId="0" fontId="61" fillId="0" borderId="0" xfId="3741" applyFont="1" applyAlignment="1">
      <alignment wrapText="1"/>
    </xf>
    <xf numFmtId="0" fontId="61" fillId="0" borderId="180" xfId="3741" applyFont="1" applyBorder="1" applyAlignment="1">
      <alignment wrapText="1"/>
    </xf>
    <xf numFmtId="0" fontId="61" fillId="0" borderId="190" xfId="3741" applyFont="1" applyBorder="1"/>
    <xf numFmtId="0" fontId="61" fillId="0" borderId="188" xfId="3741" applyFont="1" applyBorder="1"/>
    <xf numFmtId="166" fontId="61" fillId="0" borderId="21" xfId="3" applyNumberFormat="1" applyFont="1" applyBorder="1" applyAlignment="1">
      <alignment horizontal="left" vertical="center" indent="1"/>
    </xf>
    <xf numFmtId="166" fontId="61" fillId="0" borderId="197" xfId="3" applyNumberFormat="1" applyFont="1" applyBorder="1" applyAlignment="1">
      <alignment horizontal="left" vertical="center" indent="1"/>
    </xf>
    <xf numFmtId="0" fontId="61" fillId="66" borderId="183" xfId="3741" applyFont="1" applyFill="1" applyBorder="1"/>
    <xf numFmtId="0" fontId="61" fillId="66" borderId="77" xfId="3741" applyFont="1" applyFill="1" applyBorder="1"/>
    <xf numFmtId="0" fontId="69" fillId="0" borderId="172" xfId="3741" applyFont="1" applyBorder="1" applyAlignment="1">
      <alignment horizontal="center" wrapText="1"/>
    </xf>
    <xf numFmtId="0" fontId="69" fillId="0" borderId="196" xfId="3741" applyFont="1" applyBorder="1" applyAlignment="1">
      <alignment horizontal="center" wrapText="1"/>
    </xf>
    <xf numFmtId="0" fontId="105" fillId="0" borderId="195" xfId="3741" applyFont="1" applyBorder="1" applyAlignment="1">
      <alignment horizontal="center"/>
    </xf>
    <xf numFmtId="0" fontId="105" fillId="0" borderId="78" xfId="3741" applyFont="1" applyBorder="1" applyAlignment="1">
      <alignment horizontal="center"/>
    </xf>
    <xf numFmtId="0" fontId="105" fillId="0" borderId="99" xfId="3741" applyFont="1" applyBorder="1" applyAlignment="1">
      <alignment horizontal="center"/>
    </xf>
    <xf numFmtId="0" fontId="61" fillId="0" borderId="194" xfId="3741" applyFont="1" applyBorder="1"/>
    <xf numFmtId="0" fontId="61" fillId="0" borderId="191" xfId="3741" applyFont="1" applyBorder="1"/>
    <xf numFmtId="0" fontId="61" fillId="0" borderId="190" xfId="3741" applyFont="1" applyBorder="1" applyAlignment="1">
      <alignment wrapText="1"/>
    </xf>
    <xf numFmtId="0" fontId="61" fillId="0" borderId="188" xfId="3741" applyFont="1" applyBorder="1" applyAlignment="1">
      <alignment wrapText="1"/>
    </xf>
    <xf numFmtId="0" fontId="185" fillId="0" borderId="164" xfId="3740" applyFont="1" applyBorder="1" applyAlignment="1">
      <alignment horizontal="left" vertical="center" wrapText="1"/>
    </xf>
    <xf numFmtId="0" fontId="185" fillId="0" borderId="0" xfId="3740" applyFont="1" applyAlignment="1">
      <alignment horizontal="left" vertical="center" wrapText="1"/>
    </xf>
    <xf numFmtId="0" fontId="185" fillId="0" borderId="180" xfId="3740" applyFont="1" applyBorder="1" applyAlignment="1">
      <alignment horizontal="left" vertical="center" wrapText="1"/>
    </xf>
    <xf numFmtId="0" fontId="105" fillId="0" borderId="0" xfId="3741" applyFont="1" applyAlignment="1">
      <alignment horizontal="center" vertical="top" wrapText="1"/>
    </xf>
    <xf numFmtId="0" fontId="105" fillId="0" borderId="180" xfId="3741" applyFont="1" applyBorder="1" applyAlignment="1">
      <alignment horizontal="center" vertical="top" wrapText="1"/>
    </xf>
    <xf numFmtId="0" fontId="61" fillId="0" borderId="187" xfId="3741" applyFont="1" applyBorder="1"/>
    <xf numFmtId="0" fontId="61" fillId="0" borderId="185" xfId="3741" applyFont="1" applyBorder="1"/>
    <xf numFmtId="0" fontId="69" fillId="0" borderId="183" xfId="3741" applyFont="1" applyBorder="1"/>
    <xf numFmtId="0" fontId="69" fillId="0" borderId="77" xfId="3741" applyFont="1" applyBorder="1"/>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12"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3" xfId="3" applyFont="1" applyBorder="1" applyAlignment="1">
      <alignment horizontal="center" vertical="center" wrapText="1"/>
    </xf>
    <xf numFmtId="0" fontId="113" fillId="0" borderId="114" xfId="3" applyFont="1" applyBorder="1" applyAlignment="1">
      <alignment horizontal="center" vertical="center" wrapText="1"/>
    </xf>
    <xf numFmtId="0" fontId="113" fillId="0" borderId="115" xfId="3" applyFont="1" applyBorder="1" applyAlignment="1">
      <alignment horizontal="center" vertical="center" wrapText="1"/>
    </xf>
    <xf numFmtId="0" fontId="113" fillId="0" borderId="116" xfId="3" applyFont="1" applyBorder="1" applyAlignment="1">
      <alignment horizontal="center" vertical="center" wrapText="1"/>
    </xf>
    <xf numFmtId="0" fontId="114" fillId="0" borderId="13" xfId="3" applyNumberFormat="1" applyFont="1" applyFill="1" applyBorder="1" applyAlignment="1" applyProtection="1">
      <alignment vertical="top" wrapText="1"/>
      <protection hidden="1"/>
    </xf>
    <xf numFmtId="0" fontId="114" fillId="0" borderId="21" xfId="3" applyNumberFormat="1" applyFont="1" applyFill="1" applyBorder="1" applyAlignment="1" applyProtection="1">
      <alignment vertical="top" wrapText="1"/>
      <protection hidden="1"/>
    </xf>
    <xf numFmtId="0" fontId="114" fillId="0" borderId="14" xfId="3" applyNumberFormat="1" applyFont="1" applyFill="1" applyBorder="1" applyAlignment="1" applyProtection="1">
      <alignment vertical="top" wrapText="1"/>
      <protection hidden="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Fill="1" applyBorder="1" applyAlignment="1" applyProtection="1">
      <alignment vertical="top"/>
      <protection hidden="1"/>
    </xf>
    <xf numFmtId="0" fontId="87" fillId="0" borderId="0" xfId="3" applyFont="1" applyFill="1" applyBorder="1" applyAlignment="1" applyProtection="1">
      <alignment vertical="top"/>
      <protection hidden="1"/>
    </xf>
    <xf numFmtId="0" fontId="87" fillId="0" borderId="40" xfId="3" applyFont="1" applyFill="1" applyBorder="1" applyAlignment="1" applyProtection="1">
      <alignment vertical="top"/>
      <protection hidden="1"/>
    </xf>
    <xf numFmtId="0" fontId="87" fillId="0" borderId="50" xfId="3" applyFont="1" applyFill="1" applyBorder="1" applyAlignment="1" applyProtection="1">
      <alignment vertical="top"/>
      <protection hidden="1"/>
    </xf>
    <xf numFmtId="0" fontId="87" fillId="0" borderId="9" xfId="3" applyFont="1" applyFill="1" applyBorder="1" applyAlignment="1" applyProtection="1">
      <alignment vertical="top"/>
      <protection hidden="1"/>
    </xf>
    <xf numFmtId="0" fontId="87" fillId="0" borderId="59" xfId="3" applyFont="1" applyFill="1" applyBorder="1" applyAlignment="1" applyProtection="1">
      <alignment vertical="top"/>
      <protection hidden="1"/>
    </xf>
    <xf numFmtId="0" fontId="116" fillId="12" borderId="123" xfId="0" applyFont="1" applyFill="1" applyBorder="1" applyAlignment="1">
      <alignment horizontal="center" vertical="center"/>
    </xf>
    <xf numFmtId="0" fontId="116" fillId="12" borderId="126" xfId="0" applyFont="1" applyFill="1" applyBorder="1" applyAlignment="1">
      <alignment horizontal="center" vertical="center"/>
    </xf>
    <xf numFmtId="0" fontId="116" fillId="12" borderId="151"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3" xfId="0" applyNumberFormat="1" applyFont="1" applyFill="1" applyBorder="1" applyAlignment="1">
      <alignment horizontal="center" vertical="top"/>
    </xf>
    <xf numFmtId="164" fontId="117" fillId="12" borderId="126" xfId="0" applyNumberFormat="1" applyFont="1" applyFill="1" applyBorder="1" applyAlignment="1">
      <alignment horizontal="center" vertical="top"/>
    </xf>
    <xf numFmtId="164" fontId="117" fillId="12" borderId="151"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6" xfId="0" applyNumberFormat="1" applyFont="1" applyBorder="1" applyAlignment="1">
      <alignment horizontal="left" vertical="center" wrapText="1"/>
    </xf>
    <xf numFmtId="0" fontId="61" fillId="0" borderId="124"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5" xfId="3" applyNumberFormat="1" applyFont="1" applyBorder="1" applyAlignment="1" applyProtection="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69" fillId="0" borderId="0" xfId="3" applyNumberFormat="1" applyFont="1" applyAlignment="1" applyProtection="1">
      <alignment horizontal="center" vertical="center"/>
    </xf>
    <xf numFmtId="0" fontId="59" fillId="0" borderId="144" xfId="3" applyNumberFormat="1" applyFont="1" applyBorder="1" applyProtection="1"/>
    <xf numFmtId="0" fontId="59" fillId="0" borderId="145"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5" xfId="3" applyNumberFormat="1" applyFont="1" applyBorder="1" applyAlignment="1" applyProtection="1">
      <alignment horizontal="left" indent="1"/>
      <protection locked="0"/>
    </xf>
    <xf numFmtId="0" fontId="69" fillId="0" borderId="145" xfId="3" applyFont="1" applyBorder="1" applyAlignment="1" applyProtection="1">
      <alignment horizontal="left" indent="1"/>
      <protection locked="0"/>
    </xf>
    <xf numFmtId="0" fontId="69" fillId="0" borderId="146" xfId="3" applyFont="1" applyBorder="1" applyAlignment="1" applyProtection="1">
      <alignment horizontal="left" indent="1"/>
      <protection locked="0"/>
    </xf>
    <xf numFmtId="0" fontId="69" fillId="0" borderId="0" xfId="3" applyNumberFormat="1" applyFont="1" applyFill="1" applyAlignment="1" applyProtection="1">
      <alignment horizontal="center" vertical="center"/>
      <protection hidden="1"/>
    </xf>
    <xf numFmtId="0" fontId="61" fillId="0" borderId="0" xfId="3" applyFont="1" applyFill="1" applyAlignment="1" applyProtection="1">
      <alignment horizontal="center" vertical="center"/>
      <protection hidden="1"/>
    </xf>
    <xf numFmtId="0" fontId="69" fillId="0" borderId="59" xfId="3" applyFont="1" applyBorder="1" applyAlignment="1" applyProtection="1">
      <alignment horizontal="left"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58" fillId="0" borderId="0" xfId="3" applyFont="1" applyAlignment="1">
      <alignment horizontal="center" vertical="center"/>
    </xf>
    <xf numFmtId="0" fontId="61"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69" fillId="0" borderId="0" xfId="3" applyNumberFormat="1" applyFont="1" applyAlignment="1">
      <alignment horizontal="center"/>
    </xf>
    <xf numFmtId="165" fontId="69" fillId="0" borderId="0" xfId="3" applyNumberFormat="1" applyFont="1" applyAlignment="1" applyProtection="1">
      <alignment horizontal="center" vertical="center"/>
    </xf>
    <xf numFmtId="165" fontId="58" fillId="0" borderId="0" xfId="3" applyNumberFormat="1" applyFont="1" applyAlignment="1" applyProtection="1">
      <alignment horizontal="center" vertical="center"/>
    </xf>
    <xf numFmtId="0" fontId="58" fillId="0" borderId="0" xfId="3" applyNumberFormat="1" applyFont="1" applyAlignment="1" applyProtection="1">
      <alignment horizontal="center" vertic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3" fontId="59" fillId="0" borderId="77" xfId="3" applyNumberFormat="1" applyFont="1" applyBorder="1" applyAlignment="1" applyProtection="1">
      <alignment horizontal="right" indent="1"/>
      <protection locked="0"/>
    </xf>
    <xf numFmtId="0" fontId="58" fillId="0" borderId="0" xfId="3" applyFont="1" applyAlignment="1" applyProtection="1">
      <alignment horizontal="center"/>
    </xf>
    <xf numFmtId="0" fontId="58" fillId="0" borderId="78" xfId="3" applyFont="1" applyBorder="1" applyAlignment="1" applyProtection="1">
      <alignment horizontal="center"/>
    </xf>
    <xf numFmtId="0" fontId="66" fillId="0" borderId="0" xfId="3" applyFont="1" applyAlignment="1" applyProtection="1">
      <alignment horizontal="left" vertical="center" wrapText="1"/>
    </xf>
    <xf numFmtId="0" fontId="59" fillId="0" borderId="0" xfId="3" applyFont="1" applyBorder="1" applyAlignment="1" applyProtection="1">
      <alignment vertical="center" wrapText="1"/>
      <protection locked="0"/>
    </xf>
    <xf numFmtId="5" fontId="69" fillId="0" borderId="147" xfId="3" applyNumberFormat="1" applyFont="1" applyBorder="1" applyAlignment="1" applyProtection="1">
      <protection locked="0"/>
    </xf>
    <xf numFmtId="0" fontId="69" fillId="0" borderId="148" xfId="3" applyFont="1" applyBorder="1" applyAlignment="1" applyProtection="1">
      <protection locked="0"/>
    </xf>
    <xf numFmtId="0" fontId="66" fillId="0" borderId="0" xfId="3" applyFont="1" applyBorder="1" applyAlignment="1" applyProtection="1">
      <alignment horizontal="left" vertical="top" wrapText="1"/>
    </xf>
    <xf numFmtId="0" fontId="66" fillId="0" borderId="147" xfId="3" applyFont="1" applyBorder="1" applyAlignment="1" applyProtection="1">
      <alignment horizontal="left" vertical="center"/>
      <protection locked="0"/>
    </xf>
    <xf numFmtId="0" fontId="66" fillId="0" borderId="76" xfId="3" applyFont="1" applyBorder="1" applyAlignment="1" applyProtection="1">
      <alignment horizontal="left" vertical="center"/>
      <protection locked="0"/>
    </xf>
    <xf numFmtId="0" fontId="66" fillId="0" borderId="148" xfId="3" applyFont="1" applyBorder="1" applyAlignment="1" applyProtection="1">
      <alignment horizontal="left" vertical="center"/>
      <protection locked="0"/>
    </xf>
    <xf numFmtId="38" fontId="66" fillId="0" borderId="77"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6" fillId="0" borderId="147" xfId="3" applyFont="1" applyBorder="1" applyAlignment="1" applyProtection="1">
      <alignment horizontal="center"/>
    </xf>
    <xf numFmtId="0" fontId="66" fillId="0" borderId="76" xfId="3" applyFont="1" applyBorder="1" applyAlignment="1" applyProtection="1">
      <alignment horizontal="center"/>
    </xf>
    <xf numFmtId="0" fontId="66" fillId="0" borderId="148" xfId="3" applyFont="1" applyBorder="1" applyAlignment="1" applyProtection="1">
      <alignment horizontal="center"/>
    </xf>
    <xf numFmtId="38" fontId="66" fillId="0" borderId="147" xfId="3" applyNumberFormat="1" applyFont="1" applyBorder="1" applyAlignment="1" applyProtection="1">
      <alignment horizontal="right" vertical="center"/>
      <protection locked="0"/>
    </xf>
    <xf numFmtId="38" fontId="66" fillId="0" borderId="76" xfId="3" applyNumberFormat="1" applyFont="1" applyBorder="1" applyAlignment="1" applyProtection="1">
      <alignment horizontal="right" vertical="center"/>
      <protection locked="0"/>
    </xf>
    <xf numFmtId="38" fontId="66" fillId="0" borderId="148" xfId="3" applyNumberFormat="1" applyFont="1" applyBorder="1" applyAlignment="1" applyProtection="1">
      <alignment horizontal="right" vertical="center"/>
      <protection locked="0"/>
    </xf>
    <xf numFmtId="0" fontId="68" fillId="0" borderId="147" xfId="3" applyFont="1" applyBorder="1" applyAlignment="1" applyProtection="1">
      <alignment horizontal="center" vertical="center"/>
      <protection locked="0"/>
    </xf>
    <xf numFmtId="0" fontId="68" fillId="0" borderId="76" xfId="3" applyFont="1" applyBorder="1" applyAlignment="1" applyProtection="1">
      <alignment horizontal="center" vertical="center"/>
      <protection locked="0"/>
    </xf>
    <xf numFmtId="0" fontId="68" fillId="0" borderId="148" xfId="3" applyFont="1" applyBorder="1" applyAlignment="1" applyProtection="1">
      <alignment horizontal="center" vertical="center"/>
      <protection locked="0"/>
    </xf>
    <xf numFmtId="6" fontId="66" fillId="0" borderId="77" xfId="3" applyNumberFormat="1" applyFont="1" applyBorder="1" applyAlignment="1" applyProtection="1">
      <alignment horizontal="right" vertical="center"/>
      <protection locked="0"/>
    </xf>
    <xf numFmtId="6" fontId="66" fillId="0" borderId="147" xfId="3" applyNumberFormat="1" applyFont="1" applyBorder="1" applyProtection="1">
      <protection locked="0"/>
    </xf>
    <xf numFmtId="6" fontId="66" fillId="0" borderId="148"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42" xfId="3" applyFont="1" applyBorder="1" applyAlignment="1" applyProtection="1">
      <alignment horizontal="center" vertical="center" wrapText="1"/>
    </xf>
    <xf numFmtId="0" fontId="69" fillId="0" borderId="74" xfId="3" applyNumberFormat="1" applyFont="1" applyBorder="1" applyAlignment="1" applyProtection="1">
      <alignment horizontal="center"/>
      <protection locked="0"/>
    </xf>
    <xf numFmtId="0" fontId="69" fillId="0" borderId="74" xfId="3" applyFont="1" applyBorder="1" applyAlignment="1" applyProtection="1">
      <alignment horizontal="center"/>
      <protection locked="0"/>
    </xf>
    <xf numFmtId="0" fontId="69" fillId="0" borderId="74" xfId="3" applyFont="1" applyBorder="1" applyAlignment="1" applyProtection="1">
      <alignment horizontal="center" vertical="center"/>
      <protection locked="0"/>
    </xf>
    <xf numFmtId="0" fontId="58" fillId="0" borderId="0" xfId="3" applyNumberFormat="1" applyFont="1" applyAlignment="1" applyProtection="1">
      <alignment horizontal="center" vertical="center" wrapText="1"/>
    </xf>
    <xf numFmtId="0" fontId="61" fillId="0" borderId="0" xfId="3" applyFont="1" applyBorder="1" applyAlignment="1" applyProtection="1">
      <alignment horizontal="left" wrapText="1"/>
      <protection locked="0"/>
    </xf>
    <xf numFmtId="0" fontId="61" fillId="0" borderId="0" xfId="3" applyFont="1" applyAlignment="1" applyProtection="1">
      <alignment wrapText="1"/>
      <protection locked="0"/>
    </xf>
    <xf numFmtId="0" fontId="61" fillId="0" borderId="0" xfId="3" applyFont="1" applyBorder="1" applyAlignment="1" applyProtection="1">
      <alignment wrapText="1"/>
      <protection locked="0"/>
    </xf>
    <xf numFmtId="0" fontId="61" fillId="0" borderId="0" xfId="3" applyFont="1" applyAlignment="1" applyProtection="1">
      <alignment horizontal="left" wrapText="1"/>
      <protection locked="0"/>
    </xf>
  </cellXfs>
  <cellStyles count="4623">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38 2 2 2" xfId="4508" xr:uid="{96CC53F3-14CA-4ACB-89EF-3BB45CFA84E9}"/>
    <cellStyle name="12 38 3" xfId="4560" xr:uid="{1AEC3038-AD82-46B8-9E58-86AF8E262A4D}"/>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2 2 2 2" xfId="4509" xr:uid="{694AC664-AF64-4E0F-98D3-D675F5D56D0F}"/>
    <cellStyle name="12 9 2 3" xfId="4561" xr:uid="{0FCA7140-9849-486A-9998-D1C6C6E19D20}"/>
    <cellStyle name="12 9 3" xfId="290" xr:uid="{680CCFAA-2FC3-4488-AF47-550298BF874B}"/>
    <cellStyle name="12 9 4" xfId="2969" xr:uid="{CA122F15-EBD4-4A46-B57C-9E6324744D77}"/>
    <cellStyle name="12 9 4 2" xfId="3638" xr:uid="{D05C10A1-7A26-4200-92E8-98BE2451FF7A}"/>
    <cellStyle name="12 9 4 2 2" xfId="4497" xr:uid="{00E948D1-4D51-4B75-A9E8-5A2CA0C48AB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 4 3 2 2" xfId="4498" xr:uid="{887C8530-D241-416D-960F-0DB2EC700A05}"/>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2 2" xfId="4085" xr:uid="{9DB3F6D9-3801-4D45-9C69-8BB97EFFFEFE}"/>
    <cellStyle name="Comma 3 10 2 3" xfId="4558" xr:uid="{442BE2AF-3995-492A-A90C-0185C8A30E5D}"/>
    <cellStyle name="Comma 3 10 3" xfId="3856" xr:uid="{972A8D87-819C-48C6-8EEF-4B8EE5C92E33}"/>
    <cellStyle name="Comma 3 10 4" xfId="4321" xr:uid="{11F3E892-05B5-43C4-95B1-69540D4D747A}"/>
    <cellStyle name="Comma 3 11" xfId="3508" xr:uid="{EFE4C2AF-257B-4B00-84A3-788A75D1DF95}"/>
    <cellStyle name="Comma 3 11 2" xfId="3995" xr:uid="{AECDA778-AC8D-4BD0-98E8-3877C545F7AD}"/>
    <cellStyle name="Comma 3 11 3" xfId="4457" xr:uid="{A0BF48F1-621B-4DE5-81CD-11F8D05576C6}"/>
    <cellStyle name="Comma 3 12" xfId="3766" xr:uid="{9D115E24-EDF1-43F1-BA1A-75D951B85C5E}"/>
    <cellStyle name="Comma 3 13" xfId="4231" xr:uid="{492987C1-2B1E-4A31-B2FA-357554DFCF0B}"/>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3 3 2 2" xfId="4500" xr:uid="{2A915AAC-0DD1-4C8B-927D-B50CC3A9E1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2 2 2" xfId="4144" xr:uid="{0E8876B2-3284-4FCC-8479-D4FD1DFB1289}"/>
    <cellStyle name="Comma 3 4 2 2 2 3" xfId="3915" xr:uid="{FA073ACF-2E55-42AB-BAAB-DD49C1F6965C}"/>
    <cellStyle name="Comma 3 4 2 2 2 4" xfId="4380" xr:uid="{E25CDD09-060F-49AD-ACBC-2D9E336205A9}"/>
    <cellStyle name="Comma 3 4 2 2 3" xfId="3572" xr:uid="{E04064AF-8D5B-474A-A164-ECAD72B69992}"/>
    <cellStyle name="Comma 3 4 2 2 3 2" xfId="4059" xr:uid="{31AEDA86-E823-4D00-83DD-259F7D1B4339}"/>
    <cellStyle name="Comma 3 4 2 2 3 3" xfId="4584" xr:uid="{F2197DED-C574-43A3-9FB8-00FDA9860233}"/>
    <cellStyle name="Comma 3 4 2 2 4" xfId="3830" xr:uid="{77205A18-EE3D-4807-B84E-1FE3CC913539}"/>
    <cellStyle name="Comma 3 4 2 2 5" xfId="4295" xr:uid="{B6B26D95-5EB4-4A3D-93FF-B87EBACE65EB}"/>
    <cellStyle name="Comma 3 4 2 3" xfId="3448" xr:uid="{4C0A1973-8449-4512-99AA-605FE5B41319}"/>
    <cellStyle name="Comma 3 4 2 3 2" xfId="3713" xr:uid="{73AC7E66-23DF-4B58-93B2-01A534530147}"/>
    <cellStyle name="Comma 3 4 2 3 2 2" xfId="4184" xr:uid="{22CACACA-7869-489D-B46A-63445908602A}"/>
    <cellStyle name="Comma 3 4 2 3 3" xfId="3955" xr:uid="{91CDB42D-5712-4778-95C5-9E21088BAA66}"/>
    <cellStyle name="Comma 3 4 2 3 4" xfId="4420" xr:uid="{2A68DDFC-E826-4508-9178-E6E4140B614B}"/>
    <cellStyle name="Comma 3 4 2 4" xfId="2948" xr:uid="{E0A3DC83-1792-4502-9B85-BE13B72125D0}"/>
    <cellStyle name="Comma 3 4 2 4 2" xfId="3617" xr:uid="{DCBA6CE1-3F75-4542-8A63-8887027FE4C4}"/>
    <cellStyle name="Comma 3 4 2 4 2 2" xfId="4104" xr:uid="{3BE20415-772A-49C4-94C0-75C34E6E9CB6}"/>
    <cellStyle name="Comma 3 4 2 4 3" xfId="3875" xr:uid="{9D8BD7F5-B717-4164-B587-CDA4A8BB6F65}"/>
    <cellStyle name="Comma 3 4 2 4 4" xfId="4340" xr:uid="{6C5E492F-E4F0-4045-851C-6183D460D8D5}"/>
    <cellStyle name="Comma 3 4 2 5" xfId="3527" xr:uid="{543CE7C5-B4AB-4997-941E-024611540791}"/>
    <cellStyle name="Comma 3 4 2 5 2" xfId="4014" xr:uid="{8AA78187-23C8-4C1C-AC2A-A9989CDC98E8}"/>
    <cellStyle name="Comma 3 4 2 5 3" xfId="4476" xr:uid="{8B2E78EB-9B36-4181-ADAE-4D2F52A07F52}"/>
    <cellStyle name="Comma 3 4 2 6" xfId="3785" xr:uid="{716979A8-0E40-436D-9BAD-27905390BFB7}"/>
    <cellStyle name="Comma 3 4 2 7" xfId="4250" xr:uid="{6AA2541C-F798-4853-B996-5B5FD6B8B28B}"/>
    <cellStyle name="Comma 3 4 3" xfId="2886" xr:uid="{B4E3D386-4C3F-4F19-8DB4-D1B17CD29374}"/>
    <cellStyle name="Comma 3 4 3 2" xfId="2982" xr:uid="{056404B3-5C18-4C5C-A3B9-08979F4978C2}"/>
    <cellStyle name="Comma 3 4 3 2 2" xfId="3651" xr:uid="{D33F01AF-8027-4511-B56E-BE81C528FE09}"/>
    <cellStyle name="Comma 3 4 3 2 2 2" xfId="4127" xr:uid="{2E3E6843-B291-42C2-AF80-925F91D883A2}"/>
    <cellStyle name="Comma 3 4 3 2 2 3" xfId="4607" xr:uid="{EF99F13D-5C25-4F62-A8A1-47402751252F}"/>
    <cellStyle name="Comma 3 4 3 2 3" xfId="3898" xr:uid="{6C094F65-793C-42BE-A3EB-2B18391E73D4}"/>
    <cellStyle name="Comma 3 4 3 2 4" xfId="4363" xr:uid="{6304EC06-4D2A-4343-BB45-FD689B6D719F}"/>
    <cellStyle name="Comma 3 4 3 3" xfId="3555" xr:uid="{C92B8B04-10FF-4182-8913-A1DA291D25C2}"/>
    <cellStyle name="Comma 3 4 3 3 2" xfId="4042" xr:uid="{7CD97297-EDF8-497F-AEE4-BD253DDB2A8F}"/>
    <cellStyle name="Comma 3 4 3 3 3" xfId="4510" xr:uid="{0CDEF99F-6EDB-4824-93A4-B0FE69283208}"/>
    <cellStyle name="Comma 3 4 3 4" xfId="3813" xr:uid="{B5BF7777-B545-4F5E-91DD-08060044D02F}"/>
    <cellStyle name="Comma 3 4 3 5" xfId="4278" xr:uid="{41A92662-0CBA-4553-A0DE-D9A30579B87A}"/>
    <cellStyle name="Comma 3 4 4" xfId="3424" xr:uid="{4F1C737B-D85A-402A-8AD7-C59FB17C0CFC}"/>
    <cellStyle name="Comma 3 4 4 2" xfId="3696" xr:uid="{76DC5773-C727-4A82-9030-A6E21916AE21}"/>
    <cellStyle name="Comma 3 4 4 2 2" xfId="4167" xr:uid="{8B90B4BC-2408-4BC8-B21C-8AF6061FC10E}"/>
    <cellStyle name="Comma 3 4 4 2 3" xfId="4535" xr:uid="{893FDF68-C631-4D0E-AE42-5DAF367CAE22}"/>
    <cellStyle name="Comma 3 4 4 3" xfId="3938" xr:uid="{FCEF42C5-4A7F-4943-AF92-41E132F962E6}"/>
    <cellStyle name="Comma 3 4 4 4" xfId="4403" xr:uid="{FF6CC43F-AFFE-4D73-BC34-6A02A1A7D6B0}"/>
    <cellStyle name="Comma 3 4 5" xfId="2931" xr:uid="{1AB89C2F-68FE-47B6-A33C-DDF6A14AC0BD}"/>
    <cellStyle name="Comma 3 4 5 2" xfId="3600" xr:uid="{DFFDE328-BC63-47FC-ADF5-CB0CA6E7B6C8}"/>
    <cellStyle name="Comma 3 4 5 2 2" xfId="4087" xr:uid="{F21164EC-C9A5-4CC1-9FE9-31C9B80CF16E}"/>
    <cellStyle name="Comma 3 4 5 2 3" xfId="4562" xr:uid="{0AE5F884-14CF-4AD2-BB26-B755B19BA4FB}"/>
    <cellStyle name="Comma 3 4 5 3" xfId="3858" xr:uid="{79ECACD7-8EDB-462B-966E-8A24C9C20B2B}"/>
    <cellStyle name="Comma 3 4 5 4" xfId="4323" xr:uid="{FBC76638-0775-434C-B2E3-8141057E9B9F}"/>
    <cellStyle name="Comma 3 4 6" xfId="3510" xr:uid="{AEF1870C-FE26-4342-9D6C-C02A94A4181C}"/>
    <cellStyle name="Comma 3 4 6 2" xfId="3997" xr:uid="{7BEC955E-E768-419D-8F8F-39A55DC3BC3F}"/>
    <cellStyle name="Comma 3 4 6 3" xfId="4459" xr:uid="{956AD18D-65A9-4F9F-ACA2-10E28CED291E}"/>
    <cellStyle name="Comma 3 4 7" xfId="3768" xr:uid="{F36A3278-94A2-49BA-AC56-A0C05B007D8D}"/>
    <cellStyle name="Comma 3 4 8" xfId="4233" xr:uid="{D95FE5BA-968B-467F-8280-3221823B1809}"/>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2 2 2" xfId="4148" xr:uid="{E5D65549-87FC-425E-A3DE-3F1FDC5F9A06}"/>
    <cellStyle name="Comma 3 5 2 2 2 3" xfId="3919" xr:uid="{B81970B4-F43B-4D6D-AF4A-872926B5A87E}"/>
    <cellStyle name="Comma 3 5 2 2 2 4" xfId="4384" xr:uid="{57814970-1DFC-4465-8E73-80F44D595F9E}"/>
    <cellStyle name="Comma 3 5 2 2 3" xfId="3576" xr:uid="{01426F27-B567-4B2A-BFA0-C29176F9529F}"/>
    <cellStyle name="Comma 3 5 2 2 3 2" xfId="4063" xr:uid="{4978D992-A4DC-4C08-9B7B-BFD88BFF8226}"/>
    <cellStyle name="Comma 3 5 2 2 3 3" xfId="4588" xr:uid="{FFF5267F-99F3-440C-AAB6-20941C06B518}"/>
    <cellStyle name="Comma 3 5 2 2 4" xfId="3834" xr:uid="{ADC8F953-3366-4D04-8155-536951D02F75}"/>
    <cellStyle name="Comma 3 5 2 2 5" xfId="4299" xr:uid="{9A42538B-11BC-4DBF-92C4-96AFA56C9C1F}"/>
    <cellStyle name="Comma 3 5 2 3" xfId="3452" xr:uid="{8F116F01-8EC7-415E-B53F-03BD58197742}"/>
    <cellStyle name="Comma 3 5 2 3 2" xfId="3717" xr:uid="{D51EE3AA-1E0B-4DE9-B673-3537F8C83E11}"/>
    <cellStyle name="Comma 3 5 2 3 2 2" xfId="4188" xr:uid="{E81C5A08-E525-403B-81A5-EFF01374D6E8}"/>
    <cellStyle name="Comma 3 5 2 3 3" xfId="3959" xr:uid="{1A8342CF-22D8-44C1-A8CA-C2DACFB296F0}"/>
    <cellStyle name="Comma 3 5 2 3 4" xfId="4424" xr:uid="{46625041-3B27-4F4D-B0B5-07CDEBE897E7}"/>
    <cellStyle name="Comma 3 5 2 4" xfId="2952" xr:uid="{20996558-6FFD-4C33-8575-38F6DBA626A3}"/>
    <cellStyle name="Comma 3 5 2 4 2" xfId="3621" xr:uid="{27053ED5-8166-4A31-9A7E-036D191E62A4}"/>
    <cellStyle name="Comma 3 5 2 4 2 2" xfId="4108" xr:uid="{A4BA1797-0CD9-4AC9-B134-570E95172210}"/>
    <cellStyle name="Comma 3 5 2 4 3" xfId="3879" xr:uid="{883C34E7-0C4C-4D8A-889F-55AC9F8EE567}"/>
    <cellStyle name="Comma 3 5 2 4 4" xfId="4344" xr:uid="{D12C3E16-D823-460C-A237-0FD38628AB0F}"/>
    <cellStyle name="Comma 3 5 2 5" xfId="3531" xr:uid="{D014B1BE-8956-48FB-8061-223A2444B888}"/>
    <cellStyle name="Comma 3 5 2 5 2" xfId="4018" xr:uid="{C1DD2883-7392-4ED0-9A3A-4E0A23C3A68E}"/>
    <cellStyle name="Comma 3 5 2 5 3" xfId="4480" xr:uid="{F4BE1339-2594-4C5F-9F1E-B6597A98BE6C}"/>
    <cellStyle name="Comma 3 5 2 6" xfId="3789" xr:uid="{5EF191FB-3EBE-4028-9A4E-2408967E5B35}"/>
    <cellStyle name="Comma 3 5 2 7" xfId="4254" xr:uid="{B62DF717-0289-4A87-B79C-963EB3E3C36F}"/>
    <cellStyle name="Comma 3 5 3" xfId="2890" xr:uid="{8DED1700-37BC-4DEB-8908-183FECA7AD2B}"/>
    <cellStyle name="Comma 3 5 3 2" xfId="2991" xr:uid="{616C6411-5912-4A05-B822-26D039962FF1}"/>
    <cellStyle name="Comma 3 5 3 2 2" xfId="3660" xr:uid="{DB316F9A-AFEE-4790-8801-6BC8E7798880}"/>
    <cellStyle name="Comma 3 5 3 2 2 2" xfId="4131" xr:uid="{1B249397-3BF2-49B7-9E7A-B33254EF05C2}"/>
    <cellStyle name="Comma 3 5 3 2 2 3" xfId="4611" xr:uid="{5CFF39BA-0B97-42E3-9361-D7BB8BD9F7F5}"/>
    <cellStyle name="Comma 3 5 3 2 3" xfId="3902" xr:uid="{F155CBD2-69CB-4949-B5A0-30B98E75289C}"/>
    <cellStyle name="Comma 3 5 3 2 4" xfId="4367" xr:uid="{2F7CAB2E-354D-4813-91D6-FF6F06869A05}"/>
    <cellStyle name="Comma 3 5 3 3" xfId="3559" xr:uid="{9EA85F05-5CF3-4CFE-9812-6C7C3CBA00BA}"/>
    <cellStyle name="Comma 3 5 3 3 2" xfId="4046" xr:uid="{3A11D5DC-CFD9-4FD2-943E-95B07A2905C6}"/>
    <cellStyle name="Comma 3 5 3 3 3" xfId="4519" xr:uid="{DA7C08E6-55D4-4AA6-82FF-686FAA5231FE}"/>
    <cellStyle name="Comma 3 5 3 4" xfId="3817" xr:uid="{8B0D7FD6-DEED-446D-8393-BD961DC7744A}"/>
    <cellStyle name="Comma 3 5 3 5" xfId="4282" xr:uid="{CD7CE260-D197-43B1-B652-2DEDCB06A644}"/>
    <cellStyle name="Comma 3 5 4" xfId="3434" xr:uid="{9667342D-ABB3-452F-B960-77B17D69792D}"/>
    <cellStyle name="Comma 3 5 4 2" xfId="3700" xr:uid="{F83C68D2-717F-4975-A0AB-81F49BB11E3C}"/>
    <cellStyle name="Comma 3 5 4 2 2" xfId="4171" xr:uid="{70E96711-4D2F-4FCE-A938-D2DB597237BB}"/>
    <cellStyle name="Comma 3 5 4 2 3" xfId="4539" xr:uid="{D52591A1-27CA-4053-ACF5-B3B8FE552B3F}"/>
    <cellStyle name="Comma 3 5 4 3" xfId="3942" xr:uid="{A83A5141-6AEC-44E2-91F3-80FCC2404CB2}"/>
    <cellStyle name="Comma 3 5 4 4" xfId="4407" xr:uid="{589E3FB1-F553-48DF-9B35-F5420E3FEC4E}"/>
    <cellStyle name="Comma 3 5 5" xfId="2935" xr:uid="{FFC6E611-FEFD-4D94-A987-5EC9C9496D39}"/>
    <cellStyle name="Comma 3 5 5 2" xfId="3604" xr:uid="{11BEE5D8-4547-4655-B2F6-A0B892559211}"/>
    <cellStyle name="Comma 3 5 5 2 2" xfId="4091" xr:uid="{60B5D3EC-7779-4468-8F27-CA7085E10396}"/>
    <cellStyle name="Comma 3 5 5 2 3" xfId="4571" xr:uid="{C14DD893-2BFD-4F15-9CBD-47A763152089}"/>
    <cellStyle name="Comma 3 5 5 3" xfId="3862" xr:uid="{5EB70E92-3E73-474D-9BF2-784E64AFFB11}"/>
    <cellStyle name="Comma 3 5 5 4" xfId="4327" xr:uid="{98D8F54F-9378-499D-BF2E-785A0EC37878}"/>
    <cellStyle name="Comma 3 5 6" xfId="3514" xr:uid="{0A4D5C66-EF7C-42BD-98A5-A9CD187D38A5}"/>
    <cellStyle name="Comma 3 5 6 2" xfId="4001" xr:uid="{BEB9DBBB-D0E5-4686-889B-D778814C19C3}"/>
    <cellStyle name="Comma 3 5 6 3" xfId="4463" xr:uid="{6A29CDB3-C5E9-4BA8-99EA-4F77BF783E83}"/>
    <cellStyle name="Comma 3 5 7" xfId="3772" xr:uid="{EDAA9900-A340-4B86-88BF-1A358E0FC5CD}"/>
    <cellStyle name="Comma 3 5 8" xfId="4237" xr:uid="{F3FC5821-F2DA-4161-9698-3ACDF5FCEEA8}"/>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2 2 2" xfId="4152" xr:uid="{EDA7C496-3B23-4A86-8C66-A475B1140799}"/>
    <cellStyle name="Comma 3 6 2 2 2 3" xfId="3923" xr:uid="{9F00281E-FB28-4822-8E69-0FDC00220DB1}"/>
    <cellStyle name="Comma 3 6 2 2 2 4" xfId="4388" xr:uid="{F9062EF4-599D-4CC9-82EB-7357342255F6}"/>
    <cellStyle name="Comma 3 6 2 2 3" xfId="3580" xr:uid="{B2CE409E-9D40-4B69-8B10-BEF12F44CAE6}"/>
    <cellStyle name="Comma 3 6 2 2 3 2" xfId="4067" xr:uid="{03AD620F-BAC4-4443-9EE1-A8457815AE63}"/>
    <cellStyle name="Comma 3 6 2 2 3 3" xfId="4592" xr:uid="{D7929F49-B115-419F-9E14-2248FC2D22FC}"/>
    <cellStyle name="Comma 3 6 2 2 4" xfId="3838" xr:uid="{9BFFB692-72A1-4A2A-AA75-73F7A7BC6F5D}"/>
    <cellStyle name="Comma 3 6 2 2 5" xfId="4303" xr:uid="{211E22D4-3022-4C06-800D-18529677C6C5}"/>
    <cellStyle name="Comma 3 6 2 3" xfId="3456" xr:uid="{19E13F85-9DEB-46B6-88D0-3E0159468281}"/>
    <cellStyle name="Comma 3 6 2 3 2" xfId="3721" xr:uid="{172A5543-0D9C-4C33-A386-3E65684B06E9}"/>
    <cellStyle name="Comma 3 6 2 3 2 2" xfId="4192" xr:uid="{154868FA-9F1D-4FBC-B154-25DF543A2559}"/>
    <cellStyle name="Comma 3 6 2 3 3" xfId="3963" xr:uid="{917BEBF8-B756-4713-907F-808AB54E8584}"/>
    <cellStyle name="Comma 3 6 2 3 4" xfId="4428" xr:uid="{F00F5D33-EC11-45DA-8908-9F0484634573}"/>
    <cellStyle name="Comma 3 6 2 4" xfId="2956" xr:uid="{A3FF41A8-82B3-4934-A392-049227BBD6CC}"/>
    <cellStyle name="Comma 3 6 2 4 2" xfId="3625" xr:uid="{78B8B414-F0ED-4A8B-A6E4-B0D4CFF7BF34}"/>
    <cellStyle name="Comma 3 6 2 4 2 2" xfId="4112" xr:uid="{85887622-A084-44DC-BB10-737A9E8E4393}"/>
    <cellStyle name="Comma 3 6 2 4 3" xfId="3883" xr:uid="{0BA19F51-E9DE-4175-86F7-2D36457C8BD2}"/>
    <cellStyle name="Comma 3 6 2 4 4" xfId="4348" xr:uid="{9559E2BB-0A2B-470C-BEBB-EFC324EF6575}"/>
    <cellStyle name="Comma 3 6 2 5" xfId="3535" xr:uid="{D993457B-BB89-4413-B123-2EE2A62D718C}"/>
    <cellStyle name="Comma 3 6 2 5 2" xfId="4022" xr:uid="{82B54582-3748-4364-A631-4F1458C0B816}"/>
    <cellStyle name="Comma 3 6 2 5 3" xfId="4484" xr:uid="{0D8EB2BC-4F96-4548-B856-156E2E6B4C52}"/>
    <cellStyle name="Comma 3 6 2 6" xfId="3793" xr:uid="{8EC28F25-7DB3-41F8-ADD3-9D27F88A178F}"/>
    <cellStyle name="Comma 3 6 2 7" xfId="4258" xr:uid="{8E68632E-3DF0-45E3-8FFF-41A7415E9E99}"/>
    <cellStyle name="Comma 3 6 3" xfId="2894" xr:uid="{878C4A08-86BD-49B7-A0A9-8A77F1045F64}"/>
    <cellStyle name="Comma 3 6 3 2" xfId="2995" xr:uid="{21565DD1-545A-4387-98D5-DA1DDE5800F6}"/>
    <cellStyle name="Comma 3 6 3 2 2" xfId="3664" xr:uid="{CE01EFA7-944E-4C88-836D-C73BEB9AA2D7}"/>
    <cellStyle name="Comma 3 6 3 2 2 2" xfId="4135" xr:uid="{3AF4F33D-B91C-410C-9677-6E71BA0863DA}"/>
    <cellStyle name="Comma 3 6 3 2 2 3" xfId="4615" xr:uid="{C65CDF3C-93A5-4BE7-9434-4C8655D59B8E}"/>
    <cellStyle name="Comma 3 6 3 2 3" xfId="3906" xr:uid="{A6121B26-A299-4511-9DB4-A1B8C3C735C4}"/>
    <cellStyle name="Comma 3 6 3 2 4" xfId="4371" xr:uid="{B8D4FE61-34E4-4B16-8FE7-1F82B4495D40}"/>
    <cellStyle name="Comma 3 6 3 3" xfId="3563" xr:uid="{65993E7F-2B56-4C43-BEBC-BF40D30BA7C1}"/>
    <cellStyle name="Comma 3 6 3 3 2" xfId="4050" xr:uid="{E0D45025-672F-4C07-8B2C-DB5238C84624}"/>
    <cellStyle name="Comma 3 6 3 3 3" xfId="4523" xr:uid="{4EDB64C9-2320-4F62-8BED-99B0B37554B9}"/>
    <cellStyle name="Comma 3 6 3 4" xfId="3821" xr:uid="{47157F66-7AFB-46BC-A45F-1C7025FD04E9}"/>
    <cellStyle name="Comma 3 6 3 5" xfId="4286" xr:uid="{C8577082-FD63-4E90-AFA3-F414896DCEBD}"/>
    <cellStyle name="Comma 3 6 4" xfId="3438" xr:uid="{E14B93A6-95BB-424A-B590-DA47656FABC7}"/>
    <cellStyle name="Comma 3 6 4 2" xfId="3704" xr:uid="{D86C5ADA-E3E5-4DE5-A865-D51ACA4464EE}"/>
    <cellStyle name="Comma 3 6 4 2 2" xfId="4175" xr:uid="{5B2647C8-4546-46C0-992A-9A7ABB0852DE}"/>
    <cellStyle name="Comma 3 6 4 2 3" xfId="4543" xr:uid="{707FF26D-13F4-477A-8CE4-BEB9DE5AED3C}"/>
    <cellStyle name="Comma 3 6 4 3" xfId="3946" xr:uid="{7AE0498D-7179-4674-B470-33D35DA90912}"/>
    <cellStyle name="Comma 3 6 4 4" xfId="4411" xr:uid="{9558ED13-F23E-479C-8765-321139CB662E}"/>
    <cellStyle name="Comma 3 6 5" xfId="2939" xr:uid="{2D4036A9-4261-4BED-A372-C431896DCDFF}"/>
    <cellStyle name="Comma 3 6 5 2" xfId="3608" xr:uid="{7B471FB4-98BA-4914-BEB5-BCD1D03B1023}"/>
    <cellStyle name="Comma 3 6 5 2 2" xfId="4095" xr:uid="{2DFA2E20-923E-465C-90BE-E5CF88F0D108}"/>
    <cellStyle name="Comma 3 6 5 2 3" xfId="4575" xr:uid="{8BF19B68-12E9-4A75-A1D4-0047D4F50CA5}"/>
    <cellStyle name="Comma 3 6 5 3" xfId="3866" xr:uid="{99439C1C-C682-4E2A-90E7-9C6C6D646DBE}"/>
    <cellStyle name="Comma 3 6 5 4" xfId="4331" xr:uid="{A456EEC0-4E5F-4E16-9CC3-5B2280EFB7D2}"/>
    <cellStyle name="Comma 3 6 6" xfId="3518" xr:uid="{1080763B-E43B-4A51-B60E-3351A50A5F10}"/>
    <cellStyle name="Comma 3 6 6 2" xfId="4005" xr:uid="{67BA28AC-9710-469A-B969-2A9A89461287}"/>
    <cellStyle name="Comma 3 6 6 3" xfId="4467" xr:uid="{5DD39E21-1B30-4007-932D-63E80F94E985}"/>
    <cellStyle name="Comma 3 6 7" xfId="3776" xr:uid="{C38EB49C-77E0-4216-8A41-038C3E203615}"/>
    <cellStyle name="Comma 3 6 8" xfId="4241" xr:uid="{80178E22-9A92-44F4-A88C-A581F508E7F4}"/>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2 2 2" xfId="4142" xr:uid="{44091DB1-9431-486F-B81E-0E7E3B92AC9C}"/>
    <cellStyle name="Comma 3 7 2 2 3" xfId="3913" xr:uid="{45C676FA-65CF-48C9-9941-8128E83C0DE3}"/>
    <cellStyle name="Comma 3 7 2 2 4" xfId="4378" xr:uid="{0EF686A6-C4D5-4419-8DE3-A67E368FC160}"/>
    <cellStyle name="Comma 3 7 2 3" xfId="3570" xr:uid="{F6123F3E-F786-4442-84A7-86A08CC76F03}"/>
    <cellStyle name="Comma 3 7 2 3 2" xfId="4057" xr:uid="{B970CDF7-5D87-4D58-B205-1DE355156EC8}"/>
    <cellStyle name="Comma 3 7 2 3 3" xfId="4582" xr:uid="{AF4B7194-F1A8-4D9F-A0F1-F58F0B9389A8}"/>
    <cellStyle name="Comma 3 7 2 4" xfId="3828" xr:uid="{CE88195D-7DEE-4193-B966-009A229350F4}"/>
    <cellStyle name="Comma 3 7 2 5" xfId="4293" xr:uid="{24DF7FFF-2296-433C-9784-252A8A56DAD2}"/>
    <cellStyle name="Comma 3 7 3" xfId="3446" xr:uid="{6BCC77A9-5E6A-42FB-A650-A80C2B2AFF75}"/>
    <cellStyle name="Comma 3 7 3 2" xfId="3711" xr:uid="{1F93ABAE-D387-40E1-874B-F6B0FF10DD60}"/>
    <cellStyle name="Comma 3 7 3 2 2" xfId="4182" xr:uid="{0A6406E6-19D9-47C6-848A-2C4CF2709D9D}"/>
    <cellStyle name="Comma 3 7 3 3" xfId="3953" xr:uid="{1E8D1D5A-81DA-468D-8151-029CB3C6DD0B}"/>
    <cellStyle name="Comma 3 7 3 4" xfId="4418" xr:uid="{0FAA74FF-BD26-4930-959E-14852D52263C}"/>
    <cellStyle name="Comma 3 7 4" xfId="2946" xr:uid="{7874155A-6C6D-499D-8A7C-5353A95E2735}"/>
    <cellStyle name="Comma 3 7 4 2" xfId="3615" xr:uid="{20059CE6-6314-459E-B521-5921E40A756C}"/>
    <cellStyle name="Comma 3 7 4 2 2" xfId="4102" xr:uid="{487CFCC9-6CB9-49D0-987C-BD048B6DD641}"/>
    <cellStyle name="Comma 3 7 4 3" xfId="3873" xr:uid="{68788EC2-929F-45A0-B78A-384A3B14A88E}"/>
    <cellStyle name="Comma 3 7 4 4" xfId="4338" xr:uid="{E19B33F5-5FE0-4C98-999D-872893C02FBB}"/>
    <cellStyle name="Comma 3 7 5" xfId="3525" xr:uid="{14E23C52-4FA2-4526-BF01-6D29D8541278}"/>
    <cellStyle name="Comma 3 7 5 2" xfId="4012" xr:uid="{E6282672-241C-46E0-903C-43198B43A7B4}"/>
    <cellStyle name="Comma 3 7 5 3" xfId="4474" xr:uid="{07A54076-BC61-40C0-AA56-992C1B4F11C0}"/>
    <cellStyle name="Comma 3 7 6" xfId="3783" xr:uid="{27DB554B-B5AA-4127-8E83-DA826C753018}"/>
    <cellStyle name="Comma 3 7 7" xfId="4248" xr:uid="{68D7A2FD-E578-4568-9D76-5407C51AC138}"/>
    <cellStyle name="Comma 3 8" xfId="2884" xr:uid="{C9B36F34-9130-45D3-A320-1346E09E7C87}"/>
    <cellStyle name="Comma 3 8 2" xfId="2971" xr:uid="{C66229D5-25D3-410F-BC0E-43D220C9A4F2}"/>
    <cellStyle name="Comma 3 8 2 2" xfId="3640" xr:uid="{0E63BC05-6BCC-41C7-9EEF-4F073555BFC4}"/>
    <cellStyle name="Comma 3 8 2 2 2" xfId="4125" xr:uid="{27089A01-EDD2-44B0-A682-CAAA19DB382F}"/>
    <cellStyle name="Comma 3 8 2 2 3" xfId="4605" xr:uid="{25DF080B-C4D1-4980-948A-BE84E92E39BD}"/>
    <cellStyle name="Comma 3 8 2 3" xfId="3896" xr:uid="{9FA9EA55-B8F6-40C5-9CF0-76D6284180ED}"/>
    <cellStyle name="Comma 3 8 2 4" xfId="4361" xr:uid="{4F2C9FD4-21CA-4733-B60A-F1B0C0F741B0}"/>
    <cellStyle name="Comma 3 8 3" xfId="3553" xr:uid="{42BDFCAE-3765-4057-9BC9-F0181DC541E3}"/>
    <cellStyle name="Comma 3 8 3 2" xfId="4040" xr:uid="{28595F04-A862-4785-8156-FFB0C80432C9}"/>
    <cellStyle name="Comma 3 8 3 3" xfId="4499" xr:uid="{2F629B9F-3325-4C31-9352-A370179636A1}"/>
    <cellStyle name="Comma 3 8 4" xfId="3811" xr:uid="{B3F387E9-6BFF-4A28-A9D1-400DC4FE360D}"/>
    <cellStyle name="Comma 3 8 5" xfId="4276" xr:uid="{8887AF57-AD80-4ECF-BAC9-93AEEB360D1F}"/>
    <cellStyle name="Comma 3 9" xfId="3039" xr:uid="{3C8CAE85-D6B1-4E5C-BEC0-FA4EEF3BBF18}"/>
    <cellStyle name="Comma 3 9 2" xfId="3694" xr:uid="{E3E723CF-DE91-4D77-91A1-CED072A62EB6}"/>
    <cellStyle name="Comma 3 9 2 2" xfId="4165" xr:uid="{A4235005-2EA2-47E3-A50F-B9EA6158DA5B}"/>
    <cellStyle name="Comma 3 9 2 3" xfId="4533" xr:uid="{C73D03D6-B081-4B73-B466-FFC210089F4D}"/>
    <cellStyle name="Comma 3 9 3" xfId="3936" xr:uid="{EEF90EF6-8899-47CF-AEA6-025A5C5D1634}"/>
    <cellStyle name="Comma 3 9 4" xfId="4401" xr:uid="{4A9F87D0-0A3D-45D7-8193-34A24F81A91A}"/>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2 2 2" xfId="4155" xr:uid="{2B5FF452-FEF1-4E18-8A28-C8C56A6C37C2}"/>
    <cellStyle name="Comma 5 2 2 3" xfId="3926" xr:uid="{5EAC9C08-9275-436A-B805-26BBBA27C03A}"/>
    <cellStyle name="Comma 5 2 2 4" xfId="4391" xr:uid="{520DB5F1-80D8-4DEF-8F48-649D0A121D6D}"/>
    <cellStyle name="Comma 5 2 3" xfId="3583" xr:uid="{62BEFAF8-5C29-4B53-B718-116974703191}"/>
    <cellStyle name="Comma 5 2 3 2" xfId="4070" xr:uid="{0FC0D4AD-F695-415E-89A6-E6906E7C8A97}"/>
    <cellStyle name="Comma 5 2 3 3" xfId="4595" xr:uid="{58A5C3EE-40F9-4B68-AE42-4C5848B66A73}"/>
    <cellStyle name="Comma 5 2 4" xfId="3841" xr:uid="{6EF51CEC-AABC-4DED-93E4-6C00643C8119}"/>
    <cellStyle name="Comma 5 2 5" xfId="4306" xr:uid="{89C44D65-30CF-41AB-97B8-07DBE17A4A10}"/>
    <cellStyle name="Comma 5 3" xfId="3459" xr:uid="{0B6DD5F4-4107-4CA4-A2E3-D7AB3A9A1363}"/>
    <cellStyle name="Comma 5 3 2" xfId="3724" xr:uid="{AB56FAF0-0D2B-4E84-ABDF-D24B4DFBDEFF}"/>
    <cellStyle name="Comma 5 3 2 2" xfId="4195" xr:uid="{136D370C-EC22-4B13-B983-557EB4D6EDCB}"/>
    <cellStyle name="Comma 5 3 3" xfId="3966" xr:uid="{A33544F6-5485-4A31-80A1-F21FE8FC9366}"/>
    <cellStyle name="Comma 5 3 4" xfId="4431" xr:uid="{34FD4851-7F17-48E9-BD15-5B3E725941FC}"/>
    <cellStyle name="Comma 5 4" xfId="2959" xr:uid="{BD4641BD-368C-4B1B-8C20-165DBCF2D8FC}"/>
    <cellStyle name="Comma 5 4 2" xfId="3628" xr:uid="{8B085F66-FD5D-4DD6-944F-EEA6294E187A}"/>
    <cellStyle name="Comma 5 4 2 2" xfId="4115" xr:uid="{55CB7EB0-C373-4D7D-A687-163B28E2D42B}"/>
    <cellStyle name="Comma 5 4 3" xfId="3886" xr:uid="{A28FDEAF-552B-4A09-8E40-25344B8C058E}"/>
    <cellStyle name="Comma 5 4 4" xfId="4351" xr:uid="{D9FCFA93-F9B2-4810-B86B-828E74EB1BB4}"/>
    <cellStyle name="Comma 5 5" xfId="3538" xr:uid="{9CA2F56D-1D50-47EC-92E7-BED589E2846D}"/>
    <cellStyle name="Comma 5 5 2" xfId="4025" xr:uid="{3F5FB360-BFCD-4BC9-B996-27DD7BBCF7B4}"/>
    <cellStyle name="Comma 5 5 3" xfId="4487" xr:uid="{98CAA950-7D37-4997-8E05-7F380EEEB809}"/>
    <cellStyle name="Comma 5 6" xfId="3796" xr:uid="{C7BEE0DE-3DF4-40A5-97EE-DD906407413E}"/>
    <cellStyle name="Comma 5 7" xfId="4261" xr:uid="{5A0F67BA-0D8A-44D0-A4D1-FD7AB47C143A}"/>
    <cellStyle name="Comma 58 2" xfId="1739" xr:uid="{0A8BC880-0544-4B8B-85FA-3F064FCB882F}"/>
    <cellStyle name="Comma 6" xfId="3480" xr:uid="{2F647900-AECC-4EC3-B7E1-70600B07B3B9}"/>
    <cellStyle name="Comma 6 2" xfId="3727" xr:uid="{478A7263-B51A-4F65-99EC-CEC9C2D4F793}"/>
    <cellStyle name="Comma 6 2 2" xfId="4198" xr:uid="{43BFCC52-FD3B-435F-8697-B512EF88F105}"/>
    <cellStyle name="Comma 6 3" xfId="3969" xr:uid="{49CFA353-8778-4AAE-9697-3DCC8D74F016}"/>
    <cellStyle name="Comma 6 4" xfId="4434" xr:uid="{DAE4BD4F-A4FD-436D-8F84-7B68AC0FC549}"/>
    <cellStyle name="Comma 7" xfId="3489" xr:uid="{B85F0E73-3223-4595-8AAA-D12E56954A25}"/>
    <cellStyle name="Comma 7 2" xfId="4442" xr:uid="{8A1A5D91-B4E1-475B-AAC3-9864EED113D9}"/>
    <cellStyle name="Comma 8" xfId="3737" xr:uid="{0BE5ACB8-7A2C-41BF-AAE3-6976D131805D}"/>
    <cellStyle name="Comma 8 2" xfId="4208" xr:uid="{5801F79F-7329-4DD8-8439-0633FE21ED4B}"/>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omma0 3 2 2" xfId="4501" xr:uid="{C6F6A791-3923-4AAC-9305-8B70A13C35BF}"/>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2 2 2 2" xfId="4511" xr:uid="{C64B71AA-4A8D-4F0D-BFEE-BB96DE436B84}"/>
    <cellStyle name="Currency 2 3 2 3" xfId="4563" xr:uid="{39B53B17-83FA-42B9-B188-6B0EAB7A1EA0}"/>
    <cellStyle name="Currency 2 3 3" xfId="1744" xr:uid="{E8A447D8-FA10-486C-B174-87BDE1CB191A}"/>
    <cellStyle name="Currency 2 3 4" xfId="2974" xr:uid="{3FE68627-29FC-4A71-AD45-271DA587CD52}"/>
    <cellStyle name="Currency 2 3 4 2" xfId="3643" xr:uid="{94F9E630-2F74-473C-994B-8A828BE5630E}"/>
    <cellStyle name="Currency 2 3 4 2 2" xfId="4502" xr:uid="{0BCD6EE4-47FF-469C-996C-4F2FF9856006}"/>
    <cellStyle name="Currency 2 4" xfId="1746" xr:uid="{4F32A201-0008-4C8C-94C0-B9033C0DAE82}"/>
    <cellStyle name="Currency 2 4 2" xfId="2984" xr:uid="{2631C52C-0E85-46D6-9746-2B0EC7B2596E}"/>
    <cellStyle name="Currency 2 4 2 2" xfId="3653" xr:uid="{5B04912D-68BE-4A7B-8C79-0862C633F5A1}"/>
    <cellStyle name="Currency 2 4 2 2 2" xfId="4512" xr:uid="{C5DE23BB-39D3-41C3-961F-3708CD1560A0}"/>
    <cellStyle name="Currency 2 4 3" xfId="4564" xr:uid="{C649ED28-98F7-41BC-9196-0AAC32F7A560}"/>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 2" xfId="4210" xr:uid="{E848B082-7728-4D9A-BB56-6EFDEDCD0D14}"/>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Currency0 3 2 2" xfId="4503" xr:uid="{2EF439A7-D615-49F3-86EF-0A31E855E0CD}"/>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3 2 2 2" xfId="4513" xr:uid="{3935895D-9855-4C43-AD96-CFB91B9C5BEB}"/>
    <cellStyle name="Hyperlink 2 2 3 3" xfId="4565" xr:uid="{6FEF24E4-BE88-47E1-AF0B-D16E8E0D1898}"/>
    <cellStyle name="Hyperlink 2 2 4" xfId="2976" xr:uid="{29E2F76E-18E0-430C-BC48-EB51D0983C2C}"/>
    <cellStyle name="Hyperlink 2 2 4 2" xfId="3645" xr:uid="{7A5576E9-2731-493B-8B4D-98429123C51C}"/>
    <cellStyle name="Hyperlink 2 2 4 2 2" xfId="4504" xr:uid="{1B1C2D99-0C6B-4043-A5F9-C5AC450CA19E}"/>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4 2 2 2" xfId="4514" xr:uid="{2ABC9774-B221-4DD8-A102-3EB9121B3B93}"/>
    <cellStyle name="Hyperlink 2 4 3" xfId="4566" xr:uid="{2A3ECDAF-FA9E-414B-9389-42CC256AF977}"/>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0 3" xfId="3976" xr:uid="{8BCB9890-A2DA-420F-B891-1D17E58FD415}"/>
    <cellStyle name="Normal 11" xfId="3736" xr:uid="{22FC7D92-58AD-4262-B9F8-B3AB13B9FC8F}"/>
    <cellStyle name="Normal 11 2" xfId="2256" xr:uid="{BD22F16C-3B46-41A3-8599-23E2D3BD8AAF}"/>
    <cellStyle name="Normal 11 3" xfId="4207" xr:uid="{F0DF6274-BE8D-41C4-A645-A418E86A1EBC}"/>
    <cellStyle name="Normal 12" xfId="3738" xr:uid="{C2596002-6726-4E71-AB9E-E912A4AB71C8}"/>
    <cellStyle name="Normal 12 2" xfId="4209" xr:uid="{DA984AD8-E53D-4147-9900-BD5D3319259D}"/>
    <cellStyle name="Normal 13" xfId="3740" xr:uid="{2E155E72-2D7F-42EA-9740-DF83CC070FF9}"/>
    <cellStyle name="Normal 13 2" xfId="4211" xr:uid="{58239112-953C-45FA-A6D5-7A71C8E61648}"/>
    <cellStyle name="Normal 13 3" xfId="4621" xr:uid="{BD27C40D-97FF-49C9-9602-07E02DB8CEAC}"/>
    <cellStyle name="Normal 14" xfId="4617" xr:uid="{EF54FE21-B6C6-4B5D-8AC2-DD8A17965989}"/>
    <cellStyle name="Normal 15" xfId="4620" xr:uid="{721D11EF-7CFC-449A-925C-696AB8F7A0A3}"/>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2 2 2 2" xfId="4515" xr:uid="{EF24D983-52B8-4682-93E0-432718EC7363}"/>
    <cellStyle name="Normal 2 2 2 3" xfId="4567" xr:uid="{5B83426A-0B09-4ED0-A5B7-979D2B0BCCAA}"/>
    <cellStyle name="Normal 2 2 3" xfId="2257" xr:uid="{9C89983E-1509-4A30-9AC2-A49E3B314E24}"/>
    <cellStyle name="Normal 2 2 4" xfId="2977" xr:uid="{4B1D0E30-C28E-4C1F-BE61-843936C42095}"/>
    <cellStyle name="Normal 2 2 4 2" xfId="3646" xr:uid="{D9931BC7-CDDD-4AC6-9CE2-4D4F8938C203}"/>
    <cellStyle name="Normal 2 2 4 2 2" xfId="4505" xr:uid="{945AC4FB-EF60-4F90-B3D9-713CBC47CBF8}"/>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2 2 2" xfId="4137" xr:uid="{D30A0EC1-E91E-434B-BF3E-179797D9B3D1}"/>
    <cellStyle name="Normal 3 10 2 2 3" xfId="3908" xr:uid="{E6D6644F-00C2-4CB0-9A17-4BF6446D7A9F}"/>
    <cellStyle name="Normal 3 10 2 2 4" xfId="4373" xr:uid="{8B510EEB-E6A1-468B-A674-AD6C713C2946}"/>
    <cellStyle name="Normal 3 10 2 3" xfId="3565" xr:uid="{02304A72-2AC1-4481-8B44-9DBF1C9C679E}"/>
    <cellStyle name="Normal 3 10 2 3 2" xfId="4052" xr:uid="{39145B96-166C-4514-B07F-C787ADDAA546}"/>
    <cellStyle name="Normal 3 10 2 3 3" xfId="4577" xr:uid="{99934770-F801-43FC-BA19-A2FE6A84AE91}"/>
    <cellStyle name="Normal 3 10 2 4" xfId="3823" xr:uid="{51F2C87D-3E2A-46B7-BDD2-ECCF2C477F84}"/>
    <cellStyle name="Normal 3 10 2 5" xfId="4288" xr:uid="{ED54B2B5-39D2-4C29-B580-73B8ADE971EB}"/>
    <cellStyle name="Normal 3 10 3" xfId="3441" xr:uid="{5AD22851-273F-402C-B72C-A848480C2C01}"/>
    <cellStyle name="Normal 3 10 3 2" xfId="3706" xr:uid="{6396958C-2FEE-4741-9C04-0D953DBD4B2B}"/>
    <cellStyle name="Normal 3 10 3 2 2" xfId="4177" xr:uid="{966EC856-6EE2-48CF-A44D-9C10FE7F4FAB}"/>
    <cellStyle name="Normal 3 10 3 3" xfId="3948" xr:uid="{435C3716-AC2E-411E-992F-C16644501E4B}"/>
    <cellStyle name="Normal 3 10 3 4" xfId="4413" xr:uid="{3FB93F89-49CD-4B75-B645-3E586067CA71}"/>
    <cellStyle name="Normal 3 10 4" xfId="2941" xr:uid="{462CDA6A-0C52-4C07-B947-2BC7D626CDC2}"/>
    <cellStyle name="Normal 3 10 4 2" xfId="3610" xr:uid="{6911D803-67A5-4D99-BFDD-EEA0E5856FFC}"/>
    <cellStyle name="Normal 3 10 4 2 2" xfId="4097" xr:uid="{03EBA8E9-0C7E-4ADD-8F90-B8F591375EC7}"/>
    <cellStyle name="Normal 3 10 4 3" xfId="3868" xr:uid="{FFF20D72-7E0F-4B03-8A49-01182C67D58F}"/>
    <cellStyle name="Normal 3 10 4 4" xfId="4333" xr:uid="{5FCCCB71-83F8-464E-B32C-E563C598A082}"/>
    <cellStyle name="Normal 3 10 5" xfId="3520" xr:uid="{A7366CB9-D620-4BFE-85E8-7DDC3FFAF77F}"/>
    <cellStyle name="Normal 3 10 5 2" xfId="4007" xr:uid="{EE3A7F75-F486-4D80-8140-AA33E3F95C43}"/>
    <cellStyle name="Normal 3 10 5 3" xfId="4469" xr:uid="{82285B75-67A3-4CFD-BCAD-0DA3DBFCF3A0}"/>
    <cellStyle name="Normal 3 10 6" xfId="3778" xr:uid="{5D25B9C8-ED6F-4D50-9089-2EE6A233C278}"/>
    <cellStyle name="Normal 3 10 7" xfId="4243" xr:uid="{91CE50B9-451B-45E7-85D4-9F0320B9E472}"/>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2 2 2" xfId="4156" xr:uid="{22B12D43-8F2F-462C-A85A-FF7B9AAE8E46}"/>
    <cellStyle name="Normal 3 11 2 2 3" xfId="3927" xr:uid="{F18564D0-73CF-43D0-BF66-D96435445480}"/>
    <cellStyle name="Normal 3 11 2 2 4" xfId="4392" xr:uid="{2D803ADD-494C-4259-9F95-665908058B1F}"/>
    <cellStyle name="Normal 3 11 2 3" xfId="3584" xr:uid="{687EC46E-A000-4D42-80C4-AB6653969B40}"/>
    <cellStyle name="Normal 3 11 2 3 2" xfId="4071" xr:uid="{281F0D41-DD12-4493-8B28-B62E8C051F04}"/>
    <cellStyle name="Normal 3 11 2 3 3" xfId="4596" xr:uid="{EAB5234E-CF39-4175-8BE5-4686A4CCCD42}"/>
    <cellStyle name="Normal 3 11 2 4" xfId="3842" xr:uid="{10AC6550-BAA4-4ABC-9835-4274AB72F87B}"/>
    <cellStyle name="Normal 3 11 2 5" xfId="4307" xr:uid="{A0E093C1-BAC4-4578-A450-7BA62F6AC1BA}"/>
    <cellStyle name="Normal 3 11 3" xfId="3460" xr:uid="{473FAF2A-6114-441A-921E-EE0D3A1E7E02}"/>
    <cellStyle name="Normal 3 11 3 2" xfId="3725" xr:uid="{FC14E282-5371-431C-A046-680CF234803C}"/>
    <cellStyle name="Normal 3 11 3 2 2" xfId="4196" xr:uid="{F126DC1C-DCF5-4985-A576-9F821BE4B35E}"/>
    <cellStyle name="Normal 3 11 3 3" xfId="3967" xr:uid="{624323BB-AF0C-4666-8087-E461F3053F87}"/>
    <cellStyle name="Normal 3 11 3 4" xfId="4432" xr:uid="{EDA22406-D1EE-437D-9E83-F0359E8FBD17}"/>
    <cellStyle name="Normal 3 11 4" xfId="2960" xr:uid="{40DC0902-9D4C-42AA-8E56-D6A3EE61A3CF}"/>
    <cellStyle name="Normal 3 11 4 2" xfId="3629" xr:uid="{4A6DDF94-E641-429C-BE70-151C60D2BE02}"/>
    <cellStyle name="Normal 3 11 4 2 2" xfId="4116" xr:uid="{4E0C6934-E201-462E-9ABE-C7D17DB987BF}"/>
    <cellStyle name="Normal 3 11 4 3" xfId="3887" xr:uid="{62A6D945-80B6-421F-930B-C0869D18DF1B}"/>
    <cellStyle name="Normal 3 11 4 4" xfId="4352" xr:uid="{BA1F5346-A463-4A5F-8910-74AF39129D64}"/>
    <cellStyle name="Normal 3 11 5" xfId="3539" xr:uid="{7623E7D9-61BB-49B8-BFD6-E35F56069002}"/>
    <cellStyle name="Normal 3 11 5 2" xfId="4026" xr:uid="{E5CEF908-0624-45E0-A62D-0AD4DD2393CC}"/>
    <cellStyle name="Normal 3 11 5 3" xfId="4488" xr:uid="{E76D14C2-7C52-4392-95EC-8B1F7BEE5041}"/>
    <cellStyle name="Normal 3 11 6" xfId="3797" xr:uid="{FFE3BD12-D803-441B-BBFD-DF15BFAA3F1A}"/>
    <cellStyle name="Normal 3 11 7" xfId="4262" xr:uid="{E52A7EA8-A834-488B-8D15-4129112E71BC}"/>
    <cellStyle name="Normal 3 12" xfId="30" xr:uid="{CE7437FF-0DB7-410E-9D29-AFC41BAB1D47}"/>
    <cellStyle name="Normal 3 12 2" xfId="2876" xr:uid="{89019A92-E6D6-4AF1-A636-0C9530E78615}"/>
    <cellStyle name="Normal 3 12 2 2" xfId="3545" xr:uid="{2C114EFA-BAE4-4E13-8DEA-0CB8A46AFCC2}"/>
    <cellStyle name="Normal 3 12 2 2 2" xfId="4032" xr:uid="{EDB4E793-267E-46AA-ABEC-846AAF334739}"/>
    <cellStyle name="Normal 3 12 2 2 3" xfId="4550" xr:uid="{059E3299-A325-425D-8597-738D9992CA53}"/>
    <cellStyle name="Normal 3 12 2 3" xfId="3803" xr:uid="{4BB29B31-7600-49B3-8E3E-951FE7118470}"/>
    <cellStyle name="Normal 3 12 2 4" xfId="4268" xr:uid="{EEFF3ED0-D273-46D5-8F97-F1C6A7BE4867}"/>
    <cellStyle name="Normal 3 12 3" xfId="2921" xr:uid="{72794F26-51F0-4D55-886D-1D1D5505C926}"/>
    <cellStyle name="Normal 3 12 3 2" xfId="3590" xr:uid="{2DFDE289-0A01-4BD9-B890-08D3D58BB688}"/>
    <cellStyle name="Normal 3 12 3 2 2" xfId="4077" xr:uid="{D3A89F6C-28FB-40E7-98CE-257CA9380D4A}"/>
    <cellStyle name="Normal 3 12 3 3" xfId="3848" xr:uid="{4CFE0846-A030-4851-AD9A-0AF9AB7446AE}"/>
    <cellStyle name="Normal 3 12 3 4" xfId="4313" xr:uid="{1B48127D-EE69-40C8-B9B7-5A7B154E3D5C}"/>
    <cellStyle name="Normal 3 12 4" xfId="3500" xr:uid="{C5A3EFFA-2CF0-491B-BC77-0561BEB79347}"/>
    <cellStyle name="Normal 3 12 4 2" xfId="3987" xr:uid="{7B79BE60-7974-4CD8-9973-A8D4DE942FB1}"/>
    <cellStyle name="Normal 3 12 4 3" xfId="4449" xr:uid="{96969162-AB92-4A0D-879F-D0FBB8BC5038}"/>
    <cellStyle name="Normal 3 12 5" xfId="3758" xr:uid="{AD47344C-E0A9-4094-B35E-593DB42E0885}"/>
    <cellStyle name="Normal 3 12 6" xfId="4223" xr:uid="{F005A0A1-9341-41D2-96EE-98CB198E91B8}"/>
    <cellStyle name="Normal 3 13" xfId="25" xr:uid="{5222AD7C-95CC-4035-B9B7-EAF5571229F0}"/>
    <cellStyle name="Normal 3 13 2" xfId="2961" xr:uid="{E4AE2F3C-F6EF-467F-BE76-66448912965B}"/>
    <cellStyle name="Normal 3 13 2 2" xfId="3630" xr:uid="{0C4C316D-B335-4DE8-B4BA-6BCF12C3253F}"/>
    <cellStyle name="Normal 3 13 2 2 2" xfId="4117" xr:uid="{43AAAFEA-0389-4636-9808-240AE8BA02C4}"/>
    <cellStyle name="Normal 3 13 2 2 3" xfId="4597" xr:uid="{158A81C8-CDEF-4E53-9325-BC52D5DCFDAE}"/>
    <cellStyle name="Normal 3 13 2 3" xfId="3888" xr:uid="{E0025068-101D-4AD1-9DE9-C2DA46E5EFC2}"/>
    <cellStyle name="Normal 3 13 2 4" xfId="4353" xr:uid="{31503482-5508-4FC9-9B5F-D96C41763B83}"/>
    <cellStyle name="Normal 3 13 3" xfId="3495" xr:uid="{5C90E67B-BE9E-4A09-BE46-8EA2C0777640}"/>
    <cellStyle name="Normal 3 13 3 2" xfId="3982" xr:uid="{AF2A5ABC-5126-4AB9-BEDD-02F35E9CE027}"/>
    <cellStyle name="Normal 3 13 3 3" xfId="4489" xr:uid="{76D4E8F1-63D8-4AFC-BB7A-F243E37B7434}"/>
    <cellStyle name="Normal 3 13 4" xfId="3753" xr:uid="{073DE30B-D451-4000-8C0F-20962BF0F18A}"/>
    <cellStyle name="Normal 3 13 5" xfId="4218" xr:uid="{70CBC59A-1FFA-4B4A-83AA-200E62A50556}"/>
    <cellStyle name="Normal 3 14" xfId="2871" xr:uid="{9BC96785-724F-4771-B0E8-0873FA9C0C9E}"/>
    <cellStyle name="Normal 3 14 2" xfId="3017" xr:uid="{7B9A33BF-D1B1-4F8F-B587-EDE13C531914}"/>
    <cellStyle name="Normal 3 14 2 2" xfId="3686" xr:uid="{3055CFB1-19FD-4A7B-8F7F-ED8BEEB24848}"/>
    <cellStyle name="Normal 3 14 2 2 2" xfId="4157" xr:uid="{C3AA96B2-0041-4ED3-863F-D34E4894689D}"/>
    <cellStyle name="Normal 3 14 2 3" xfId="3928" xr:uid="{3163C25D-EFAF-4F33-B918-F414AD8955AB}"/>
    <cellStyle name="Normal 3 14 2 4" xfId="4393" xr:uid="{11BD326B-FAF3-4340-96B5-EC3013D8E1AA}"/>
    <cellStyle name="Normal 3 14 3" xfId="3540" xr:uid="{1FEF3577-6A9F-44CE-B975-AD63EEAC2406}"/>
    <cellStyle name="Normal 3 14 3 2" xfId="4027" xr:uid="{D6DABB7B-AAD2-4573-831D-A05CC9C63C57}"/>
    <cellStyle name="Normal 3 14 3 3" xfId="4525" xr:uid="{3478B67A-6DF1-4530-BCB1-D337E871A1D1}"/>
    <cellStyle name="Normal 3 14 4" xfId="3798" xr:uid="{9AE9E358-6863-4473-9B21-F8C7FD541265}"/>
    <cellStyle name="Normal 3 14 5" xfId="4263" xr:uid="{7444F6EF-14B9-4A88-8181-89A5629C720E}"/>
    <cellStyle name="Normal 3 15" xfId="3481" xr:uid="{93AD2539-2E2D-421F-AF08-E422C8555185}"/>
    <cellStyle name="Normal 3 15 2" xfId="3728" xr:uid="{9FBEFE11-E946-4BC0-8C71-4846E3B94257}"/>
    <cellStyle name="Normal 3 15 2 2" xfId="4199" xr:uid="{029CB31B-73F5-494F-A272-2EB655A7DC73}"/>
    <cellStyle name="Normal 3 15 2 3" xfId="4545" xr:uid="{199A279D-0B60-4EA6-82B1-5FB1D97161AC}"/>
    <cellStyle name="Normal 3 15 3" xfId="3970" xr:uid="{59B7014F-82CE-45BB-8BBF-D59041D6BA19}"/>
    <cellStyle name="Normal 3 15 4" xfId="4435" xr:uid="{4EBF0985-678E-4E84-A150-8C04765193DE}"/>
    <cellStyle name="Normal 3 16" xfId="3482" xr:uid="{DA5E3B33-0D5D-4015-BC69-CAD4D66474EE}"/>
    <cellStyle name="Normal 3 16 2" xfId="3729" xr:uid="{A14504B8-2B59-45DC-A5B5-3F8CB6B56A7A}"/>
    <cellStyle name="Normal 3 16 2 2" xfId="4200" xr:uid="{5600970F-40A6-4A49-AC91-B668751170D3}"/>
    <cellStyle name="Normal 3 16 3" xfId="3971" xr:uid="{C2A968E8-6714-45E7-ADBB-F6736A13AB4F}"/>
    <cellStyle name="Normal 3 16 4" xfId="4436" xr:uid="{3EFA9AA7-0CDB-40FF-A183-5159DED57453}"/>
    <cellStyle name="Normal 3 17" xfId="2916" xr:uid="{E1470D30-0968-4AB4-86AA-CE8CC35963C2}"/>
    <cellStyle name="Normal 3 17 2" xfId="3585" xr:uid="{254563E4-644F-4A09-AC36-FBE4DD950CA6}"/>
    <cellStyle name="Normal 3 17 2 2" xfId="4072" xr:uid="{F4D86EC5-38E1-480A-9E31-3CC78844FAA9}"/>
    <cellStyle name="Normal 3 17 3" xfId="3843" xr:uid="{F3DA7C94-FC7B-4BEF-8BCD-F638ADFF6478}"/>
    <cellStyle name="Normal 3 17 4" xfId="4308" xr:uid="{1AD06233-3C16-4F2B-9341-966914D9A652}"/>
    <cellStyle name="Normal 3 18" xfId="3490" xr:uid="{5BF230E3-1F3B-4052-A93C-A945A2CA2145}"/>
    <cellStyle name="Normal 3 18 2" xfId="3977" xr:uid="{CE065D0C-CE5B-436B-A8E0-708C92512886}"/>
    <cellStyle name="Normal 3 18 3" xfId="4443" xr:uid="{3F53E02E-63E2-45C2-A724-3D44023375CC}"/>
    <cellStyle name="Normal 3 19" xfId="20" xr:uid="{01FAD78A-0759-4848-9D6B-26241B42F2ED}"/>
    <cellStyle name="Normal 3 19 2" xfId="3748" xr:uid="{FAEC68F2-3BD6-4049-8187-AD2F243BFFE8}"/>
    <cellStyle name="Normal 3 19 3" xfId="4444" xr:uid="{0A57DDD7-EC6B-4EC8-8007-D552BF19DAC8}"/>
    <cellStyle name="Normal 3 2" xfId="14" xr:uid="{00000000-0005-0000-0000-000006000000}"/>
    <cellStyle name="Normal 3 2 10" xfId="3483" xr:uid="{204754A9-C5C4-49E8-B53E-3445CB1B94B3}"/>
    <cellStyle name="Normal 3 2 10 2" xfId="3730" xr:uid="{10FB8932-2484-4AEC-B949-990BE1A824BE}"/>
    <cellStyle name="Normal 3 2 10 2 2" xfId="4201" xr:uid="{63B32ECA-667A-4064-AFE9-52A4FBC62A0C}"/>
    <cellStyle name="Normal 3 2 10 2 3" xfId="4546" xr:uid="{2A4AC902-C219-4311-99EE-5BA1C2FDEECE}"/>
    <cellStyle name="Normal 3 2 10 3" xfId="3972" xr:uid="{D47CE39B-D2BD-4389-841F-FCB3391C7763}"/>
    <cellStyle name="Normal 3 2 10 4" xfId="4437" xr:uid="{A629830A-112E-40A5-9EE7-14CD29D5AEAB}"/>
    <cellStyle name="Normal 3 2 11" xfId="2917" xr:uid="{E35462F0-8F70-4525-96D0-17696167AD10}"/>
    <cellStyle name="Normal 3 2 11 2" xfId="3586" xr:uid="{4932E65F-F071-4A37-B3CE-70FD45154E58}"/>
    <cellStyle name="Normal 3 2 11 2 2" xfId="4073" xr:uid="{4123E975-CD88-42F9-B494-25DC9F750200}"/>
    <cellStyle name="Normal 3 2 11 3" xfId="3844" xr:uid="{DE7ED696-E314-488A-820B-F0851944E4FC}"/>
    <cellStyle name="Normal 3 2 11 4" xfId="4309" xr:uid="{5142CD5C-516D-41AD-AB8F-5B6C510220C9}"/>
    <cellStyle name="Normal 3 2 12" xfId="3491" xr:uid="{E6FA6BF8-52AA-49A2-95E3-BF658A677DAB}"/>
    <cellStyle name="Normal 3 2 12 2" xfId="3978" xr:uid="{B527EF9E-C92A-4C95-8C20-A0F4EE05173B}"/>
    <cellStyle name="Normal 3 2 12 3" xfId="4445" xr:uid="{3D68115B-4EB3-488E-ABB2-CAB2DC4F17A7}"/>
    <cellStyle name="Normal 3 2 13" xfId="21" xr:uid="{25DBC5BC-7E32-4E3B-A20B-D4888C99BA99}"/>
    <cellStyle name="Normal 3 2 13 2" xfId="3749" xr:uid="{E4917FF5-CCDD-44EC-984F-9034CBAD2207}"/>
    <cellStyle name="Normal 3 2 14" xfId="3743" xr:uid="{47154482-BFC9-4196-994B-0D5964FCCF5C}"/>
    <cellStyle name="Normal 3 2 15" xfId="4214" xr:uid="{909D5F3B-534E-4FAC-8BB2-C213FD79E58E}"/>
    <cellStyle name="Normal 3 2 2" xfId="18" xr:uid="{00000000-0005-0000-0000-000007000000}"/>
    <cellStyle name="Normal 3 2 2 10" xfId="4217" xr:uid="{7DB91774-2E4F-4D35-8537-49B8FD12C4FE}"/>
    <cellStyle name="Normal 3 2 2 11" xfId="4619" xr:uid="{54008DF6-D611-42B4-B5B4-F8FE6A26857A}"/>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2 2" xfId="4204" xr:uid="{B2074359-F89B-476A-A834-0466ADB03ACA}"/>
    <cellStyle name="Normal 3 2 2 3 2 3" xfId="3975" xr:uid="{92FE3629-3CC4-4DC5-9DE9-82DC4C50C4A5}"/>
    <cellStyle name="Normal 3 2 2 3 2 4" xfId="4440" xr:uid="{E70B236C-6645-4ED5-A2B5-B7A34F75538B}"/>
    <cellStyle name="Normal 3 2 2 3 3" xfId="3499" xr:uid="{D87B35BA-D399-4133-B262-4A0EED1F1321}"/>
    <cellStyle name="Normal 3 2 2 3 3 2" xfId="3986" xr:uid="{74D3232F-9E9F-4763-BBF0-4321376D8AF9}"/>
    <cellStyle name="Normal 3 2 2 3 3 3" xfId="4549" xr:uid="{E6813CA2-DB62-4E03-BF18-DC398059F5F2}"/>
    <cellStyle name="Normal 3 2 2 3 4" xfId="3757" xr:uid="{4CFA8B78-A60B-4946-9597-C9BDCBA5884C}"/>
    <cellStyle name="Normal 3 2 2 3 5" xfId="4222" xr:uid="{47D60D47-A1B3-41BC-A396-5B55D68A2910}"/>
    <cellStyle name="Normal 3 2 2 4" xfId="2875" xr:uid="{602BD524-FA18-41D2-A125-18B8D1D6943E}"/>
    <cellStyle name="Normal 3 2 2 4 2" xfId="3544" xr:uid="{98E9EC8A-0583-4C6D-A165-2B499227DFF9}"/>
    <cellStyle name="Normal 3 2 2 4 2 2" xfId="4031" xr:uid="{F802ED3B-1401-4053-A8E8-4ECE53E660D8}"/>
    <cellStyle name="Normal 3 2 2 4 3" xfId="3802" xr:uid="{22C27920-D328-436B-90CB-298146C7F95D}"/>
    <cellStyle name="Normal 3 2 2 4 4" xfId="4267" xr:uid="{0BB1F844-6C19-45B0-8A7C-1F9E11131242}"/>
    <cellStyle name="Normal 3 2 2 5" xfId="2920" xr:uid="{DF30F75E-C3A9-47A4-A54D-4259E8EB977F}"/>
    <cellStyle name="Normal 3 2 2 5 2" xfId="3589" xr:uid="{0E657184-C9AE-427D-B917-7A0928B66E88}"/>
    <cellStyle name="Normal 3 2 2 5 2 2" xfId="4076" xr:uid="{C96A9907-A34D-4030-B872-1D7694A9BCF4}"/>
    <cellStyle name="Normal 3 2 2 5 3" xfId="3847" xr:uid="{3C344878-87BF-4DA2-AB0A-DE6A5CDDC753}"/>
    <cellStyle name="Normal 3 2 2 5 4" xfId="4312" xr:uid="{65699494-7775-472B-8BB7-3D4A936D4881}"/>
    <cellStyle name="Normal 3 2 2 6" xfId="3494" xr:uid="{62B6D280-2B34-43A6-A094-7F89EDC62849}"/>
    <cellStyle name="Normal 3 2 2 6 2" xfId="3981" xr:uid="{6BB92C2A-A5DC-4503-93A2-7CFD317B53E6}"/>
    <cellStyle name="Normal 3 2 2 6 3" xfId="4448" xr:uid="{D457A6A8-7F72-4992-ADCD-7B9583613500}"/>
    <cellStyle name="Normal 3 2 2 7" xfId="3734" xr:uid="{279AF43C-9DF2-4779-988B-7998645A2B19}"/>
    <cellStyle name="Normal 3 2 2 7 2" xfId="4205" xr:uid="{76561A4D-0C80-444B-9FF5-5F4131C33EB3}"/>
    <cellStyle name="Normal 3 2 2 8" xfId="24" xr:uid="{2C4572D3-A4B4-4D01-8834-280B8EF696AF}"/>
    <cellStyle name="Normal 3 2 2 8 2" xfId="3752" xr:uid="{E7746F29-7747-4036-B583-E0B6842166F2}"/>
    <cellStyle name="Normal 3 2 2 9" xfId="3746" xr:uid="{2D69E715-5A99-4598-B718-D5538479E683}"/>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2 2 2" xfId="4147" xr:uid="{224CCEB0-BD6D-413F-A591-A2AA3B0D0843}"/>
    <cellStyle name="Normal 3 2 3 2 2 2 3" xfId="3918" xr:uid="{B1B0C2DB-3C1A-46B8-9C65-6E502194EA78}"/>
    <cellStyle name="Normal 3 2 3 2 2 2 4" xfId="4383" xr:uid="{1AE545CB-FFCA-4EEF-B8AF-D2C3163173FD}"/>
    <cellStyle name="Normal 3 2 3 2 2 3" xfId="3575" xr:uid="{1985A5BE-3165-4989-B82A-74CBFD2444C0}"/>
    <cellStyle name="Normal 3 2 3 2 2 3 2" xfId="4062" xr:uid="{D2AB3F2E-1C06-4849-B4EB-AD094AD37024}"/>
    <cellStyle name="Normal 3 2 3 2 2 3 3" xfId="4587" xr:uid="{536891E1-0587-40D2-9164-F41F63D02915}"/>
    <cellStyle name="Normal 3 2 3 2 2 4" xfId="3833" xr:uid="{EF2F3768-6BC6-470A-8F98-961222B103D8}"/>
    <cellStyle name="Normal 3 2 3 2 2 5" xfId="4298" xr:uid="{4552E2DC-548B-4D3E-994B-008417D16E4E}"/>
    <cellStyle name="Normal 3 2 3 2 3" xfId="3451" xr:uid="{4F1E9D89-0262-4E12-AE4A-DBFB2899C668}"/>
    <cellStyle name="Normal 3 2 3 2 3 2" xfId="3716" xr:uid="{28CF2699-DE0A-43AB-A7EE-64EFA4C5DCE4}"/>
    <cellStyle name="Normal 3 2 3 2 3 2 2" xfId="4187" xr:uid="{BEE1C53A-C443-4408-A93E-F90B241D9FDA}"/>
    <cellStyle name="Normal 3 2 3 2 3 3" xfId="3958" xr:uid="{3A3B5259-E0D4-4BEF-9396-F7B9429AD3BA}"/>
    <cellStyle name="Normal 3 2 3 2 3 4" xfId="4423" xr:uid="{E3226686-E0C3-4DDF-8A0E-B2CDE1B00A90}"/>
    <cellStyle name="Normal 3 2 3 2 4" xfId="2951" xr:uid="{96B1A600-5B80-4469-ACC6-3C100661DD30}"/>
    <cellStyle name="Normal 3 2 3 2 4 2" xfId="3620" xr:uid="{38BA8692-4DAF-4099-A8FA-E58975284D66}"/>
    <cellStyle name="Normal 3 2 3 2 4 2 2" xfId="4107" xr:uid="{CB5C896A-4C66-4EB1-84D9-BEE8AAFEEBAE}"/>
    <cellStyle name="Normal 3 2 3 2 4 3" xfId="3878" xr:uid="{80CE2965-91CA-4B48-921C-6A7FF0212BCF}"/>
    <cellStyle name="Normal 3 2 3 2 4 4" xfId="4343" xr:uid="{0027686F-C819-4F55-9B67-726DABDB201F}"/>
    <cellStyle name="Normal 3 2 3 2 5" xfId="3530" xr:uid="{D14F1F0B-62E8-4685-B659-9922CB85EC7B}"/>
    <cellStyle name="Normal 3 2 3 2 5 2" xfId="4017" xr:uid="{0A1F7C56-7D3E-4A2C-9658-EB209CC0736C}"/>
    <cellStyle name="Normal 3 2 3 2 5 3" xfId="4479" xr:uid="{C25B9CCD-F11E-4F0D-9030-C999B7474F7E}"/>
    <cellStyle name="Normal 3 2 3 2 6" xfId="3788" xr:uid="{C41E3927-4DD6-4DE3-982C-7BB43F815750}"/>
    <cellStyle name="Normal 3 2 3 2 7" xfId="4253" xr:uid="{3AF1C6F4-4974-4F1F-AC9E-F63A2C99C520}"/>
    <cellStyle name="Normal 3 2 3 3" xfId="2889" xr:uid="{4F6148E4-AF14-434E-8B11-1532018A0CE5}"/>
    <cellStyle name="Normal 3 2 3 3 2" xfId="2990" xr:uid="{81BA056D-8D84-4131-B030-7009F8A713E3}"/>
    <cellStyle name="Normal 3 2 3 3 2 2" xfId="3659" xr:uid="{930BD4F0-C881-4A49-9220-B9792DBB7318}"/>
    <cellStyle name="Normal 3 2 3 3 2 2 2" xfId="4130" xr:uid="{EE7EE2AB-9E02-4CB6-9CE3-CCD0767D6052}"/>
    <cellStyle name="Normal 3 2 3 3 2 2 3" xfId="4610" xr:uid="{9DD0D08F-0354-4D3D-82DC-F54346F31A08}"/>
    <cellStyle name="Normal 3 2 3 3 2 3" xfId="3901" xr:uid="{E7B43D1E-EFA0-482A-ADC1-98D07E73E85E}"/>
    <cellStyle name="Normal 3 2 3 3 2 4" xfId="4366" xr:uid="{2B0C413F-09A3-4883-8DEE-E48FA2649463}"/>
    <cellStyle name="Normal 3 2 3 3 3" xfId="3558" xr:uid="{3BE8AF4C-F0B1-406D-A3AC-34892377E476}"/>
    <cellStyle name="Normal 3 2 3 3 3 2" xfId="4045" xr:uid="{EE2C8AA1-E3A2-4F07-9355-7F1C1E3EAC14}"/>
    <cellStyle name="Normal 3 2 3 3 3 3" xfId="4518" xr:uid="{D7469239-92C6-479A-ABC1-7E75F3151CA8}"/>
    <cellStyle name="Normal 3 2 3 3 4" xfId="3816" xr:uid="{104B6F52-5E47-4FDE-9257-E90DE2954327}"/>
    <cellStyle name="Normal 3 2 3 3 5" xfId="4281" xr:uid="{6177FCB3-0386-4D17-B7EA-56D50B73CC63}"/>
    <cellStyle name="Normal 3 2 3 4" xfId="3433" xr:uid="{3574DC78-43D8-4F4C-B987-9DF72AD96737}"/>
    <cellStyle name="Normal 3 2 3 4 2" xfId="3699" xr:uid="{75F26E6B-3602-403D-A829-0FB94AA11660}"/>
    <cellStyle name="Normal 3 2 3 4 2 2" xfId="4170" xr:uid="{4540E564-0D7B-4A15-8061-47A0B078012E}"/>
    <cellStyle name="Normal 3 2 3 4 2 3" xfId="4538" xr:uid="{2EB315A1-FCDE-4B2E-93BB-B875A505937D}"/>
    <cellStyle name="Normal 3 2 3 4 3" xfId="3941" xr:uid="{E6898452-93A2-4345-8813-91D197056407}"/>
    <cellStyle name="Normal 3 2 3 4 4" xfId="4406" xr:uid="{6BF9C33F-9BA8-4607-BF42-FAE817EA1D14}"/>
    <cellStyle name="Normal 3 2 3 5" xfId="2934" xr:uid="{BB4426AC-2E73-406E-B9D3-F75990E4C9B8}"/>
    <cellStyle name="Normal 3 2 3 5 2" xfId="3603" xr:uid="{0C0905AB-CCFE-4156-99F4-D614F937B5BF}"/>
    <cellStyle name="Normal 3 2 3 5 2 2" xfId="4090" xr:uid="{F89E8C7F-6994-43B4-97AB-288E0AE57613}"/>
    <cellStyle name="Normal 3 2 3 5 2 3" xfId="4570" xr:uid="{9F5DC321-C6BB-4328-9FCE-098E53DC4055}"/>
    <cellStyle name="Normal 3 2 3 5 3" xfId="3861" xr:uid="{8C4A1B96-71B8-4EED-9B3F-D3170847D7A6}"/>
    <cellStyle name="Normal 3 2 3 5 4" xfId="4326" xr:uid="{8B101497-EAE4-4D5F-8635-53AB2B903053}"/>
    <cellStyle name="Normal 3 2 3 6" xfId="3513" xr:uid="{0FA0B881-11DB-45DF-9804-648C3EFF6988}"/>
    <cellStyle name="Normal 3 2 3 6 2" xfId="4000" xr:uid="{A90C88ED-5E25-47ED-9F5D-75E6E3F7B13F}"/>
    <cellStyle name="Normal 3 2 3 6 3" xfId="4462" xr:uid="{A9F3738E-5135-4339-A0EA-55225D167FE6}"/>
    <cellStyle name="Normal 3 2 3 7" xfId="3771" xr:uid="{9FE4C2DF-02C6-48D0-BA13-0DAF00743628}"/>
    <cellStyle name="Normal 3 2 3 8" xfId="4236" xr:uid="{71C46E0A-C988-43AF-BB1E-28B65C85A530}"/>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2 2 2" xfId="4141" xr:uid="{B2940823-714C-4E7C-AF9F-68244C58D282}"/>
    <cellStyle name="Normal 3 2 4 2 2 2 3" xfId="3912" xr:uid="{3B6035E9-F874-4B94-826C-23581E5A1A2D}"/>
    <cellStyle name="Normal 3 2 4 2 2 2 4" xfId="4377" xr:uid="{226D7E76-A078-40F7-B9B3-87EA8372345B}"/>
    <cellStyle name="Normal 3 2 4 2 2 3" xfId="3569" xr:uid="{8BBD2548-1249-420D-BEA5-8369882A6348}"/>
    <cellStyle name="Normal 3 2 4 2 2 3 2" xfId="4056" xr:uid="{A1B6B3FF-4815-428E-A594-45C5FD6AFA7F}"/>
    <cellStyle name="Normal 3 2 4 2 2 3 3" xfId="4581" xr:uid="{CB90FF3F-A09F-473A-84AE-0010F7C5E642}"/>
    <cellStyle name="Normal 3 2 4 2 2 4" xfId="3827" xr:uid="{2D0A1D50-5CAD-40F8-AF99-D687294E4B01}"/>
    <cellStyle name="Normal 3 2 4 2 2 5" xfId="4292" xr:uid="{C3EB369C-DBFD-499D-A699-FEB7749E7215}"/>
    <cellStyle name="Normal 3 2 4 2 3" xfId="3445" xr:uid="{544EA63F-37BF-4A41-BD5A-CB44364A216D}"/>
    <cellStyle name="Normal 3 2 4 2 3 2" xfId="3710" xr:uid="{C137A5B7-D39E-444F-97E0-26F86D67BFFE}"/>
    <cellStyle name="Normal 3 2 4 2 3 2 2" xfId="4181" xr:uid="{91DA20B0-A7E2-442E-83F4-FF5236735E92}"/>
    <cellStyle name="Normal 3 2 4 2 3 3" xfId="3952" xr:uid="{FC86F2C6-DF72-449C-BB66-F22608BD574C}"/>
    <cellStyle name="Normal 3 2 4 2 3 4" xfId="4417" xr:uid="{299D0BEA-A31B-4715-98A4-ABC7A0FF10E9}"/>
    <cellStyle name="Normal 3 2 4 2 4" xfId="2945" xr:uid="{AC6DAD2F-D880-477C-8BA0-CD49D5412566}"/>
    <cellStyle name="Normal 3 2 4 2 4 2" xfId="3614" xr:uid="{992F29CC-FBCE-4791-A790-AC0DA26DF4BE}"/>
    <cellStyle name="Normal 3 2 4 2 4 2 2" xfId="4101" xr:uid="{C5A3DB6F-8EDB-4740-A7CC-630658485A8F}"/>
    <cellStyle name="Normal 3 2 4 2 4 3" xfId="3872" xr:uid="{D963E941-5CDE-4DCD-8686-16BCC5C533B5}"/>
    <cellStyle name="Normal 3 2 4 2 4 4" xfId="4337" xr:uid="{BCD2FB06-14DB-4F6E-94F0-71FB04A64B3B}"/>
    <cellStyle name="Normal 3 2 4 2 5" xfId="3524" xr:uid="{1E239A57-4609-4E42-A12C-46BC178D6D1E}"/>
    <cellStyle name="Normal 3 2 4 2 5 2" xfId="4011" xr:uid="{5667FE64-F06F-4B42-BF32-28EA7E1FAD1A}"/>
    <cellStyle name="Normal 3 2 4 2 5 3" xfId="4473" xr:uid="{26CC0688-005E-402A-8C7A-21AA5941621A}"/>
    <cellStyle name="Normal 3 2 4 2 6" xfId="3782" xr:uid="{E5B58071-4157-4597-B710-C187858DE004}"/>
    <cellStyle name="Normal 3 2 4 2 7" xfId="4247" xr:uid="{BB110F68-DA67-439C-ACEE-7F751954C7F1}"/>
    <cellStyle name="Normal 3 2 4 3" xfId="2883" xr:uid="{C3613C5B-D786-427C-B914-F90D2E6A82ED}"/>
    <cellStyle name="Normal 3 2 4 3 2" xfId="2968" xr:uid="{9325A9A2-D9ED-49F9-AB5F-54D40E2FE84E}"/>
    <cellStyle name="Normal 3 2 4 3 2 2" xfId="3637" xr:uid="{E3B4ACCA-1A2F-4F58-A34C-2A8CF90E4D03}"/>
    <cellStyle name="Normal 3 2 4 3 2 2 2" xfId="4124" xr:uid="{9058F997-A0C5-4A55-AACD-8503605E27CB}"/>
    <cellStyle name="Normal 3 2 4 3 2 2 3" xfId="4604" xr:uid="{AC9583CA-EB1A-4CA1-8178-7918C06A84AE}"/>
    <cellStyle name="Normal 3 2 4 3 2 3" xfId="3895" xr:uid="{FB030FFB-30D1-4645-BC65-D7AC386A0A2C}"/>
    <cellStyle name="Normal 3 2 4 3 2 4" xfId="4360" xr:uid="{CE56C44B-AB82-4D0A-8F84-EBEF27AEBA40}"/>
    <cellStyle name="Normal 3 2 4 3 3" xfId="3552" xr:uid="{4518D5D8-80B0-4F9A-8BB6-A00B900DF044}"/>
    <cellStyle name="Normal 3 2 4 3 3 2" xfId="4039" xr:uid="{83FBC280-B4F3-4418-AAE1-D68DE123F910}"/>
    <cellStyle name="Normal 3 2 4 3 3 3" xfId="4496" xr:uid="{C9C7DE18-4E68-4D35-AB72-1BA4C71C4735}"/>
    <cellStyle name="Normal 3 2 4 3 4" xfId="3810" xr:uid="{F8E08280-5FA3-4E86-96B4-03B1743427C2}"/>
    <cellStyle name="Normal 3 2 4 3 5" xfId="4275" xr:uid="{C3D9CAEA-BD36-408F-AD4B-4241759FB860}"/>
    <cellStyle name="Normal 3 2 4 4" xfId="3028" xr:uid="{BB396068-A15A-46B8-9041-615276FC4E2B}"/>
    <cellStyle name="Normal 3 2 4 4 2" xfId="3693" xr:uid="{EABE2F68-111C-44CF-AABD-6E97882C83D8}"/>
    <cellStyle name="Normal 3 2 4 4 2 2" xfId="4164" xr:uid="{42C6DA9A-A3A1-4419-A7B3-272E171B7901}"/>
    <cellStyle name="Normal 3 2 4 4 2 3" xfId="4532" xr:uid="{440E73A6-41D7-4933-9B96-0B085B43A828}"/>
    <cellStyle name="Normal 3 2 4 4 3" xfId="3935" xr:uid="{1ECBE99F-CD71-414C-9EBA-CE706279ADE0}"/>
    <cellStyle name="Normal 3 2 4 4 4" xfId="4400" xr:uid="{66545A10-8C76-41F3-9570-D40F386342C7}"/>
    <cellStyle name="Normal 3 2 4 5" xfId="2928" xr:uid="{61A635B5-39A7-49EC-A691-372097ABBB87}"/>
    <cellStyle name="Normal 3 2 4 5 2" xfId="3597" xr:uid="{8ADC7C4D-7E2F-4CA6-ABF0-48FE1C21C8CE}"/>
    <cellStyle name="Normal 3 2 4 5 2 2" xfId="4084" xr:uid="{09477E64-97D6-4678-AED8-FC504ED814CB}"/>
    <cellStyle name="Normal 3 2 4 5 2 3" xfId="4557" xr:uid="{879FCC96-5D07-490B-A845-DC25705C0F1C}"/>
    <cellStyle name="Normal 3 2 4 5 3" xfId="3855" xr:uid="{00B78E9E-7B61-4706-80FD-DCB9B4CD5796}"/>
    <cellStyle name="Normal 3 2 4 5 4" xfId="4320" xr:uid="{79B42224-29BE-45BA-8FB6-76FA7B1CE325}"/>
    <cellStyle name="Normal 3 2 4 6" xfId="3507" xr:uid="{798DE8B5-E61C-4A5B-AA2F-6E84E30D6CCA}"/>
    <cellStyle name="Normal 3 2 4 6 2" xfId="3994" xr:uid="{C9E39C3D-A735-4AA3-A9C4-C21100D10649}"/>
    <cellStyle name="Normal 3 2 4 6 3" xfId="4456" xr:uid="{A02A901C-DF1A-4F43-8A21-44B183984439}"/>
    <cellStyle name="Normal 3 2 4 7" xfId="3765" xr:uid="{0529C5F5-E58D-4944-8738-BC079D60D9E8}"/>
    <cellStyle name="Normal 3 2 4 8" xfId="4230" xr:uid="{9291DF9F-145B-45F9-9AD2-35C1EB198DA9}"/>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2 2 2" xfId="4121" xr:uid="{3C04381D-E866-427B-BB71-644945888182}"/>
    <cellStyle name="Normal 3 2 5 2 2 2 3" xfId="4601" xr:uid="{17C8B759-E046-439D-957B-F05781DCC6DD}"/>
    <cellStyle name="Normal 3 2 5 2 2 3" xfId="3892" xr:uid="{E1D7467D-5AE9-4193-9CF8-9EBF3C08F9E6}"/>
    <cellStyle name="Normal 3 2 5 2 2 4" xfId="4357" xr:uid="{3880544C-0D73-468C-BD61-98B6ACF84843}"/>
    <cellStyle name="Normal 3 2 5 2 3" xfId="3549" xr:uid="{42DC2D7D-B305-4E78-A543-A5C994A38F57}"/>
    <cellStyle name="Normal 3 2 5 2 3 2" xfId="4036" xr:uid="{06704615-9C4B-490E-B614-DB02834933B0}"/>
    <cellStyle name="Normal 3 2 5 2 3 3" xfId="4493" xr:uid="{B037BF6A-AAE2-458A-A667-5D47AE4FB2BA}"/>
    <cellStyle name="Normal 3 2 5 2 4" xfId="3807" xr:uid="{18D22933-E1A9-41B3-9985-B78541FF8C77}"/>
    <cellStyle name="Normal 3 2 5 2 5" xfId="4272" xr:uid="{096A6023-132A-487E-8ED5-6B230A4B4626}"/>
    <cellStyle name="Normal 3 2 5 3" xfId="3021" xr:uid="{4E740726-28E9-4A37-98D8-69BCC8BAD6F7}"/>
    <cellStyle name="Normal 3 2 5 3 2" xfId="3690" xr:uid="{580DAE05-49F5-49A9-801D-D403F7CAE478}"/>
    <cellStyle name="Normal 3 2 5 3 2 2" xfId="4161" xr:uid="{25933E11-3F23-411E-AC26-103F5FDC17B1}"/>
    <cellStyle name="Normal 3 2 5 3 2 3" xfId="4529" xr:uid="{5DD6A88C-990B-407E-B367-4B54C8A0F240}"/>
    <cellStyle name="Normal 3 2 5 3 3" xfId="3932" xr:uid="{ADA9E5AC-8EA2-4962-8618-28B543A8D72D}"/>
    <cellStyle name="Normal 3 2 5 3 4" xfId="4397" xr:uid="{60BB9928-8935-4962-AF5C-C4E607DF4F6D}"/>
    <cellStyle name="Normal 3 2 5 4" xfId="2925" xr:uid="{B2679330-9511-44A5-A0E7-A2030AC0E9D7}"/>
    <cellStyle name="Normal 3 2 5 4 2" xfId="3594" xr:uid="{4AA1837D-B141-412F-AE5E-DEB5B5562DE0}"/>
    <cellStyle name="Normal 3 2 5 4 2 2" xfId="4081" xr:uid="{8DAE7B3C-32F6-4BD4-875D-9627A91D1172}"/>
    <cellStyle name="Normal 3 2 5 4 2 3" xfId="4554" xr:uid="{15FB5D24-CBDF-40A0-AA28-A8130F70F7F5}"/>
    <cellStyle name="Normal 3 2 5 4 3" xfId="3852" xr:uid="{54A0CC7B-A0F8-4E6A-B70B-44A2B0E1FBB1}"/>
    <cellStyle name="Normal 3 2 5 4 4" xfId="4317" xr:uid="{DFD52A85-3186-4E60-ADE0-28D38CD3B573}"/>
    <cellStyle name="Normal 3 2 5 5" xfId="3504" xr:uid="{40CEF293-530F-4496-B065-205F3F8A499C}"/>
    <cellStyle name="Normal 3 2 5 5 2" xfId="3991" xr:uid="{158BEEEB-EC58-4FF4-A886-2C8632FAC052}"/>
    <cellStyle name="Normal 3 2 5 5 3" xfId="4453" xr:uid="{0289C580-337C-4C58-BE9B-331A9BCD94C4}"/>
    <cellStyle name="Normal 3 2 5 6" xfId="3762" xr:uid="{30C7B569-1FE9-4FD0-8726-437DFB2E094A}"/>
    <cellStyle name="Normal 3 2 5 7" xfId="4227" xr:uid="{176C7D2C-7545-4739-A71E-04D1F91A52D0}"/>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2 2 2" xfId="4138" xr:uid="{E0666CD2-2BCA-4A6B-A7AE-7964409918AF}"/>
    <cellStyle name="Normal 3 2 6 2 2 3" xfId="3909" xr:uid="{DCC6F047-379D-405A-A7A9-8A08A8987DCE}"/>
    <cellStyle name="Normal 3 2 6 2 2 4" xfId="4374" xr:uid="{CB862047-64D9-433E-A282-AC32F66203BA}"/>
    <cellStyle name="Normal 3 2 6 2 3" xfId="3566" xr:uid="{E82DD52E-4EDC-48C6-963A-6B94ED1EC3EB}"/>
    <cellStyle name="Normal 3 2 6 2 3 2" xfId="4053" xr:uid="{F8C93304-35EC-40A7-95D6-20380A3FDB0E}"/>
    <cellStyle name="Normal 3 2 6 2 3 3" xfId="4578" xr:uid="{68F74A87-FD66-4062-A8A4-B6C6C5EDF4E2}"/>
    <cellStyle name="Normal 3 2 6 2 4" xfId="3824" xr:uid="{01727006-1781-4829-A9A9-EB60CC57F1C2}"/>
    <cellStyle name="Normal 3 2 6 2 5" xfId="4289" xr:uid="{5D5BA363-4827-4759-A366-162390A94FDF}"/>
    <cellStyle name="Normal 3 2 6 3" xfId="3442" xr:uid="{FFA32A7D-DF21-4608-B320-14F41FDC5635}"/>
    <cellStyle name="Normal 3 2 6 3 2" xfId="3707" xr:uid="{4AA068E7-DEB3-4883-A930-A5C5F0B52161}"/>
    <cellStyle name="Normal 3 2 6 3 2 2" xfId="4178" xr:uid="{DAA4CE95-F6C8-42E1-86A4-0F386272C001}"/>
    <cellStyle name="Normal 3 2 6 3 3" xfId="3949" xr:uid="{780C8A6E-F18A-44A4-86DB-0E58E02482B9}"/>
    <cellStyle name="Normal 3 2 6 3 4" xfId="4414" xr:uid="{549EDC07-A7A8-4E6D-9AF8-82A996D74626}"/>
    <cellStyle name="Normal 3 2 6 4" xfId="2942" xr:uid="{6F039511-645D-4B28-9350-40E7266C3E91}"/>
    <cellStyle name="Normal 3 2 6 4 2" xfId="3611" xr:uid="{A2814150-5F40-4220-AA2D-BA56B3D8FB64}"/>
    <cellStyle name="Normal 3 2 6 4 2 2" xfId="4098" xr:uid="{603CBE61-541B-460B-876D-322D7D45554B}"/>
    <cellStyle name="Normal 3 2 6 4 3" xfId="3869" xr:uid="{3C2CEE28-2235-45D4-AE8D-00B2D36F64B4}"/>
    <cellStyle name="Normal 3 2 6 4 4" xfId="4334" xr:uid="{28AD5034-4A19-42F1-935F-40D927A5BD1C}"/>
    <cellStyle name="Normal 3 2 6 5" xfId="3521" xr:uid="{1AEA6116-EC6B-4BB6-A00F-D9E00CB01DBF}"/>
    <cellStyle name="Normal 3 2 6 5 2" xfId="4008" xr:uid="{3C9AE975-D7DE-403B-9C33-F4BF6AB4B53D}"/>
    <cellStyle name="Normal 3 2 6 5 3" xfId="4470" xr:uid="{6D49526D-039A-4189-A7FD-547BB37EF066}"/>
    <cellStyle name="Normal 3 2 6 6" xfId="3779" xr:uid="{2512BB87-87EF-4A4C-91C2-1281225A6BCC}"/>
    <cellStyle name="Normal 3 2 6 7" xfId="4244" xr:uid="{4653D092-62B7-438F-86C6-BAB86C6813B1}"/>
    <cellStyle name="Normal 3 2 7" xfId="31" xr:uid="{2F3C1975-D9A4-46DE-B8C2-B72AC2C044E0}"/>
    <cellStyle name="Normal 3 2 7 2" xfId="2877" xr:uid="{59781F0C-77A9-45FE-8065-6468F1E0AAEF}"/>
    <cellStyle name="Normal 3 2 7 2 2" xfId="3546" xr:uid="{7E4E383C-F467-4833-9603-62B435DCFA79}"/>
    <cellStyle name="Normal 3 2 7 2 2 2" xfId="4033" xr:uid="{A18F641D-6926-456C-BC1E-9277BF8EA980}"/>
    <cellStyle name="Normal 3 2 7 2 2 3" xfId="4551" xr:uid="{26B51FBD-2095-4C0A-8871-68727B0A8236}"/>
    <cellStyle name="Normal 3 2 7 2 3" xfId="3804" xr:uid="{47E0F0D2-DAC1-4823-8CC6-CCF24BBB808E}"/>
    <cellStyle name="Normal 3 2 7 2 4" xfId="4269" xr:uid="{1DAF1879-B44B-44A7-859F-43A345294763}"/>
    <cellStyle name="Normal 3 2 7 3" xfId="2922" xr:uid="{E4C8E062-8446-4FC6-BB97-540E387A26A7}"/>
    <cellStyle name="Normal 3 2 7 3 2" xfId="3591" xr:uid="{DF90C2F7-4C93-452D-ACE7-18F1D28980A1}"/>
    <cellStyle name="Normal 3 2 7 3 2 2" xfId="4078" xr:uid="{126B1A5B-00EE-4C55-8022-C82860186871}"/>
    <cellStyle name="Normal 3 2 7 3 3" xfId="3849" xr:uid="{8A0F2E28-B1AB-468C-8E8B-7EAF90F7A7A9}"/>
    <cellStyle name="Normal 3 2 7 3 4" xfId="4314" xr:uid="{BE031292-DF65-49F4-800B-60AB5B3CB152}"/>
    <cellStyle name="Normal 3 2 7 4" xfId="3501" xr:uid="{AE3D10A4-2F98-4CA8-875F-94496B9C4990}"/>
    <cellStyle name="Normal 3 2 7 4 2" xfId="3988" xr:uid="{0D1DB4A3-1043-448D-BE0F-601736C71834}"/>
    <cellStyle name="Normal 3 2 7 4 3" xfId="4450" xr:uid="{243DD094-B172-49AC-B577-D56911A0855E}"/>
    <cellStyle name="Normal 3 2 7 5" xfId="3759" xr:uid="{EB529019-A28E-4033-8742-CD36B81940F4}"/>
    <cellStyle name="Normal 3 2 7 6" xfId="4224" xr:uid="{E048B2EE-4602-4DF9-8945-3DF1597A5C9F}"/>
    <cellStyle name="Normal 3 2 8" xfId="26" xr:uid="{1A6667CB-56D8-4FDD-8F5E-B10A2CC5605D}"/>
    <cellStyle name="Normal 3 2 8 2" xfId="2962" xr:uid="{DD45B365-9B60-49ED-BE76-CFF5D5DAA582}"/>
    <cellStyle name="Normal 3 2 8 2 2" xfId="3631" xr:uid="{CC0F055B-6EF9-4E9B-9D49-E4C1FC9CB8EC}"/>
    <cellStyle name="Normal 3 2 8 2 2 2" xfId="4118" xr:uid="{70F808A2-D6F1-4FC1-84A9-A626DA3F1857}"/>
    <cellStyle name="Normal 3 2 8 2 2 3" xfId="4598" xr:uid="{B5C61247-3364-4698-A9CF-4D6840683CE0}"/>
    <cellStyle name="Normal 3 2 8 2 3" xfId="3889" xr:uid="{33223406-F462-4CC5-9DD1-C7225862C02B}"/>
    <cellStyle name="Normal 3 2 8 2 4" xfId="4354" xr:uid="{4FFFA05D-8427-4D8C-BF06-4EE9B8D50F37}"/>
    <cellStyle name="Normal 3 2 8 3" xfId="3496" xr:uid="{2A414241-0D56-46CA-AD32-83B8FE5D2AD7}"/>
    <cellStyle name="Normal 3 2 8 3 2" xfId="3983" xr:uid="{A6F6DCA3-FA1C-448B-9CDE-C59227041059}"/>
    <cellStyle name="Normal 3 2 8 3 3" xfId="4490" xr:uid="{40869CF9-D17F-4ECF-834B-6319562611CE}"/>
    <cellStyle name="Normal 3 2 8 4" xfId="3754" xr:uid="{194EBE50-13B1-4857-B468-A48E73274542}"/>
    <cellStyle name="Normal 3 2 8 5" xfId="4219" xr:uid="{158AFEF3-26E8-4641-A09F-75A1C50EA864}"/>
    <cellStyle name="Normal 3 2 9" xfId="2872" xr:uid="{5731358C-C79B-4179-A65F-2B477AD238AF}"/>
    <cellStyle name="Normal 3 2 9 2" xfId="3018" xr:uid="{714AB98F-C443-4AE8-AF84-F8E43C94A385}"/>
    <cellStyle name="Normal 3 2 9 2 2" xfId="3687" xr:uid="{BCC5716B-B9D8-4018-9F5A-2CB99B6DA829}"/>
    <cellStyle name="Normal 3 2 9 2 2 2" xfId="4158" xr:uid="{4BA839A2-8202-4C9F-B0B9-DBC66A2E0C18}"/>
    <cellStyle name="Normal 3 2 9 2 3" xfId="3929" xr:uid="{ACA9A11E-EE32-4FA3-B330-72FD81D9E67E}"/>
    <cellStyle name="Normal 3 2 9 2 4" xfId="4394" xr:uid="{0129E1F6-DC13-4C85-AF42-7480CBA29649}"/>
    <cellStyle name="Normal 3 2 9 3" xfId="3541" xr:uid="{2418FE40-2F8A-49D4-A8F2-E3D8124EF135}"/>
    <cellStyle name="Normal 3 2 9 3 2" xfId="4028" xr:uid="{62AB3B0A-FD54-49B5-9FBC-664E12483380}"/>
    <cellStyle name="Normal 3 2 9 3 3" xfId="4526" xr:uid="{D41305AA-6E60-447A-B808-2E9CC65E531C}"/>
    <cellStyle name="Normal 3 2 9 4" xfId="3799" xr:uid="{17B10353-4CA9-40F8-9C37-DF4F304C9F17}"/>
    <cellStyle name="Normal 3 2 9 5" xfId="4264" xr:uid="{729C6EAD-B4F7-4F56-B555-A843F73828BF}"/>
    <cellStyle name="Normal 3 20" xfId="3742" xr:uid="{05E122A7-F99F-4B32-B7AA-04628D1927A8}"/>
    <cellStyle name="Normal 3 21" xfId="4213" xr:uid="{4BC4AF4C-446B-4C97-9473-EBA3D64771FC}"/>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2 3 2 2" xfId="4506" xr:uid="{F818D034-EB5F-436A-A544-A116BC2BB504}"/>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2 2 2" xfId="4145" xr:uid="{A0BCB281-A3E2-4CF4-B4CB-B8A819D71291}"/>
    <cellStyle name="Normal 3 4 2 2 2 3" xfId="3916" xr:uid="{64524C6C-2220-4C30-8E4B-2EF90839B9B4}"/>
    <cellStyle name="Normal 3 4 2 2 2 4" xfId="4381" xr:uid="{EC18BB6C-0EAC-41A6-9FBF-1F609F079A4C}"/>
    <cellStyle name="Normal 3 4 2 2 3" xfId="3573" xr:uid="{1CE5F716-B555-4D0B-B7F6-750E6DF20850}"/>
    <cellStyle name="Normal 3 4 2 2 3 2" xfId="4060" xr:uid="{0D684879-9605-470C-AF57-27A31252CD18}"/>
    <cellStyle name="Normal 3 4 2 2 3 3" xfId="4585" xr:uid="{474CB32C-66E4-4A0F-AD3D-E9744C5BD6E1}"/>
    <cellStyle name="Normal 3 4 2 2 4" xfId="3831" xr:uid="{31512943-B98C-40BD-BFB7-944DBCB649D2}"/>
    <cellStyle name="Normal 3 4 2 2 5" xfId="4296" xr:uid="{D852A02B-5B65-4833-ABEC-5E93B2B8ED9E}"/>
    <cellStyle name="Normal 3 4 2 3" xfId="3449" xr:uid="{F69352A1-49EA-464C-9645-A8456832A839}"/>
    <cellStyle name="Normal 3 4 2 3 2" xfId="3714" xr:uid="{F8A2F1CE-FB41-491C-8893-5596652AB2E3}"/>
    <cellStyle name="Normal 3 4 2 3 2 2" xfId="4185" xr:uid="{5F79D92E-A079-4162-8A83-F71C1D22275F}"/>
    <cellStyle name="Normal 3 4 2 3 3" xfId="3956" xr:uid="{E5102223-9F2F-4D8E-910C-5C39179D3CD3}"/>
    <cellStyle name="Normal 3 4 2 3 4" xfId="4421" xr:uid="{6435E020-9912-4E29-A162-3AE057DB41DA}"/>
    <cellStyle name="Normal 3 4 2 4" xfId="2949" xr:uid="{234F18C6-0530-4CFB-8567-9E316EFEA0F4}"/>
    <cellStyle name="Normal 3 4 2 4 2" xfId="3618" xr:uid="{F0D04E7E-2E24-4278-98F3-7B7E1A4B9B7A}"/>
    <cellStyle name="Normal 3 4 2 4 2 2" xfId="4105" xr:uid="{116CBADD-2305-4FBF-895D-85189ACD6495}"/>
    <cellStyle name="Normal 3 4 2 4 3" xfId="3876" xr:uid="{E92008AF-5924-4072-BA80-AEEAEEC17692}"/>
    <cellStyle name="Normal 3 4 2 4 4" xfId="4341" xr:uid="{7940DEBC-E62E-4B34-8C14-55C8E08C9FF3}"/>
    <cellStyle name="Normal 3 4 2 5" xfId="3528" xr:uid="{BD8ADA06-C78C-4CAC-A038-694E43819B7E}"/>
    <cellStyle name="Normal 3 4 2 5 2" xfId="4015" xr:uid="{24FAB66E-C188-4BDB-9BFA-3EF6061D5B63}"/>
    <cellStyle name="Normal 3 4 2 5 3" xfId="4477" xr:uid="{2529FD9B-6CEE-4BF8-8411-E8FDC019CE47}"/>
    <cellStyle name="Normal 3 4 2 6" xfId="3786" xr:uid="{B70A4DEA-C1A7-4F79-86A7-9BC40973AD77}"/>
    <cellStyle name="Normal 3 4 2 7" xfId="4251" xr:uid="{1DCBCBDA-2604-4A97-A664-B1B9FF142A9E}"/>
    <cellStyle name="Normal 3 4 3" xfId="2887" xr:uid="{4250C279-464F-48CB-8AC2-E6FD78211848}"/>
    <cellStyle name="Normal 3 4 3 2" xfId="2988" xr:uid="{B3F2BA6A-0E88-4FCC-B919-25E912452C72}"/>
    <cellStyle name="Normal 3 4 3 2 2" xfId="3657" xr:uid="{A47EDDB5-6627-4F82-A69D-547318AABEE9}"/>
    <cellStyle name="Normal 3 4 3 2 2 2" xfId="4128" xr:uid="{27364BDF-F8E5-4970-85E2-4D97DAD513CD}"/>
    <cellStyle name="Normal 3 4 3 2 2 3" xfId="4608" xr:uid="{0B705814-99D4-44D1-AED2-40C9D5209BAF}"/>
    <cellStyle name="Normal 3 4 3 2 3" xfId="3899" xr:uid="{2673C866-93E7-4811-B1B1-5EB81D17A5C1}"/>
    <cellStyle name="Normal 3 4 3 2 4" xfId="4364" xr:uid="{E3C8924F-1E94-48A2-BDA7-0E9D1F090D8C}"/>
    <cellStyle name="Normal 3 4 3 3" xfId="3556" xr:uid="{56DC35D1-75FD-453E-90A6-BB86E3E6E135}"/>
    <cellStyle name="Normal 3 4 3 3 2" xfId="4043" xr:uid="{6F7FF788-3B36-46B9-BC6A-70CD05B1CD37}"/>
    <cellStyle name="Normal 3 4 3 3 3" xfId="4516" xr:uid="{6E471FBB-4B23-464C-BB6D-D358225765CB}"/>
    <cellStyle name="Normal 3 4 3 4" xfId="3814" xr:uid="{A534C93E-80C1-42E2-95B9-F3568DF74780}"/>
    <cellStyle name="Normal 3 4 3 5" xfId="4279" xr:uid="{83A3AF46-62D6-4FAD-A03C-1EEFAAD36F90}"/>
    <cellStyle name="Normal 3 4 4" xfId="3425" xr:uid="{362C761A-090E-4494-B5E1-44C63EF42BC2}"/>
    <cellStyle name="Normal 3 4 4 2" xfId="3697" xr:uid="{098C6541-C5CD-41F4-99E2-563374098DE3}"/>
    <cellStyle name="Normal 3 4 4 2 2" xfId="4168" xr:uid="{D36026B8-F9CA-495E-AF1E-41BC89A2485E}"/>
    <cellStyle name="Normal 3 4 4 2 3" xfId="4536" xr:uid="{984DCEA1-A11A-4FF8-ACB2-8FDC06C9B74D}"/>
    <cellStyle name="Normal 3 4 4 3" xfId="3939" xr:uid="{A0D17D40-F139-4197-AFE1-99A114FF9A71}"/>
    <cellStyle name="Normal 3 4 4 4" xfId="4404" xr:uid="{CA545B14-554A-45E3-B066-0FC788E380E6}"/>
    <cellStyle name="Normal 3 4 5" xfId="2932" xr:uid="{40F72571-2003-43CD-B387-825810AD604A}"/>
    <cellStyle name="Normal 3 4 5 2" xfId="3601" xr:uid="{4E3FDC2F-EBE6-4287-B788-11F779DC796F}"/>
    <cellStyle name="Normal 3 4 5 2 2" xfId="4088" xr:uid="{175BF061-5602-4090-9C98-94B6B2B698D1}"/>
    <cellStyle name="Normal 3 4 5 2 3" xfId="4568" xr:uid="{EC522A17-5302-4FFD-A5A5-7F7D4EAF1DE5}"/>
    <cellStyle name="Normal 3 4 5 3" xfId="3859" xr:uid="{A12093E7-66FB-4376-B01C-9313A1EBE959}"/>
    <cellStyle name="Normal 3 4 5 4" xfId="4324" xr:uid="{A4BFAD99-7FD2-4E3B-815A-C01DD2EB015E}"/>
    <cellStyle name="Normal 3 4 6" xfId="3511" xr:uid="{298C2B22-9A61-4873-8668-E49EC897D026}"/>
    <cellStyle name="Normal 3 4 6 2" xfId="3998" xr:uid="{0B31B4BD-F459-4B55-8D28-6540DEA9C6A7}"/>
    <cellStyle name="Normal 3 4 6 3" xfId="4460" xr:uid="{7C1D316F-8A13-4304-ABC3-A6D5CC2CB65B}"/>
    <cellStyle name="Normal 3 4 7" xfId="3769" xr:uid="{720914F3-1D25-4FCB-803A-705CF7E23D88}"/>
    <cellStyle name="Normal 3 4 8" xfId="4234" xr:uid="{8DE71FA9-9DDC-4FAB-B32E-975E56D2A325}"/>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2 2 2" xfId="4149" xr:uid="{96CCC50A-B5E9-4271-A79A-1CDE186D0E0E}"/>
    <cellStyle name="Normal 3 5 2 2 2 3" xfId="3920" xr:uid="{6F244400-E1DE-44DE-85D4-312C99B08FE7}"/>
    <cellStyle name="Normal 3 5 2 2 2 4" xfId="4385" xr:uid="{90E8A085-068E-4400-A82D-828F9DAD9CC9}"/>
    <cellStyle name="Normal 3 5 2 2 3" xfId="3577" xr:uid="{69E745A6-02F7-47F3-9760-DE85AE2423DE}"/>
    <cellStyle name="Normal 3 5 2 2 3 2" xfId="4064" xr:uid="{EE28FB30-636A-45A3-9040-7EBAF326B0AD}"/>
    <cellStyle name="Normal 3 5 2 2 3 3" xfId="4589" xr:uid="{7BF4254B-DDB7-4FB2-940D-A38B39C0EB6E}"/>
    <cellStyle name="Normal 3 5 2 2 4" xfId="3835" xr:uid="{525E2FBC-4E71-4351-B7D3-755FDF8E1CF3}"/>
    <cellStyle name="Normal 3 5 2 2 5" xfId="4300" xr:uid="{4EE99910-6F1C-453D-892D-9E0072C6984D}"/>
    <cellStyle name="Normal 3 5 2 3" xfId="3453" xr:uid="{3840D03D-FA91-4CD5-B314-888A226ABFF0}"/>
    <cellStyle name="Normal 3 5 2 3 2" xfId="3718" xr:uid="{7656B2BD-CE02-4B20-BDBE-66CB07948D6D}"/>
    <cellStyle name="Normal 3 5 2 3 2 2" xfId="4189" xr:uid="{D39F925C-ABB5-45B4-B183-CD92D575E4FE}"/>
    <cellStyle name="Normal 3 5 2 3 3" xfId="3960" xr:uid="{17432700-7DDF-4BD7-9286-167C044B58F6}"/>
    <cellStyle name="Normal 3 5 2 3 4" xfId="4425" xr:uid="{DBCC69FC-634D-496B-9728-854B6C8EEB25}"/>
    <cellStyle name="Normal 3 5 2 4" xfId="2953" xr:uid="{5BEC0BD2-9149-476B-ABB5-0AF87C2FAF7D}"/>
    <cellStyle name="Normal 3 5 2 4 2" xfId="3622" xr:uid="{D9508435-6B5E-43F5-9DB7-7B2F61F6CEDC}"/>
    <cellStyle name="Normal 3 5 2 4 2 2" xfId="4109" xr:uid="{FE48C742-2D1D-4384-B0E4-79F4FF08E331}"/>
    <cellStyle name="Normal 3 5 2 4 3" xfId="3880" xr:uid="{492D1A22-7115-45ED-83AF-84A10C1A2CA2}"/>
    <cellStyle name="Normal 3 5 2 4 4" xfId="4345" xr:uid="{15035A52-D055-4D80-BC84-7F21474B80FE}"/>
    <cellStyle name="Normal 3 5 2 5" xfId="3532" xr:uid="{363538B8-CC83-42E2-ABD1-32ECDE641743}"/>
    <cellStyle name="Normal 3 5 2 5 2" xfId="4019" xr:uid="{8D894FF7-AA26-4DB3-BF86-D865AE6FC70F}"/>
    <cellStyle name="Normal 3 5 2 5 3" xfId="4481" xr:uid="{91FEE155-3154-46D2-8729-14ABC5D2CF10}"/>
    <cellStyle name="Normal 3 5 2 6" xfId="3790" xr:uid="{F163EBA6-9077-4D79-998B-15BF453C4410}"/>
    <cellStyle name="Normal 3 5 2 7" xfId="4255" xr:uid="{0C046832-1F63-4666-B067-AB3F405350A9}"/>
    <cellStyle name="Normal 3 5 3" xfId="2891" xr:uid="{ECB1E89E-33F7-4979-9AF8-05F571C83AAF}"/>
    <cellStyle name="Normal 3 5 3 2" xfId="2992" xr:uid="{6C52CE60-5D32-4E61-8E64-2B04DAD55F56}"/>
    <cellStyle name="Normal 3 5 3 2 2" xfId="3661" xr:uid="{183B444B-DE9F-428A-B02E-9223A4647131}"/>
    <cellStyle name="Normal 3 5 3 2 2 2" xfId="4132" xr:uid="{9435677A-1386-4526-AE17-86C2A9D3C425}"/>
    <cellStyle name="Normal 3 5 3 2 2 3" xfId="4612" xr:uid="{4DE1A1DD-57EC-458B-90CF-E76383DFCFC0}"/>
    <cellStyle name="Normal 3 5 3 2 3" xfId="3903" xr:uid="{DE16F550-36F9-4348-96D5-A6B0E9727AAF}"/>
    <cellStyle name="Normal 3 5 3 2 4" xfId="4368" xr:uid="{3A9ECFAD-A421-4757-B5E3-5E6189F10DDD}"/>
    <cellStyle name="Normal 3 5 3 3" xfId="3560" xr:uid="{A211DFBE-063D-47E7-87EF-A6CDDDA2E1C3}"/>
    <cellStyle name="Normal 3 5 3 3 2" xfId="4047" xr:uid="{4EC323DC-B531-4A68-A3A9-F816D4407AE3}"/>
    <cellStyle name="Normal 3 5 3 3 3" xfId="4520" xr:uid="{39CEB5D8-2E0C-4C16-A866-6F8B7B832BB5}"/>
    <cellStyle name="Normal 3 5 3 4" xfId="3818" xr:uid="{958EAAB7-C34A-45F0-A5E4-DAA348D036E6}"/>
    <cellStyle name="Normal 3 5 3 5" xfId="4283" xr:uid="{477BEBD0-6B18-436A-B926-FC6098DBC74C}"/>
    <cellStyle name="Normal 3 5 4" xfId="3435" xr:uid="{861AAC26-C3FF-48A7-A3C4-F906BA8B1DF7}"/>
    <cellStyle name="Normal 3 5 4 2" xfId="3701" xr:uid="{959C22F2-C3CB-486E-9FF7-32C9393F2A90}"/>
    <cellStyle name="Normal 3 5 4 2 2" xfId="4172" xr:uid="{1BC086F7-A16A-4F2D-B5B3-C8FF288ACAA4}"/>
    <cellStyle name="Normal 3 5 4 2 3" xfId="4540" xr:uid="{32110D95-8CDE-4211-BEF2-A8C22BB58A51}"/>
    <cellStyle name="Normal 3 5 4 3" xfId="3943" xr:uid="{139852C4-378B-48E1-B4EC-791EAA761B49}"/>
    <cellStyle name="Normal 3 5 4 4" xfId="4408" xr:uid="{562DFE23-3E88-43AD-8B2E-859B194C2F5B}"/>
    <cellStyle name="Normal 3 5 5" xfId="2936" xr:uid="{FE634913-EAE7-49BC-8321-DE62527417E2}"/>
    <cellStyle name="Normal 3 5 5 2" xfId="3605" xr:uid="{E12D629C-B992-4564-B07F-C4ABFAD74C3F}"/>
    <cellStyle name="Normal 3 5 5 2 2" xfId="4092" xr:uid="{35B1AF8F-8225-43DA-85C8-7E6757F673EE}"/>
    <cellStyle name="Normal 3 5 5 2 3" xfId="4572" xr:uid="{D9D98E53-DF18-42EE-B799-B95D98EB6483}"/>
    <cellStyle name="Normal 3 5 5 3" xfId="3863" xr:uid="{1CD9689E-05CF-431F-82A8-7C47B6A256A2}"/>
    <cellStyle name="Normal 3 5 5 4" xfId="4328" xr:uid="{9E46A0F4-BA9D-45AD-A7AE-AE54C92EECC2}"/>
    <cellStyle name="Normal 3 5 6" xfId="3515" xr:uid="{D8B0D612-C100-4C09-8B1D-DA82ED309ED9}"/>
    <cellStyle name="Normal 3 5 6 2" xfId="4002" xr:uid="{6D7FC7DE-32E6-4544-BAC7-33F0ACD4D316}"/>
    <cellStyle name="Normal 3 5 6 3" xfId="4464" xr:uid="{C715365F-8AF6-42E5-B2E7-B83DCFC2BDEB}"/>
    <cellStyle name="Normal 3 5 7" xfId="3773" xr:uid="{D4DB6612-7924-452D-B894-AEF2C20240A3}"/>
    <cellStyle name="Normal 3 5 8" xfId="4238" xr:uid="{EB0BA970-BA44-4B4E-BA19-799AE397B6A3}"/>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2 2 2" xfId="4151" xr:uid="{E567B3B7-9789-4908-B19C-B190C87036C9}"/>
    <cellStyle name="Normal 3 6 2 2 2 3" xfId="3922" xr:uid="{C1808378-D5A4-4249-A260-3EC06F52689C}"/>
    <cellStyle name="Normal 3 6 2 2 2 4" xfId="4387" xr:uid="{DF57C180-2409-4F66-8502-0D13116C05AD}"/>
    <cellStyle name="Normal 3 6 2 2 3" xfId="3579" xr:uid="{46C6946B-5B0F-4775-ADF2-FE3BB48F6852}"/>
    <cellStyle name="Normal 3 6 2 2 3 2" xfId="4066" xr:uid="{1F7B76D2-BFD3-4238-87B4-C048D22EC1E1}"/>
    <cellStyle name="Normal 3 6 2 2 3 3" xfId="4591" xr:uid="{812998D7-CF1A-4098-B29E-4606FBC9684B}"/>
    <cellStyle name="Normal 3 6 2 2 4" xfId="3837" xr:uid="{311BCE7F-5082-47E3-BB0B-8AE81845BB12}"/>
    <cellStyle name="Normal 3 6 2 2 5" xfId="4302" xr:uid="{BE23722B-57A9-44BB-B8B8-7B3C2DEA5495}"/>
    <cellStyle name="Normal 3 6 2 3" xfId="3455" xr:uid="{21C68592-3DDB-4928-A6C0-75877A37ADCE}"/>
    <cellStyle name="Normal 3 6 2 3 2" xfId="3720" xr:uid="{BDDFE2FE-3968-469B-A9E4-7253F968F104}"/>
    <cellStyle name="Normal 3 6 2 3 2 2" xfId="4191" xr:uid="{21EAD929-2C12-44C2-93DE-94C195C7983F}"/>
    <cellStyle name="Normal 3 6 2 3 3" xfId="3962" xr:uid="{08477B11-971F-41A6-A554-FCFA34F6E298}"/>
    <cellStyle name="Normal 3 6 2 3 4" xfId="4427" xr:uid="{300E85F1-81A9-4F24-9235-C9DF222268E3}"/>
    <cellStyle name="Normal 3 6 2 4" xfId="2955" xr:uid="{B3992CC1-5494-4763-A54C-7F02EF68E46D}"/>
    <cellStyle name="Normal 3 6 2 4 2" xfId="3624" xr:uid="{56E72497-4FD9-4928-92E9-1B1F6569095C}"/>
    <cellStyle name="Normal 3 6 2 4 2 2" xfId="4111" xr:uid="{EFF89BD1-CDDD-45A8-AC88-ABC6E0A9693A}"/>
    <cellStyle name="Normal 3 6 2 4 3" xfId="3882" xr:uid="{AA36CC24-BA49-4ECD-9BFC-FEC5F13461A4}"/>
    <cellStyle name="Normal 3 6 2 4 4" xfId="4347" xr:uid="{95171488-7F18-488F-B180-B47AD3DA0F45}"/>
    <cellStyle name="Normal 3 6 2 5" xfId="3534" xr:uid="{0F6DD857-3E47-4D4A-97C1-38AE13D8E9E8}"/>
    <cellStyle name="Normal 3 6 2 5 2" xfId="4021" xr:uid="{C15758CE-D8FF-4F47-A755-07CFB32A98DD}"/>
    <cellStyle name="Normal 3 6 2 5 3" xfId="4483" xr:uid="{7408EDB5-186E-40C6-8EFC-B7DAF075933A}"/>
    <cellStyle name="Normal 3 6 2 6" xfId="3792" xr:uid="{07F0D618-8CCD-4BF2-9C64-9D02FABE5C8A}"/>
    <cellStyle name="Normal 3 6 2 7" xfId="4257" xr:uid="{062B6656-DB53-4855-B69C-9D93AFBB108D}"/>
    <cellStyle name="Normal 3 6 3" xfId="2893" xr:uid="{AF48D1B9-5F0A-4162-948C-E4BA765EE164}"/>
    <cellStyle name="Normal 3 6 3 2" xfId="2994" xr:uid="{0B8D98EF-A3F0-4428-9465-2084740EEBDF}"/>
    <cellStyle name="Normal 3 6 3 2 2" xfId="3663" xr:uid="{99359995-C15C-4214-80A7-22A72076F5AA}"/>
    <cellStyle name="Normal 3 6 3 2 2 2" xfId="4134" xr:uid="{DA02DE7E-7564-4315-8964-993E1C1ED27E}"/>
    <cellStyle name="Normal 3 6 3 2 2 3" xfId="4614" xr:uid="{111CBA5B-682E-4B1F-B056-D32CC921E263}"/>
    <cellStyle name="Normal 3 6 3 2 3" xfId="3905" xr:uid="{38234563-5F64-48A7-896C-2FEBE7A3447B}"/>
    <cellStyle name="Normal 3 6 3 2 4" xfId="4370" xr:uid="{50BE5583-5D1F-4450-BBEB-A1ECCA17F607}"/>
    <cellStyle name="Normal 3 6 3 3" xfId="3562" xr:uid="{A41465FF-C763-40D7-BE17-986A19DEA467}"/>
    <cellStyle name="Normal 3 6 3 3 2" xfId="4049" xr:uid="{E135D55E-3162-4C34-95BA-BD2E5AE5996E}"/>
    <cellStyle name="Normal 3 6 3 3 3" xfId="4522" xr:uid="{C7C223D7-B1B8-4E68-BC4D-79094E66ACB2}"/>
    <cellStyle name="Normal 3 6 3 4" xfId="3820" xr:uid="{F1430C8B-2680-4D0C-AE07-82A246B28B61}"/>
    <cellStyle name="Normal 3 6 3 5" xfId="4285" xr:uid="{05991574-24C8-4058-B728-3E8708DB0F39}"/>
    <cellStyle name="Normal 3 6 4" xfId="3437" xr:uid="{18980BF1-5D51-4084-90DB-84C6ED63DE1A}"/>
    <cellStyle name="Normal 3 6 4 2" xfId="3703" xr:uid="{B3269BC1-33E5-4817-A995-96A1BD7061D1}"/>
    <cellStyle name="Normal 3 6 4 2 2" xfId="4174" xr:uid="{9BA09BF6-A888-4FFB-8143-002A55FD94D5}"/>
    <cellStyle name="Normal 3 6 4 2 3" xfId="4542" xr:uid="{2BE5CF3A-E624-46F0-A252-FC05311E04CA}"/>
    <cellStyle name="Normal 3 6 4 3" xfId="3945" xr:uid="{88135417-90B3-4714-862A-B193114CBC8F}"/>
    <cellStyle name="Normal 3 6 4 4" xfId="4410" xr:uid="{C8695D6D-DA28-4A9C-B8B2-C0F0781EEC45}"/>
    <cellStyle name="Normal 3 6 5" xfId="2938" xr:uid="{464D1B4F-3FDE-4325-BF32-01E30F8597D3}"/>
    <cellStyle name="Normal 3 6 5 2" xfId="3607" xr:uid="{E3BEC948-CB48-4699-9BF7-398E9057341F}"/>
    <cellStyle name="Normal 3 6 5 2 2" xfId="4094" xr:uid="{FD18E64E-7D69-4A23-A8EF-5815BFD43D7A}"/>
    <cellStyle name="Normal 3 6 5 2 3" xfId="4574" xr:uid="{E58BB04D-B0B3-4669-A353-DF80CC4085F6}"/>
    <cellStyle name="Normal 3 6 5 3" xfId="3865" xr:uid="{92730453-8953-41FC-A2C6-E3B9BA7A0A85}"/>
    <cellStyle name="Normal 3 6 5 4" xfId="4330" xr:uid="{108A47E1-A532-43FF-917B-B1AEE254FBC3}"/>
    <cellStyle name="Normal 3 6 6" xfId="3517" xr:uid="{36B40373-C254-42BF-9844-AB2E19D74B61}"/>
    <cellStyle name="Normal 3 6 6 2" xfId="4004" xr:uid="{624D603C-E943-442E-8CF3-A6D76276FC12}"/>
    <cellStyle name="Normal 3 6 6 3" xfId="4466" xr:uid="{F35E65CC-8DA2-43FD-B4DA-DC9DC0D1C506}"/>
    <cellStyle name="Normal 3 6 7" xfId="3775" xr:uid="{9898F8D4-DB41-4BFA-82DB-070FBC53DCD8}"/>
    <cellStyle name="Normal 3 6 8" xfId="4240" xr:uid="{28DA3F6A-1370-4A47-91AC-5FDD8BF0A333}"/>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2 2 2" xfId="4140" xr:uid="{2C639D0D-5A56-4067-A470-D4D3B9FE9788}"/>
    <cellStyle name="Normal 3 7 2 2 2 3" xfId="3911" xr:uid="{2A22ED1E-8074-4EDB-8BB2-2DDB24BA97B5}"/>
    <cellStyle name="Normal 3 7 2 2 2 4" xfId="4376" xr:uid="{807CEA14-D76B-437A-A139-BFF38A8009A4}"/>
    <cellStyle name="Normal 3 7 2 2 3" xfId="3568" xr:uid="{C7D6B39A-772D-4D3C-9D2F-8300C65922DB}"/>
    <cellStyle name="Normal 3 7 2 2 3 2" xfId="4055" xr:uid="{434347B5-1DA3-4292-8587-C2631109E21D}"/>
    <cellStyle name="Normal 3 7 2 2 3 3" xfId="4580" xr:uid="{AEC690AB-7D7A-42B9-9686-30EC955D2A2D}"/>
    <cellStyle name="Normal 3 7 2 2 4" xfId="3826" xr:uid="{D8F8922E-7CFE-49A1-9AAD-C0DF2097D105}"/>
    <cellStyle name="Normal 3 7 2 2 5" xfId="4291" xr:uid="{C18782AC-A372-4D1C-9C47-7D96B2337076}"/>
    <cellStyle name="Normal 3 7 2 3" xfId="3444" xr:uid="{67957013-F341-4E6C-A69B-0EDB178F8F47}"/>
    <cellStyle name="Normal 3 7 2 3 2" xfId="3709" xr:uid="{8200D914-E07F-4E54-A2AF-C55324BA3CCE}"/>
    <cellStyle name="Normal 3 7 2 3 2 2" xfId="4180" xr:uid="{644AB656-628B-4DCF-9D59-523312B36DE8}"/>
    <cellStyle name="Normal 3 7 2 3 3" xfId="3951" xr:uid="{1211EECD-DE39-47A5-BE18-30C1478E604C}"/>
    <cellStyle name="Normal 3 7 2 3 4" xfId="4416" xr:uid="{A4725118-25AD-4267-AFCA-D751FB5ADEC3}"/>
    <cellStyle name="Normal 3 7 2 4" xfId="2944" xr:uid="{9C47C7AE-7CA9-4452-A77C-95B435A66C76}"/>
    <cellStyle name="Normal 3 7 2 4 2" xfId="3613" xr:uid="{31B6E725-703C-4DD5-95DA-D3E2F219BA7A}"/>
    <cellStyle name="Normal 3 7 2 4 2 2" xfId="4100" xr:uid="{CC058A1A-EF70-41A8-9057-76C5C1F9D864}"/>
    <cellStyle name="Normal 3 7 2 4 3" xfId="3871" xr:uid="{51519A52-CD4B-4199-8EA3-A310A7C4CEAD}"/>
    <cellStyle name="Normal 3 7 2 4 4" xfId="4336" xr:uid="{A4632F33-A074-427D-99C1-D85055D15217}"/>
    <cellStyle name="Normal 3 7 2 5" xfId="3523" xr:uid="{FC001EC6-1FFF-4CFF-87BE-A1DF17CEADBB}"/>
    <cellStyle name="Normal 3 7 2 5 2" xfId="4010" xr:uid="{16B3AB32-04D1-40E2-948C-D240F5408CF7}"/>
    <cellStyle name="Normal 3 7 2 5 3" xfId="4472" xr:uid="{734722D9-C777-4CA6-997D-4BE6961021C0}"/>
    <cellStyle name="Normal 3 7 2 6" xfId="3781" xr:uid="{A38C7F4A-2F3C-435E-9A88-EB46F660B9F6}"/>
    <cellStyle name="Normal 3 7 2 7" xfId="4246" xr:uid="{90A66B13-FE42-4B3D-B3B8-A6C039046EF4}"/>
    <cellStyle name="Normal 3 7 3" xfId="2882" xr:uid="{CAC8F409-912F-4248-A145-ECB4A69E53C0}"/>
    <cellStyle name="Normal 3 7 3 2" xfId="2967" xr:uid="{AD2F175F-6CE0-4BF1-89F7-8D6F4DAA212B}"/>
    <cellStyle name="Normal 3 7 3 2 2" xfId="3636" xr:uid="{444573FF-F4BC-490C-8DAC-4281FD2C5097}"/>
    <cellStyle name="Normal 3 7 3 2 2 2" xfId="4123" xr:uid="{F6B898DA-B9FE-4EDF-9123-645C207B1562}"/>
    <cellStyle name="Normal 3 7 3 2 2 3" xfId="4603" xr:uid="{390943B0-760B-417C-A09A-C3205BC1F888}"/>
    <cellStyle name="Normal 3 7 3 2 3" xfId="3894" xr:uid="{E149C132-0060-4847-978E-7233DD26F968}"/>
    <cellStyle name="Normal 3 7 3 2 4" xfId="4359" xr:uid="{2DA419AD-2B1B-498D-B980-46C36322D33B}"/>
    <cellStyle name="Normal 3 7 3 3" xfId="3551" xr:uid="{FD155A5A-1FB9-4188-A30F-4138488D7210}"/>
    <cellStyle name="Normal 3 7 3 3 2" xfId="4038" xr:uid="{86B2B517-4B68-4D8E-AEAE-91EDEF5F47FA}"/>
    <cellStyle name="Normal 3 7 3 3 3" xfId="4495" xr:uid="{9C0B67DC-EBFB-4148-9C31-893A7B62CE64}"/>
    <cellStyle name="Normal 3 7 3 4" xfId="3809" xr:uid="{04164286-A5F7-4C57-A5D7-441F9E88B2B1}"/>
    <cellStyle name="Normal 3 7 3 5" xfId="4274" xr:uid="{525517E2-8AB0-443C-920C-77FE1B2BE336}"/>
    <cellStyle name="Normal 3 7 4" xfId="3023" xr:uid="{17C3627A-5390-4086-994A-FC055B3E2812}"/>
    <cellStyle name="Normal 3 7 4 2" xfId="3692" xr:uid="{60957BF5-3C0E-48DB-BEAA-33FBC66548BE}"/>
    <cellStyle name="Normal 3 7 4 2 2" xfId="4163" xr:uid="{49962D59-E984-4E25-A7E2-F0EE68428B55}"/>
    <cellStyle name="Normal 3 7 4 2 3" xfId="4531" xr:uid="{D34E4191-E3EA-4C89-A5C9-763F28A07C7F}"/>
    <cellStyle name="Normal 3 7 4 3" xfId="3934" xr:uid="{62038AE7-FF3C-454D-B2B4-58D8968BD728}"/>
    <cellStyle name="Normal 3 7 4 4" xfId="4399" xr:uid="{A56CC7BC-2D9A-40FF-9F45-83E001CCB63F}"/>
    <cellStyle name="Normal 3 7 5" xfId="2927" xr:uid="{F7BA3C64-391D-4B30-ACDD-3661ABDF053D}"/>
    <cellStyle name="Normal 3 7 5 2" xfId="3596" xr:uid="{FEF7B1B7-3C7A-4C91-A177-C9900B215FC2}"/>
    <cellStyle name="Normal 3 7 5 2 2" xfId="4083" xr:uid="{1E37E13E-8B06-43B4-80B9-FF198E64A6D0}"/>
    <cellStyle name="Normal 3 7 5 2 3" xfId="4556" xr:uid="{2A9FC34F-1950-41B9-B326-4515972F796D}"/>
    <cellStyle name="Normal 3 7 5 3" xfId="3854" xr:uid="{FD1E90BC-6444-4AD1-BF91-C542E3D4504C}"/>
    <cellStyle name="Normal 3 7 5 4" xfId="4319" xr:uid="{06F18A83-BA95-42E9-883E-25B978536277}"/>
    <cellStyle name="Normal 3 7 6" xfId="3506" xr:uid="{C85A07FA-469B-4060-A313-D5D1D97E3931}"/>
    <cellStyle name="Normal 3 7 6 2" xfId="3993" xr:uid="{D56A0A27-8D90-47CE-BA29-3BD2A0E1ABC1}"/>
    <cellStyle name="Normal 3 7 6 3" xfId="4455" xr:uid="{E852B7BE-CA25-4162-84CC-9778DE844861}"/>
    <cellStyle name="Normal 3 7 7" xfId="3764" xr:uid="{35DED866-AB1E-4040-8A6B-1F387F5A315F}"/>
    <cellStyle name="Normal 3 7 8" xfId="4229" xr:uid="{3CDDC7F2-D182-453A-BB8B-3C214231CEF6}"/>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2 2 2" xfId="4139" xr:uid="{1D3D4798-1586-4599-AF5D-168ABE5DE0CA}"/>
    <cellStyle name="Normal 3 8 2 2 2 3" xfId="3910" xr:uid="{2E65AED9-7AC9-4105-88AF-369A9BCA39C8}"/>
    <cellStyle name="Normal 3 8 2 2 2 4" xfId="4375" xr:uid="{545BD7CB-5551-4244-B9C1-5501200D6044}"/>
    <cellStyle name="Normal 3 8 2 2 3" xfId="3567" xr:uid="{660FA052-BE0C-4619-814C-B0B964F6E8D1}"/>
    <cellStyle name="Normal 3 8 2 2 3 2" xfId="4054" xr:uid="{89D52DC8-A2AF-407E-879C-141136CE6218}"/>
    <cellStyle name="Normal 3 8 2 2 3 3" xfId="4579" xr:uid="{2E9094D0-8210-4362-941B-D3DC3553C1E7}"/>
    <cellStyle name="Normal 3 8 2 2 4" xfId="3825" xr:uid="{77E5A9FF-0456-4F8C-A8EA-2CD530BB479A}"/>
    <cellStyle name="Normal 3 8 2 2 5" xfId="4290" xr:uid="{B07832D7-6BD1-4BF0-9FA8-CE0072BC5F6F}"/>
    <cellStyle name="Normal 3 8 2 3" xfId="3443" xr:uid="{674C9D59-715E-492F-A955-8D053C361483}"/>
    <cellStyle name="Normal 3 8 2 3 2" xfId="3708" xr:uid="{E2CA6EA0-C2D0-4FF4-8419-F505D58A1287}"/>
    <cellStyle name="Normal 3 8 2 3 2 2" xfId="4179" xr:uid="{30C31327-0BCB-4BCF-BEA1-FEC6DE899DF2}"/>
    <cellStyle name="Normal 3 8 2 3 3" xfId="3950" xr:uid="{71407B91-5752-4C0A-A7F5-5649234D10F2}"/>
    <cellStyle name="Normal 3 8 2 3 4" xfId="4415" xr:uid="{375A353D-4260-42DF-AF95-D023CFEA6BF2}"/>
    <cellStyle name="Normal 3 8 2 4" xfId="2943" xr:uid="{A5926E68-6E3A-4F69-A50C-5F3732548537}"/>
    <cellStyle name="Normal 3 8 2 4 2" xfId="3612" xr:uid="{426E6E58-B351-40DF-B238-9CB13D60576D}"/>
    <cellStyle name="Normal 3 8 2 4 2 2" xfId="4099" xr:uid="{235F646F-2519-4696-A2D0-2FEFCCB09336}"/>
    <cellStyle name="Normal 3 8 2 4 3" xfId="3870" xr:uid="{921D4162-F38E-4700-9F87-E7491634CC64}"/>
    <cellStyle name="Normal 3 8 2 4 4" xfId="4335" xr:uid="{10DF3152-1E8F-4221-80BD-E5FF4DF21945}"/>
    <cellStyle name="Normal 3 8 2 5" xfId="3522" xr:uid="{979A876D-B891-40C7-82DA-3DA04C5FC453}"/>
    <cellStyle name="Normal 3 8 2 5 2" xfId="4009" xr:uid="{341AE303-B60E-416F-8A8A-AD712C1247C0}"/>
    <cellStyle name="Normal 3 8 2 5 3" xfId="4471" xr:uid="{FCD24FA8-72B7-47C0-A285-275255DF0401}"/>
    <cellStyle name="Normal 3 8 2 6" xfId="3780" xr:uid="{30C05431-F4DC-4E20-B069-9B70D6E3A9A0}"/>
    <cellStyle name="Normal 3 8 2 7" xfId="4245" xr:uid="{83509A07-5B2A-4673-9A69-70576B2D0D99}"/>
    <cellStyle name="Normal 3 8 3" xfId="2881" xr:uid="{2A6C37F5-3EAB-4641-9972-109045CFDB2E}"/>
    <cellStyle name="Normal 3 8 3 2" xfId="2966" xr:uid="{AFE56341-50A2-420E-881F-FFFAAFB96C76}"/>
    <cellStyle name="Normal 3 8 3 2 2" xfId="3635" xr:uid="{561A7084-8F92-4AFE-B823-304C3BC04B2F}"/>
    <cellStyle name="Normal 3 8 3 2 2 2" xfId="4122" xr:uid="{3DE162E1-B6A1-448D-9C61-21A71BEA4967}"/>
    <cellStyle name="Normal 3 8 3 2 2 3" xfId="4602" xr:uid="{88B66196-13F1-4BA3-B632-4F1DCA87AD65}"/>
    <cellStyle name="Normal 3 8 3 2 3" xfId="3893" xr:uid="{F8FBDE15-F7A8-49BC-9F89-7A18E24820FF}"/>
    <cellStyle name="Normal 3 8 3 2 4" xfId="4358" xr:uid="{5969B42A-FEAE-4405-921E-49E5E61531F0}"/>
    <cellStyle name="Normal 3 8 3 3" xfId="3550" xr:uid="{6CCE2FCA-0C88-41D9-88FA-C698D5BBAA6A}"/>
    <cellStyle name="Normal 3 8 3 3 2" xfId="4037" xr:uid="{39F3B58B-72B7-4019-AA41-3B43270487A5}"/>
    <cellStyle name="Normal 3 8 3 3 3" xfId="4494" xr:uid="{F25225C3-842C-4996-9063-6F200F9F4AC7}"/>
    <cellStyle name="Normal 3 8 3 4" xfId="3808" xr:uid="{14B3B52A-4186-4E61-9537-3DE525E5D431}"/>
    <cellStyle name="Normal 3 8 3 5" xfId="4273" xr:uid="{7D872FDD-7328-415D-B8FE-A7F282998D40}"/>
    <cellStyle name="Normal 3 8 4" xfId="3022" xr:uid="{490F8661-2274-477D-8A62-38B0B8A8D80D}"/>
    <cellStyle name="Normal 3 8 4 2" xfId="3691" xr:uid="{9DD60BA5-4A4A-42A8-9FD2-601FBE28019B}"/>
    <cellStyle name="Normal 3 8 4 2 2" xfId="4162" xr:uid="{3078A2AB-4EFE-4618-A9C3-B769E5BCCCF5}"/>
    <cellStyle name="Normal 3 8 4 2 3" xfId="4530" xr:uid="{50273876-B520-47C0-85F6-8EF674104558}"/>
    <cellStyle name="Normal 3 8 4 3" xfId="3933" xr:uid="{3165A248-B8F8-484F-8B96-B128CF60D5B8}"/>
    <cellStyle name="Normal 3 8 4 4" xfId="4398" xr:uid="{3735FA87-725E-4E6C-91E5-6C9A37E9BA32}"/>
    <cellStyle name="Normal 3 8 5" xfId="2926" xr:uid="{0B0E2B2C-3A3B-4C12-8B19-70D50DDFA4C7}"/>
    <cellStyle name="Normal 3 8 5 2" xfId="3595" xr:uid="{186A2956-2B57-4DA0-BFE5-9620666BBD34}"/>
    <cellStyle name="Normal 3 8 5 2 2" xfId="4082" xr:uid="{55B22963-E3CB-4EC2-AB41-867DA6ED4F68}"/>
    <cellStyle name="Normal 3 8 5 2 3" xfId="4555" xr:uid="{7D6FB07E-0236-432D-8522-6BB3E097E0AD}"/>
    <cellStyle name="Normal 3 8 5 3" xfId="3853" xr:uid="{B7DD7665-9A3F-4B90-A846-C31B45233550}"/>
    <cellStyle name="Normal 3 8 5 4" xfId="4318" xr:uid="{8E4C0EAE-691F-447F-B202-B99C36D22C94}"/>
    <cellStyle name="Normal 3 8 6" xfId="3505" xr:uid="{E133F36B-E891-49F4-8CB9-372603913109}"/>
    <cellStyle name="Normal 3 8 6 2" xfId="3992" xr:uid="{3C5272A1-32FD-4000-801D-E02B16D3CC00}"/>
    <cellStyle name="Normal 3 8 6 3" xfId="4454" xr:uid="{3F639BB0-E00C-4C4A-B74C-79A386064D5A}"/>
    <cellStyle name="Normal 3 8 7" xfId="3763" xr:uid="{0C98039A-D51A-41BB-AAE0-94D91ECEE414}"/>
    <cellStyle name="Normal 3 8 8" xfId="4228" xr:uid="{F8DA9DB8-5E4C-49A2-AE40-BDCC27801977}"/>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2 2 2" xfId="4120" xr:uid="{5284CD2F-79B3-4947-9393-6B337099AFFA}"/>
    <cellStyle name="Normal 3 9 2 2 2 3" xfId="4600" xr:uid="{081AB675-9B0E-435E-887B-CF79FBA6704A}"/>
    <cellStyle name="Normal 3 9 2 2 3" xfId="3891" xr:uid="{23F6D532-E9E3-4E83-A6FA-473ADCAF6001}"/>
    <cellStyle name="Normal 3 9 2 2 4" xfId="4356" xr:uid="{CF01432D-BA13-42DB-A1AE-B67BA1750000}"/>
    <cellStyle name="Normal 3 9 2 3" xfId="3548" xr:uid="{928090B1-A035-40CA-9A84-C9997FF0BEA2}"/>
    <cellStyle name="Normal 3 9 2 3 2" xfId="4035" xr:uid="{998A4A20-2361-4222-A0FD-A70BB51CE629}"/>
    <cellStyle name="Normal 3 9 2 3 3" xfId="4492" xr:uid="{E8CEB82C-200E-4517-95D9-C08D09F2E95F}"/>
    <cellStyle name="Normal 3 9 2 4" xfId="3806" xr:uid="{7D012D54-7130-47FD-8467-A51F724332A1}"/>
    <cellStyle name="Normal 3 9 2 5" xfId="4271" xr:uid="{1C61B5E1-8705-4381-BB9B-3FED57937C16}"/>
    <cellStyle name="Normal 3 9 3" xfId="3020" xr:uid="{330F775B-D10F-4B3F-B787-95506BC9D1F2}"/>
    <cellStyle name="Normal 3 9 3 2" xfId="3689" xr:uid="{EE795DE7-6555-4372-98BD-6B6263B6979F}"/>
    <cellStyle name="Normal 3 9 3 2 2" xfId="4160" xr:uid="{69A8F82C-E720-4AB9-8422-B20D89B50BFF}"/>
    <cellStyle name="Normal 3 9 3 2 3" xfId="4528" xr:uid="{7081C465-3275-4558-B790-B561D7A67B3A}"/>
    <cellStyle name="Normal 3 9 3 3" xfId="3931" xr:uid="{B4E8DFF9-1667-4EA5-B9B6-D195A3394BE6}"/>
    <cellStyle name="Normal 3 9 3 4" xfId="4396" xr:uid="{AEB02081-9DC9-49CD-AD5A-5AA989AC7067}"/>
    <cellStyle name="Normal 3 9 4" xfId="2924" xr:uid="{BAC23DD2-8035-4E02-BEDA-BC8AE034543F}"/>
    <cellStyle name="Normal 3 9 4 2" xfId="3593" xr:uid="{23ABD6F3-84EB-4393-B461-5D2B2F099B98}"/>
    <cellStyle name="Normal 3 9 4 2 2" xfId="4080" xr:uid="{0584B17F-3738-45D8-BE37-C4E0C98B1BF6}"/>
    <cellStyle name="Normal 3 9 4 2 3" xfId="4553" xr:uid="{EE118B3C-CAD1-40D8-88AF-C395AD69097F}"/>
    <cellStyle name="Normal 3 9 4 3" xfId="3851" xr:uid="{7728E8EA-0294-4221-BF87-E367690283E9}"/>
    <cellStyle name="Normal 3 9 4 4" xfId="4316" xr:uid="{3CF86CED-69F5-45A0-B0DC-C70989A81B32}"/>
    <cellStyle name="Normal 3 9 5" xfId="3503" xr:uid="{3F0E68A4-505F-4743-A141-2A4ADDEC93C6}"/>
    <cellStyle name="Normal 3 9 5 2" xfId="3990" xr:uid="{5A2E4B32-52BB-4A2D-B94E-B8CE9F7739E7}"/>
    <cellStyle name="Normal 3 9 5 3" xfId="4452" xr:uid="{E58E9405-DE57-43FC-9D16-11317E794153}"/>
    <cellStyle name="Normal 3 9 6" xfId="3761" xr:uid="{21FA541B-499D-44D0-B88F-3E1AC1B56A33}"/>
    <cellStyle name="Normal 3 9 7" xfId="4226" xr:uid="{F22E3545-331E-4953-848B-1BA2D6418472}"/>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2 2" xfId="4159" xr:uid="{E4983B2A-0A44-472F-AC44-2359CB61ED46}"/>
    <cellStyle name="Normal 4 10 2 3" xfId="3930" xr:uid="{EB74404F-10C3-4085-9669-BBB4CBD3253F}"/>
    <cellStyle name="Normal 4 10 2 4" xfId="4395" xr:uid="{CDD43F72-6394-40E6-8849-A58C7FF5FB45}"/>
    <cellStyle name="Normal 4 10 3" xfId="3542" xr:uid="{39EA222C-770B-41E7-A4CC-C117C50904EE}"/>
    <cellStyle name="Normal 4 10 3 2" xfId="4029" xr:uid="{26A00F8D-3AC0-4047-8108-45272D295027}"/>
    <cellStyle name="Normal 4 10 3 3" xfId="4527" xr:uid="{DAFE46A7-D99B-4274-920B-DD122D1FA79D}"/>
    <cellStyle name="Normal 4 10 4" xfId="3800" xr:uid="{18E10574-1C29-4932-BB25-E58FD62E0335}"/>
    <cellStyle name="Normal 4 10 5" xfId="4265" xr:uid="{811CF0B5-FF95-46F9-8B80-D168133125BB}"/>
    <cellStyle name="Normal 4 11" xfId="3484" xr:uid="{E1E9D421-EAA4-4FD4-91B6-26A35DFAACCA}"/>
    <cellStyle name="Normal 4 11 2" xfId="3731" xr:uid="{6C3D6F15-8596-4BBF-9E70-FE8E148C2BD0}"/>
    <cellStyle name="Normal 4 11 2 2" xfId="4202" xr:uid="{1619A628-6E12-468F-B1E4-36D6625D36AE}"/>
    <cellStyle name="Normal 4 11 2 3" xfId="4547" xr:uid="{F5F75D53-E1C0-4D6E-A43F-E4DE0C7EB592}"/>
    <cellStyle name="Normal 4 11 3" xfId="3973" xr:uid="{739EF844-7757-48D5-B10D-29247A311511}"/>
    <cellStyle name="Normal 4 11 4" xfId="4438" xr:uid="{C2ED90D7-1D60-4473-9C13-2B036A9E1C59}"/>
    <cellStyle name="Normal 4 12" xfId="2918" xr:uid="{776488AA-3726-479F-9BB8-4CE8059F9DA4}"/>
    <cellStyle name="Normal 4 12 2" xfId="3587" xr:uid="{FED39AA4-4B50-4DAA-B527-5CA2B810B28A}"/>
    <cellStyle name="Normal 4 12 2 2" xfId="4074" xr:uid="{DB1E9CF4-465E-4947-A138-94B4DE6CDBB1}"/>
    <cellStyle name="Normal 4 12 3" xfId="3845" xr:uid="{8D3B48CA-55BD-4DE3-B0F2-23361D45B537}"/>
    <cellStyle name="Normal 4 12 4" xfId="4310" xr:uid="{8381F7B0-DCB0-49D2-97AC-34D038ECA821}"/>
    <cellStyle name="Normal 4 13" xfId="3492" xr:uid="{BA64252E-E332-442C-AF6B-08C40B5879B8}"/>
    <cellStyle name="Normal 4 13 2" xfId="3979" xr:uid="{3525426D-3AE5-46C0-9B62-99610149F07E}"/>
    <cellStyle name="Normal 4 13 3" xfId="4446" xr:uid="{07B5D221-18C5-4899-827C-116CCD99E46B}"/>
    <cellStyle name="Normal 4 14" xfId="22" xr:uid="{8086ED49-FE76-4531-AB0E-FA4CAA2327F8}"/>
    <cellStyle name="Normal 4 14 2" xfId="3750" xr:uid="{8A58E370-1DB0-4FE2-8BCA-EF3D948DC19F}"/>
    <cellStyle name="Normal 4 15" xfId="3744" xr:uid="{8EA25AAB-EC05-4BB3-80D2-F19CB20E7474}"/>
    <cellStyle name="Normal 4 16" xfId="4215" xr:uid="{43D136C9-A131-4DD1-AAC7-762D9BB04BB6}"/>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2 2 2" xfId="4146" xr:uid="{98734933-4E91-4CCD-AB13-8349EFCFEE68}"/>
    <cellStyle name="Normal 4 2 2 2 2 3" xfId="3917" xr:uid="{A3D442AA-1CFD-4F46-84B9-013B1BD09341}"/>
    <cellStyle name="Normal 4 2 2 2 2 4" xfId="4382" xr:uid="{88F9F83B-D801-4E89-8149-2212A08147C5}"/>
    <cellStyle name="Normal 4 2 2 2 3" xfId="3574" xr:uid="{DF14BEFE-7DC0-43AB-8B39-12BC4C643D9A}"/>
    <cellStyle name="Normal 4 2 2 2 3 2" xfId="4061" xr:uid="{E984A31C-3ABF-4106-9FDC-26E0C66B86E5}"/>
    <cellStyle name="Normal 4 2 2 2 3 3" xfId="4586" xr:uid="{88872E57-B566-4B2E-B45D-9A8657742D85}"/>
    <cellStyle name="Normal 4 2 2 2 4" xfId="3832" xr:uid="{143AF6BB-124B-4DEC-98F8-758C04958357}"/>
    <cellStyle name="Normal 4 2 2 2 5" xfId="4297" xr:uid="{AB65CA4E-64D4-495C-9FAD-53769AB519E0}"/>
    <cellStyle name="Normal 4 2 2 3" xfId="3450" xr:uid="{8A145DD6-8681-439E-A9C6-50BC7D1C8EE6}"/>
    <cellStyle name="Normal 4 2 2 3 2" xfId="3715" xr:uid="{2215DDA7-181D-4DE5-B5C9-757B742671F6}"/>
    <cellStyle name="Normal 4 2 2 3 2 2" xfId="4186" xr:uid="{2D725DF3-F645-438B-A5E2-FBABE13EADD7}"/>
    <cellStyle name="Normal 4 2 2 3 3" xfId="3957" xr:uid="{E5017F95-4985-410C-BCD1-D4A524E5CA1C}"/>
    <cellStyle name="Normal 4 2 2 3 4" xfId="4422" xr:uid="{30258A55-B0DA-4231-849F-5CE93A08A739}"/>
    <cellStyle name="Normal 4 2 2 4" xfId="2950" xr:uid="{C95DDB79-805C-4C12-A415-C6FAA93F53B4}"/>
    <cellStyle name="Normal 4 2 2 4 2" xfId="3619" xr:uid="{DD3BD707-27A4-49A9-BF52-05B761F4D9B7}"/>
    <cellStyle name="Normal 4 2 2 4 2 2" xfId="4106" xr:uid="{49AA7847-95B2-4125-BB50-A9ADBDB58821}"/>
    <cellStyle name="Normal 4 2 2 4 3" xfId="3877" xr:uid="{D2888B34-17CC-4072-9172-8F747CDAE51F}"/>
    <cellStyle name="Normal 4 2 2 4 4" xfId="4342" xr:uid="{A2AA854C-510D-4229-A413-CFF1E14F12EF}"/>
    <cellStyle name="Normal 4 2 2 5" xfId="3529" xr:uid="{B95641FF-C168-45AD-B8C9-C4F9D814D317}"/>
    <cellStyle name="Normal 4 2 2 5 2" xfId="4016" xr:uid="{D37E1461-8472-41C5-B89D-6D710C01FA67}"/>
    <cellStyle name="Normal 4 2 2 5 3" xfId="4478" xr:uid="{955B329F-0AC9-47C6-A5CB-1AAAD33350CC}"/>
    <cellStyle name="Normal 4 2 2 6" xfId="3787" xr:uid="{50562FBC-10D8-4B18-83D3-AC3B5885B046}"/>
    <cellStyle name="Normal 4 2 2 7" xfId="4252" xr:uid="{69183E97-C317-4CAF-B252-5F4C9B45E73E}"/>
    <cellStyle name="Normal 4 2 3" xfId="2888" xr:uid="{32807B66-8F0E-4006-9465-31D3322D1FA5}"/>
    <cellStyle name="Normal 4 2 3 2" xfId="2989" xr:uid="{D2CD65BD-F44D-476A-8304-1002F84EE031}"/>
    <cellStyle name="Normal 4 2 3 2 2" xfId="3658" xr:uid="{7F9D4086-4BC7-4361-8FF1-EDBC554D495F}"/>
    <cellStyle name="Normal 4 2 3 2 2 2" xfId="4129" xr:uid="{AC2EE267-E98F-4F5E-8450-94042A6857A7}"/>
    <cellStyle name="Normal 4 2 3 2 2 3" xfId="4609" xr:uid="{00ADED2F-AA2D-4F86-AE1F-46F2331677D9}"/>
    <cellStyle name="Normal 4 2 3 2 3" xfId="3900" xr:uid="{102C744F-0439-4823-A888-C3F5A4C02554}"/>
    <cellStyle name="Normal 4 2 3 2 4" xfId="4365" xr:uid="{95F9C4FF-8290-4C67-9D93-950F2BA7693E}"/>
    <cellStyle name="Normal 4 2 3 3" xfId="3557" xr:uid="{A82876CE-3AC7-40AF-942A-CC71D7FE0E16}"/>
    <cellStyle name="Normal 4 2 3 3 2" xfId="4044" xr:uid="{4B116C05-FCAF-44BA-AF83-FB5AAA3FE88E}"/>
    <cellStyle name="Normal 4 2 3 3 3" xfId="4517" xr:uid="{E4D41EBF-955F-4CDF-8D81-85662F0A9275}"/>
    <cellStyle name="Normal 4 2 3 4" xfId="3815" xr:uid="{481C82D7-4192-4237-B2AC-BD616C0AB329}"/>
    <cellStyle name="Normal 4 2 3 5" xfId="4280" xr:uid="{2F251095-48DD-40FA-A70E-478402C0E111}"/>
    <cellStyle name="Normal 4 2 4" xfId="3426" xr:uid="{394C2112-16E4-407C-8D72-54B8B4347EA6}"/>
    <cellStyle name="Normal 4 2 4 2" xfId="3698" xr:uid="{71AE0EC5-12FA-47C6-AC62-AAFF5AA9056E}"/>
    <cellStyle name="Normal 4 2 4 2 2" xfId="4169" xr:uid="{C1A9C25B-9F36-465C-A49F-94BC8758CC65}"/>
    <cellStyle name="Normal 4 2 4 2 3" xfId="4537" xr:uid="{BD6CC465-D0F4-404D-9D98-3517B3A0FD28}"/>
    <cellStyle name="Normal 4 2 4 3" xfId="3940" xr:uid="{6ED70A3A-D893-4793-A1D1-EBBE86D2773C}"/>
    <cellStyle name="Normal 4 2 4 4" xfId="4405" xr:uid="{F81ABA8E-7606-4F2D-AB15-5F53E169513B}"/>
    <cellStyle name="Normal 4 2 5" xfId="2933" xr:uid="{7422A233-B604-4CEF-8DB3-3B38D3B76A4F}"/>
    <cellStyle name="Normal 4 2 5 2" xfId="3602" xr:uid="{B3A4FAF7-0A25-4FD0-99A6-9D242DCD9793}"/>
    <cellStyle name="Normal 4 2 5 2 2" xfId="4089" xr:uid="{325F0D36-2706-4CE7-B4F8-3A700E870A7E}"/>
    <cellStyle name="Normal 4 2 5 2 3" xfId="4569" xr:uid="{ECA341E7-9F77-45C1-8250-759938F95BB6}"/>
    <cellStyle name="Normal 4 2 5 3" xfId="3860" xr:uid="{24F84737-D626-42CD-994B-60D80E6C235D}"/>
    <cellStyle name="Normal 4 2 5 4" xfId="4325" xr:uid="{5A49848F-01C4-4549-BB95-DF9684D5B64A}"/>
    <cellStyle name="Normal 4 2 6" xfId="3512" xr:uid="{4499489B-EA7A-4C79-88EE-8A8C8CDEE43E}"/>
    <cellStyle name="Normal 4 2 6 2" xfId="3999" xr:uid="{0656A7B2-102E-4ED9-A1FC-3450CB3F8B61}"/>
    <cellStyle name="Normal 4 2 6 3" xfId="4461" xr:uid="{6283DA1C-F6C7-481E-8C94-1E399A686200}"/>
    <cellStyle name="Normal 4 2 7" xfId="3770" xr:uid="{B0D5A528-7BDA-430B-9E69-8E4AAFEC9356}"/>
    <cellStyle name="Normal 4 2 8" xfId="4235" xr:uid="{EEDF365D-B125-450A-B423-EAADA42294EF}"/>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2 2 2" xfId="4150" xr:uid="{1E8FF218-C13D-413F-A447-E01DD1259BA6}"/>
    <cellStyle name="Normal 4 3 2 2 2 3" xfId="3921" xr:uid="{560D4D82-4E6B-41FC-8787-DFE9D21A102E}"/>
    <cellStyle name="Normal 4 3 2 2 2 4" xfId="4386" xr:uid="{1F4DCBD7-3E7A-45B5-B836-557C2AE77578}"/>
    <cellStyle name="Normal 4 3 2 2 3" xfId="3578" xr:uid="{3502D45F-E9A4-483F-A01F-19140A102337}"/>
    <cellStyle name="Normal 4 3 2 2 3 2" xfId="4065" xr:uid="{12EC4137-E7E1-4BBD-B102-3E15D9426EF5}"/>
    <cellStyle name="Normal 4 3 2 2 3 3" xfId="4590" xr:uid="{D8111E8C-291A-4A44-A436-16681C15A9C3}"/>
    <cellStyle name="Normal 4 3 2 2 4" xfId="3836" xr:uid="{3541DA92-FA7F-4DBB-B908-58994CE6AADB}"/>
    <cellStyle name="Normal 4 3 2 2 5" xfId="4301" xr:uid="{E73AD5A9-D167-4AF7-8AB2-983ED07B56EE}"/>
    <cellStyle name="Normal 4 3 2 3" xfId="3454" xr:uid="{40666BB9-5300-4A90-A041-C2B05E0212C7}"/>
    <cellStyle name="Normal 4 3 2 3 2" xfId="3719" xr:uid="{27CD0467-DAC3-4379-9F87-015AC64E0485}"/>
    <cellStyle name="Normal 4 3 2 3 2 2" xfId="4190" xr:uid="{4E3601C7-A57E-4F67-A511-2B09F7B9E0AB}"/>
    <cellStyle name="Normal 4 3 2 3 3" xfId="3961" xr:uid="{A76B94E4-8544-449D-BEB5-6CAD9AFAD7C4}"/>
    <cellStyle name="Normal 4 3 2 3 4" xfId="4426" xr:uid="{3193D4E5-5B7C-43C6-B74B-A226C23261E7}"/>
    <cellStyle name="Normal 4 3 2 4" xfId="2954" xr:uid="{A9FD7A50-AF92-46E9-B0DE-DEF8A5AB0621}"/>
    <cellStyle name="Normal 4 3 2 4 2" xfId="3623" xr:uid="{1861C970-CC5A-4BEB-AD97-887F2A8BE552}"/>
    <cellStyle name="Normal 4 3 2 4 2 2" xfId="4110" xr:uid="{89339EC2-DE44-4DE2-8F02-C4AC58F7D7B7}"/>
    <cellStyle name="Normal 4 3 2 4 3" xfId="3881" xr:uid="{06EDC601-53AF-4986-87AE-B6647255855F}"/>
    <cellStyle name="Normal 4 3 2 4 4" xfId="4346" xr:uid="{AF33E19B-5231-4C4B-8C1F-D1FDBD5745E8}"/>
    <cellStyle name="Normal 4 3 2 5" xfId="3533" xr:uid="{2A1BC6D7-965B-4D75-8A88-2EC268E535D0}"/>
    <cellStyle name="Normal 4 3 2 5 2" xfId="4020" xr:uid="{8DA8B153-37FD-4F98-B002-5089EC3D1BB2}"/>
    <cellStyle name="Normal 4 3 2 5 3" xfId="4482" xr:uid="{BD94DC33-E7C2-46BA-AFBA-1986AD4899A3}"/>
    <cellStyle name="Normal 4 3 2 6" xfId="3791" xr:uid="{941693C1-4D07-46DD-8E6A-BA2B099F49F1}"/>
    <cellStyle name="Normal 4 3 2 7" xfId="4256" xr:uid="{85F7DDDC-0171-48A6-9194-E578C61A1DEF}"/>
    <cellStyle name="Normal 4 3 3" xfId="2892" xr:uid="{6C5564FB-3250-4620-823E-01C2904A3432}"/>
    <cellStyle name="Normal 4 3 3 2" xfId="2993" xr:uid="{C673568D-B830-421D-9F57-682A545B10F2}"/>
    <cellStyle name="Normal 4 3 3 2 2" xfId="3662" xr:uid="{7993FE68-3A7B-45CD-8A86-C8FF0BCD0CE9}"/>
    <cellStyle name="Normal 4 3 3 2 2 2" xfId="4133" xr:uid="{3B859926-EA94-481D-AC6E-06A5E5893FE6}"/>
    <cellStyle name="Normal 4 3 3 2 2 3" xfId="4613" xr:uid="{31FAB59C-53C5-44A1-BC3C-D912EBA86CF4}"/>
    <cellStyle name="Normal 4 3 3 2 3" xfId="3904" xr:uid="{ECC7F21A-53F6-49A6-934E-20D057D6A68E}"/>
    <cellStyle name="Normal 4 3 3 2 4" xfId="4369" xr:uid="{A99CD219-B57F-45EB-A703-33B521DB84D7}"/>
    <cellStyle name="Normal 4 3 3 3" xfId="3561" xr:uid="{EBFA198F-0452-4CF7-B47B-FF3047664F36}"/>
    <cellStyle name="Normal 4 3 3 3 2" xfId="4048" xr:uid="{D2FDAEB9-8242-48E6-8C84-3F30E34C3CA9}"/>
    <cellStyle name="Normal 4 3 3 3 3" xfId="4521" xr:uid="{A28ACA6B-ACA3-4746-A987-74E8A81DD13B}"/>
    <cellStyle name="Normal 4 3 3 4" xfId="3819" xr:uid="{634CE7C3-CED5-4CA1-BE11-DAEE3DC4C473}"/>
    <cellStyle name="Normal 4 3 3 5" xfId="4284" xr:uid="{523356EA-3DEA-4C70-BED7-096544319DBB}"/>
    <cellStyle name="Normal 4 3 4" xfId="3436" xr:uid="{9D31176D-BE12-49D1-828B-B3658E91ABDD}"/>
    <cellStyle name="Normal 4 3 4 2" xfId="3702" xr:uid="{8B3D2050-B085-477E-9C06-E5213BFE71A6}"/>
    <cellStyle name="Normal 4 3 4 2 2" xfId="4173" xr:uid="{0A28EDA9-E2C7-442E-92F4-1F4E5D55EA72}"/>
    <cellStyle name="Normal 4 3 4 2 3" xfId="4541" xr:uid="{6987BF60-3615-4193-AE7B-291A3BEF4AFB}"/>
    <cellStyle name="Normal 4 3 4 3" xfId="3944" xr:uid="{6C360662-C07D-41BC-93A1-D51AC14C3BF7}"/>
    <cellStyle name="Normal 4 3 4 4" xfId="4409" xr:uid="{5259BDB3-F53A-449C-9FBF-A8EDA4BEED80}"/>
    <cellStyle name="Normal 4 3 5" xfId="2937" xr:uid="{5A091B88-F41A-4AF7-91C4-1F079688941A}"/>
    <cellStyle name="Normal 4 3 5 2" xfId="3606" xr:uid="{6B8C2F25-0AB1-45B2-AE85-87D20184DFAC}"/>
    <cellStyle name="Normal 4 3 5 2 2" xfId="4093" xr:uid="{FECB6A78-F20F-41AE-ABC6-2E1F3B245157}"/>
    <cellStyle name="Normal 4 3 5 2 3" xfId="4573" xr:uid="{62BC57B8-FCC8-4819-826E-A48347EFFA65}"/>
    <cellStyle name="Normal 4 3 5 3" xfId="3864" xr:uid="{46653E97-5D04-4DBE-878E-67910017525B}"/>
    <cellStyle name="Normal 4 3 5 4" xfId="4329" xr:uid="{6992D34B-FB37-4464-8027-D97CE88E8979}"/>
    <cellStyle name="Normal 4 3 6" xfId="3516" xr:uid="{7C95A12E-99DA-4C3A-82F2-8515CBB4FDA4}"/>
    <cellStyle name="Normal 4 3 6 2" xfId="4003" xr:uid="{36919D45-E4A6-48CC-B8AF-CC8ACF11D904}"/>
    <cellStyle name="Normal 4 3 6 3" xfId="4465" xr:uid="{11608EB4-E8C1-4B7F-BBC1-065C0F9F90DF}"/>
    <cellStyle name="Normal 4 3 7" xfId="3774" xr:uid="{9661F90E-42B4-4438-A724-9D41B8EB9F56}"/>
    <cellStyle name="Normal 4 3 8" xfId="4239" xr:uid="{B70CBCA1-2258-4B6E-B232-3D586532FD1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2 2 2" xfId="4153" xr:uid="{FD2B9047-FAC1-473D-87FD-F8AA3258CD16}"/>
    <cellStyle name="Normal 4 4 2 2 2 3" xfId="3924" xr:uid="{0B4FEAB9-60BF-4432-8F9D-69F7070EA60B}"/>
    <cellStyle name="Normal 4 4 2 2 2 4" xfId="4389" xr:uid="{63554CA3-8EB0-495E-B436-84C6FE3E49D6}"/>
    <cellStyle name="Normal 4 4 2 2 3" xfId="3581" xr:uid="{48EED8D4-76B9-4A46-A51F-BC81D3E1D646}"/>
    <cellStyle name="Normal 4 4 2 2 3 2" xfId="4068" xr:uid="{BD716BE0-BC49-44F3-BC08-5E3BDA106626}"/>
    <cellStyle name="Normal 4 4 2 2 3 3" xfId="4593" xr:uid="{F3DDFE53-6DDA-4CF5-A92A-DF9927ABBA8B}"/>
    <cellStyle name="Normal 4 4 2 2 4" xfId="3839" xr:uid="{D8ED4CD2-0659-41E4-9F28-8A589DF6530A}"/>
    <cellStyle name="Normal 4 4 2 2 5" xfId="4304" xr:uid="{32A0B998-4086-4EC0-8BED-BDC26E30B3D0}"/>
    <cellStyle name="Normal 4 4 2 3" xfId="3457" xr:uid="{603BC009-A252-49E1-A966-6BBF24B62296}"/>
    <cellStyle name="Normal 4 4 2 3 2" xfId="3722" xr:uid="{244380B4-5AEC-48D0-A2EF-A95450406E38}"/>
    <cellStyle name="Normal 4 4 2 3 2 2" xfId="4193" xr:uid="{B1EB9735-915F-47A5-BAE8-FE5E1DF5C75A}"/>
    <cellStyle name="Normal 4 4 2 3 3" xfId="3964" xr:uid="{BF8C85FA-DB4F-4F4E-94D8-D8880445FA16}"/>
    <cellStyle name="Normal 4 4 2 3 4" xfId="4429" xr:uid="{A8C5B52A-B827-4AF7-9940-BDEB432AEAE9}"/>
    <cellStyle name="Normal 4 4 2 4" xfId="2957" xr:uid="{B6BD8F4B-7DE3-4A49-8A75-171644DE4B45}"/>
    <cellStyle name="Normal 4 4 2 4 2" xfId="3626" xr:uid="{C6ED27FC-A2F5-473D-B52E-DA25506805BC}"/>
    <cellStyle name="Normal 4 4 2 4 2 2" xfId="4113" xr:uid="{278CDFFC-FE17-4FC2-9342-40B52112F7DE}"/>
    <cellStyle name="Normal 4 4 2 4 3" xfId="3884" xr:uid="{54281AF8-2C8B-4151-9924-5AA51ACFC789}"/>
    <cellStyle name="Normal 4 4 2 4 4" xfId="4349" xr:uid="{0668EFFB-547A-4020-94D3-B5EBF1887E52}"/>
    <cellStyle name="Normal 4 4 2 5" xfId="3536" xr:uid="{1B9216E6-0302-4DDB-842E-1C4D5D558AF7}"/>
    <cellStyle name="Normal 4 4 2 5 2" xfId="4023" xr:uid="{C3C006DB-590D-456F-99CC-59556F613C71}"/>
    <cellStyle name="Normal 4 4 2 5 3" xfId="4485" xr:uid="{0EB494C0-336B-4550-A653-1615E655A627}"/>
    <cellStyle name="Normal 4 4 2 6" xfId="3794" xr:uid="{67F53EF4-0A12-473A-81BA-9DC3C6836F9B}"/>
    <cellStyle name="Normal 4 4 2 7" xfId="4259" xr:uid="{402BE1FD-0324-4749-8291-6B4E9734538E}"/>
    <cellStyle name="Normal 4 4 3" xfId="2895" xr:uid="{31D89E02-9E55-42A5-9DC4-1228FD145ADF}"/>
    <cellStyle name="Normal 4 4 3 2" xfId="2996" xr:uid="{08E4F956-9DC8-4470-AAB7-3C6C658BCCD1}"/>
    <cellStyle name="Normal 4 4 3 2 2" xfId="3665" xr:uid="{56F916F1-3B59-4C13-B7CF-6FFD72C16681}"/>
    <cellStyle name="Normal 4 4 3 2 2 2" xfId="4136" xr:uid="{671836FA-C91D-42B2-BEB0-16ED2B165A20}"/>
    <cellStyle name="Normal 4 4 3 2 2 3" xfId="4616" xr:uid="{308447E5-4D21-4A8C-AF6C-154FFC774C35}"/>
    <cellStyle name="Normal 4 4 3 2 3" xfId="3907" xr:uid="{CD2991C5-2551-4F4E-A7FC-3D92C8FDA38B}"/>
    <cellStyle name="Normal 4 4 3 2 4" xfId="4372" xr:uid="{42348063-BE18-449C-86F1-EB11567CCA4D}"/>
    <cellStyle name="Normal 4 4 3 3" xfId="3564" xr:uid="{94591AE2-72AD-46F7-A8E0-36A4C1395603}"/>
    <cellStyle name="Normal 4 4 3 3 2" xfId="4051" xr:uid="{8C930826-26F5-406D-A499-9427C00B38CD}"/>
    <cellStyle name="Normal 4 4 3 3 3" xfId="4524" xr:uid="{812EF724-E493-4E7B-A047-8919FA0545C3}"/>
    <cellStyle name="Normal 4 4 3 4" xfId="3822" xr:uid="{D2B8E23F-D8AF-4AE6-8FB7-F3401271C4F3}"/>
    <cellStyle name="Normal 4 4 3 5" xfId="4287" xr:uid="{D57D47CE-4F70-411B-BB96-2671A3B1F11E}"/>
    <cellStyle name="Normal 4 4 4" xfId="3439" xr:uid="{2C59E7BB-97B5-4DF7-829F-EE7A50649E81}"/>
    <cellStyle name="Normal 4 4 4 2" xfId="3705" xr:uid="{98E0296E-A976-4DB9-9CA4-2839128A46C2}"/>
    <cellStyle name="Normal 4 4 4 2 2" xfId="4176" xr:uid="{11D494C4-E33F-41FE-B771-3A902A4D6B2D}"/>
    <cellStyle name="Normal 4 4 4 2 3" xfId="4544" xr:uid="{27CC4609-8837-4FCC-9807-72A2A262030F}"/>
    <cellStyle name="Normal 4 4 4 3" xfId="3947" xr:uid="{D4DCF15F-B55C-47BD-BA0E-61A793F3FFB8}"/>
    <cellStyle name="Normal 4 4 4 4" xfId="4412" xr:uid="{1293D03C-983C-44A3-903E-EE35BB3325B3}"/>
    <cellStyle name="Normal 4 4 5" xfId="2940" xr:uid="{D339D396-524A-4FC5-93FD-8ADCB9EC87F1}"/>
    <cellStyle name="Normal 4 4 5 2" xfId="3609" xr:uid="{8A005C51-8150-44F5-B3F9-8A689A25B884}"/>
    <cellStyle name="Normal 4 4 5 2 2" xfId="4096" xr:uid="{1ED49C73-72B3-4C5D-A8A3-4110136B1D42}"/>
    <cellStyle name="Normal 4 4 5 2 3" xfId="4576" xr:uid="{263DC66D-64E5-4F1A-9099-F7504912E98D}"/>
    <cellStyle name="Normal 4 4 5 3" xfId="3867" xr:uid="{CD959335-795D-4858-BB9B-885850535352}"/>
    <cellStyle name="Normal 4 4 5 4" xfId="4332" xr:uid="{8ACA226A-0E5C-4110-B774-800392643934}"/>
    <cellStyle name="Normal 4 4 6" xfId="3519" xr:uid="{12B38230-8BF1-4B5B-A331-B6FB04606618}"/>
    <cellStyle name="Normal 4 4 6 2" xfId="4006" xr:uid="{696B6967-61C4-4E4A-9405-D3B0AB1541EF}"/>
    <cellStyle name="Normal 4 4 6 3" xfId="4468" xr:uid="{F6AB1B8E-1897-4CD8-8B7B-466629E51632}"/>
    <cellStyle name="Normal 4 4 7" xfId="3777" xr:uid="{1D90A1C6-C986-4DBE-9099-52EB642BBA7A}"/>
    <cellStyle name="Normal 4 4 8" xfId="4242" xr:uid="{14268915-47B7-433D-9FD4-3033410B73AE}"/>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2 2 2" xfId="4126" xr:uid="{898B98AD-B78A-43E0-85FF-7AF1B2AF9763}"/>
    <cellStyle name="Normal 4 5 2 2 2 3" xfId="4606" xr:uid="{EACEEC23-085A-45FF-95EF-926BF94B0036}"/>
    <cellStyle name="Normal 4 5 2 2 3" xfId="3897" xr:uid="{EEDC6910-6DDD-474A-991B-9EAD2FF42DF9}"/>
    <cellStyle name="Normal 4 5 2 2 4" xfId="4362" xr:uid="{22D8F9A8-7CA1-42BD-8694-89C33337270B}"/>
    <cellStyle name="Normal 4 5 2 3" xfId="3554" xr:uid="{7D9911A8-E0D2-4AE2-829D-199C5E3823B4}"/>
    <cellStyle name="Normal 4 5 2 3 2" xfId="4041" xr:uid="{41847C49-EB19-4F00-907B-A58224DDDF9E}"/>
    <cellStyle name="Normal 4 5 2 3 3" xfId="4507" xr:uid="{D603090F-DBA5-4C7E-92EC-2273EB2D4404}"/>
    <cellStyle name="Normal 4 5 2 4" xfId="3812" xr:uid="{3152F396-4E53-43BE-9110-70EB9F952CE5}"/>
    <cellStyle name="Normal 4 5 2 5" xfId="4277" xr:uid="{49623276-5CFD-4FAD-80FB-AD72115EB8F1}"/>
    <cellStyle name="Normal 4 5 3" xfId="3040" xr:uid="{FF07AB09-14AA-4828-B57E-B817117672A2}"/>
    <cellStyle name="Normal 4 5 3 2" xfId="3695" xr:uid="{83F37EC2-5319-4AE8-87C5-D0A028B6C2FB}"/>
    <cellStyle name="Normal 4 5 3 2 2" xfId="4166" xr:uid="{9633B1F9-CE7A-4CC1-8F92-D2A50AEEB868}"/>
    <cellStyle name="Normal 4 5 3 2 3" xfId="4534" xr:uid="{BB8D331A-1242-408D-94AE-680DC9B3ABEB}"/>
    <cellStyle name="Normal 4 5 3 3" xfId="3937" xr:uid="{4B0B1337-3309-4D97-919D-1D57AADF3B25}"/>
    <cellStyle name="Normal 4 5 3 4" xfId="4402" xr:uid="{478F911E-0720-42F4-BA05-E1BD30254D6A}"/>
    <cellStyle name="Normal 4 5 4" xfId="2930" xr:uid="{127037BD-9E37-413D-9A1B-89CC01040EA9}"/>
    <cellStyle name="Normal 4 5 4 2" xfId="3599" xr:uid="{50DE78CD-2FF4-4B6C-996B-38AC7BD3C038}"/>
    <cellStyle name="Normal 4 5 4 2 2" xfId="4086" xr:uid="{C0685B2F-46E8-4244-9E49-8D3AEE6CC374}"/>
    <cellStyle name="Normal 4 5 4 2 3" xfId="4559" xr:uid="{4305BA46-5BC1-4247-9ECD-DE7196B90E2E}"/>
    <cellStyle name="Normal 4 5 4 3" xfId="3857" xr:uid="{81774A18-C470-445A-B4E5-59F26FDCD55B}"/>
    <cellStyle name="Normal 4 5 4 4" xfId="4322" xr:uid="{2B55E8B1-3B34-442A-872F-CCA60D3E652F}"/>
    <cellStyle name="Normal 4 5 5" xfId="3509" xr:uid="{EE80D27D-FF68-47E9-B3FD-412ABF79C8FA}"/>
    <cellStyle name="Normal 4 5 5 2" xfId="3996" xr:uid="{80C4CB96-1115-4B5C-8E61-515323626631}"/>
    <cellStyle name="Normal 4 5 5 3" xfId="4458" xr:uid="{DDEB3193-9C5A-4F7C-A895-A1992257290F}"/>
    <cellStyle name="Normal 4 5 6" xfId="3767" xr:uid="{87FA5AAE-47C3-485A-AA18-2BD40DEAF08D}"/>
    <cellStyle name="Normal 4 5 7" xfId="4232" xr:uid="{FD9BD921-B523-4702-A08D-5108DF1F9AE5}"/>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2 2 2" xfId="4143" xr:uid="{5BD0D711-20C3-422C-83A3-431A1F1D6AA7}"/>
    <cellStyle name="Normal 4 6 2 2 3" xfId="3914" xr:uid="{5A983F68-F809-4402-91CC-06CD9A092F08}"/>
    <cellStyle name="Normal 4 6 2 2 4" xfId="4379" xr:uid="{3B968931-FBC4-46EE-A483-562CC3957971}"/>
    <cellStyle name="Normal 4 6 2 3" xfId="3571" xr:uid="{0A1A40D1-C1B0-41DA-AF95-6D0B88ADA848}"/>
    <cellStyle name="Normal 4 6 2 3 2" xfId="4058" xr:uid="{5C42378C-183F-4E55-9B80-02A07403B7AF}"/>
    <cellStyle name="Normal 4 6 2 3 3" xfId="4583" xr:uid="{6791F90F-00C9-4C22-B475-1253DA490CB4}"/>
    <cellStyle name="Normal 4 6 2 4" xfId="3829" xr:uid="{8E1EFB75-F5F3-4779-81D6-167F497588E9}"/>
    <cellStyle name="Normal 4 6 2 5" xfId="4294" xr:uid="{FCB186A2-05A0-45A0-9371-358ACC493783}"/>
    <cellStyle name="Normal 4 6 3" xfId="3447" xr:uid="{5403DFEF-8DF5-4821-A5AD-BE962DCD5622}"/>
    <cellStyle name="Normal 4 6 3 2" xfId="3712" xr:uid="{94C7A8FA-212A-4E84-8519-272318F7EBA8}"/>
    <cellStyle name="Normal 4 6 3 2 2" xfId="4183" xr:uid="{F19C83C8-05D6-47A1-8659-354768B2C0D1}"/>
    <cellStyle name="Normal 4 6 3 3" xfId="3954" xr:uid="{600DC1D0-C99D-40ED-A89E-DC09870757C2}"/>
    <cellStyle name="Normal 4 6 3 4" xfId="4419" xr:uid="{81CDD2E8-D379-4832-907A-136725B4DE3B}"/>
    <cellStyle name="Normal 4 6 4" xfId="2947" xr:uid="{A671DB3F-E4AD-4FC7-940F-2A343291A944}"/>
    <cellStyle name="Normal 4 6 4 2" xfId="3616" xr:uid="{300DBA71-10EE-416C-8D9C-3A6BE45C10B1}"/>
    <cellStyle name="Normal 4 6 4 2 2" xfId="4103" xr:uid="{51CB5956-E80E-4622-B634-F43E132D6558}"/>
    <cellStyle name="Normal 4 6 4 3" xfId="3874" xr:uid="{A7CC473F-77A1-4C71-9C49-11F2EC212E8B}"/>
    <cellStyle name="Normal 4 6 4 4" xfId="4339" xr:uid="{7C195989-06AF-47DA-8B3A-18D287E9BD81}"/>
    <cellStyle name="Normal 4 6 5" xfId="3526" xr:uid="{B066C5EF-CD9C-4F81-8FC7-F8B1C146D8B9}"/>
    <cellStyle name="Normal 4 6 5 2" xfId="4013" xr:uid="{0820BD49-7499-4FC4-9812-63198689574B}"/>
    <cellStyle name="Normal 4 6 5 3" xfId="4475" xr:uid="{C8919EB7-DB21-4541-9B39-44DAFD22D369}"/>
    <cellStyle name="Normal 4 6 6" xfId="3784" xr:uid="{F02D38FE-989B-41C1-968C-E2DD45DDD140}"/>
    <cellStyle name="Normal 4 6 7" xfId="4249" xr:uid="{AA12933E-0E31-4B65-AB0F-BFA77B588B83}"/>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2 2" xfId="4034" xr:uid="{FAE4A126-B993-4E6F-A826-E3584012E181}"/>
    <cellStyle name="Normal 4 8 2 2 3" xfId="4552" xr:uid="{0CCF62CC-D863-4CEE-A5B7-EC3BAE213E88}"/>
    <cellStyle name="Normal 4 8 2 3" xfId="3805" xr:uid="{2808FFB3-9085-465A-8FF6-FF5E1F143829}"/>
    <cellStyle name="Normal 4 8 2 4" xfId="4270" xr:uid="{BEF6F4D8-BE8F-459E-8514-64842CF74A59}"/>
    <cellStyle name="Normal 4 8 3" xfId="2923" xr:uid="{F834450C-FB76-4614-87A2-14233A0E8F61}"/>
    <cellStyle name="Normal 4 8 3 2" xfId="3592" xr:uid="{95336BC0-AF1C-441E-B761-6F87729A275C}"/>
    <cellStyle name="Normal 4 8 3 2 2" xfId="4079" xr:uid="{D8DBAFB2-6B89-423E-A738-F3C2D3125AE1}"/>
    <cellStyle name="Normal 4 8 3 3" xfId="3850" xr:uid="{06885E28-F650-4163-A6DB-CDB8A636AE21}"/>
    <cellStyle name="Normal 4 8 3 4" xfId="4315" xr:uid="{D8F9750C-C8F4-4A5F-B738-3853290D1168}"/>
    <cellStyle name="Normal 4 8 4" xfId="3502" xr:uid="{C4359809-4B06-4ECC-85DA-A62E889FB51E}"/>
    <cellStyle name="Normal 4 8 4 2" xfId="3989" xr:uid="{802CC15E-2F64-4BD7-85B1-42BF9A8B87B8}"/>
    <cellStyle name="Normal 4 8 4 3" xfId="4451" xr:uid="{8C83EE7E-8973-410D-A797-38316C7661E7}"/>
    <cellStyle name="Normal 4 8 5" xfId="3760" xr:uid="{04097D31-559D-4B9B-BC9F-993341A361FB}"/>
    <cellStyle name="Normal 4 8 6" xfId="4225" xr:uid="{29C7E486-93EB-4996-A429-C6B4D1CEA768}"/>
    <cellStyle name="Normal 4 9" xfId="27" xr:uid="{991B9F0F-1632-4E82-BA15-D4F5B44B6040}"/>
    <cellStyle name="Normal 4 9 2" xfId="2963" xr:uid="{1130FF09-DC98-4189-BFBA-210000AC8890}"/>
    <cellStyle name="Normal 4 9 2 2" xfId="3632" xr:uid="{63756306-B1DD-407B-B9E6-5AC0453CA823}"/>
    <cellStyle name="Normal 4 9 2 2 2" xfId="4119" xr:uid="{FB61FD87-F282-4B88-A481-3ABC9528ED3B}"/>
    <cellStyle name="Normal 4 9 2 2 3" xfId="4599" xr:uid="{D99BF443-7EC0-4CFB-B2A2-00F87CE4207B}"/>
    <cellStyle name="Normal 4 9 2 3" xfId="3890" xr:uid="{04779E47-25B5-4AFF-810A-8F484D381ADB}"/>
    <cellStyle name="Normal 4 9 2 4" xfId="4355" xr:uid="{7525D637-1979-4229-B4E0-5EAED546B428}"/>
    <cellStyle name="Normal 4 9 3" xfId="3497" xr:uid="{7AF635FA-A1A1-48C3-B6EE-0201F5320E85}"/>
    <cellStyle name="Normal 4 9 3 2" xfId="3984" xr:uid="{475B826C-21B9-444F-8CA4-27C52B0809B9}"/>
    <cellStyle name="Normal 4 9 3 3" xfId="4491" xr:uid="{C18D1F3A-188E-4985-926C-AF3A5052E176}"/>
    <cellStyle name="Normal 4 9 4" xfId="3755" xr:uid="{40AA3238-B08F-449C-8D41-26F90098D69B}"/>
    <cellStyle name="Normal 4 9 5" xfId="4220" xr:uid="{17C61CCE-C27E-45FE-A6EF-557627ECC04D}"/>
    <cellStyle name="Normal 5" xfId="17" xr:uid="{00000000-0005-0000-0000-000009000000}"/>
    <cellStyle name="Normal 5 10" xfId="3745" xr:uid="{2E6FF50A-7CBE-4F81-8E6B-B04AB7B77FFD}"/>
    <cellStyle name="Normal 5 11" xfId="4216" xr:uid="{3E792BED-53EC-4E26-A312-F3862D451F6A}"/>
    <cellStyle name="Normal 5 2" xfId="19" xr:uid="{00000000-0005-0000-0000-00000A000000}"/>
    <cellStyle name="Normal 5 2 2" xfId="2266" xr:uid="{EFC71671-2AB0-4883-AE8E-AEDE1E1A44DA}"/>
    <cellStyle name="Normal 5 2 3" xfId="3747" xr:uid="{7A94D102-95EE-4848-899F-DB628DC0B4F3}"/>
    <cellStyle name="Normal 5 2 4" xfId="4618" xr:uid="{C84DB840-9F30-43CF-B547-CE697E4FFBAE}"/>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2 2" xfId="4203" xr:uid="{828D5C42-3815-4FB3-846B-5B5A3C921D1B}"/>
    <cellStyle name="Normal 5 4 2 3" xfId="3974" xr:uid="{C90FBAD6-AB2B-4007-A0E8-C323936EFE5B}"/>
    <cellStyle name="Normal 5 4 2 4" xfId="4439" xr:uid="{A41F05C6-459A-4AB0-AC78-26717507F621}"/>
    <cellStyle name="Normal 5 4 3" xfId="3498" xr:uid="{2D4D7C69-4DE4-4FC8-A914-E421AFAB2860}"/>
    <cellStyle name="Normal 5 4 3 2" xfId="3985" xr:uid="{50345B9B-BAB3-45A9-8A81-F348FDC80036}"/>
    <cellStyle name="Normal 5 4 3 3" xfId="4548" xr:uid="{4A972191-33E9-487C-9DF6-15ADDC9D6AD9}"/>
    <cellStyle name="Normal 5 4 4" xfId="3756" xr:uid="{BC11B911-C2CE-4137-ADD1-A022DFA49DCB}"/>
    <cellStyle name="Normal 5 4 5" xfId="4221" xr:uid="{6A3F09EB-919F-4E87-8CDC-C9202DD795D1}"/>
    <cellStyle name="Normal 5 5" xfId="2874" xr:uid="{9CDE6A7D-AF32-4552-B970-EE61A24273A0}"/>
    <cellStyle name="Normal 5 5 2" xfId="3543" xr:uid="{B74F021B-0F43-46BC-A2D3-0716E4A3AF8C}"/>
    <cellStyle name="Normal 5 5 2 2" xfId="4030" xr:uid="{FBAF2C52-B54E-433A-9FA2-55309417CCF5}"/>
    <cellStyle name="Normal 5 5 3" xfId="3801" xr:uid="{353B1A72-A782-4CB8-B97E-85983027A31A}"/>
    <cellStyle name="Normal 5 5 4" xfId="4266" xr:uid="{27035A2F-484D-48A9-92C6-8888F26F6D2B}"/>
    <cellStyle name="Normal 5 6" xfId="2919" xr:uid="{B16276D1-98A2-4189-986F-7A9FF9B2E12B}"/>
    <cellStyle name="Normal 5 6 2" xfId="3588" xr:uid="{DA980C1F-D20E-4C94-9DA4-E0EC327351BC}"/>
    <cellStyle name="Normal 5 6 2 2" xfId="4075" xr:uid="{9664F65E-AE8D-42BD-BD34-53028B78CBBB}"/>
    <cellStyle name="Normal 5 6 3" xfId="3846" xr:uid="{B7F36DE2-73A8-4D0B-874F-19E5F76A0907}"/>
    <cellStyle name="Normal 5 6 4" xfId="4311" xr:uid="{9C72429C-D981-40F3-A618-1986F6F1DEA5}"/>
    <cellStyle name="Normal 5 7" xfId="3493" xr:uid="{41B135DA-8464-47C0-9614-72B8A4AC8E21}"/>
    <cellStyle name="Normal 5 7 2" xfId="3980" xr:uid="{660DBD56-F562-401A-9C18-082FFD733E90}"/>
    <cellStyle name="Normal 5 7 3" xfId="4447" xr:uid="{14468DF7-9A68-42E9-9485-53E2707BBF21}"/>
    <cellStyle name="Normal 5 8" xfId="3735" xr:uid="{545EF79B-AA68-4B74-B065-CE6B63D2B457}"/>
    <cellStyle name="Normal 5 8 2" xfId="4206" xr:uid="{217055CD-0CC8-4A56-8C54-E00DA3D89182}"/>
    <cellStyle name="Normal 5 9" xfId="23" xr:uid="{DAEDE8B2-8047-4188-9525-6B3EF0C60E03}"/>
    <cellStyle name="Normal 5 9 2" xfId="3751" xr:uid="{2EF5D2AC-F5A8-48BD-AF6D-CE1261539566}"/>
    <cellStyle name="Normal 6" xfId="2544" xr:uid="{314036B0-785A-4AFB-953C-3B272D73EC81}"/>
    <cellStyle name="Normal 6 2" xfId="2267" xr:uid="{A0D4D034-8A18-4339-BC30-62331279CE35}"/>
    <cellStyle name="Normal 6 3" xfId="3741" xr:uid="{B41CBBCE-0FE1-4DBA-A765-A8BB89A926BD}"/>
    <cellStyle name="Normal 6 3 2" xfId="4212" xr:uid="{1E7C5CAD-D15C-45E1-BC7F-46393E535C52}"/>
    <cellStyle name="Normal 6 3 3" xfId="4622" xr:uid="{8BF29801-AA63-431B-8F13-FD1DC251B54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2 2" xfId="4154" xr:uid="{6BCB86FA-B94F-4DA1-9571-7266E6794916}"/>
    <cellStyle name="Normal 7 3 2 3" xfId="3925" xr:uid="{ACD684FA-8546-42F9-B862-9277A6EC924E}"/>
    <cellStyle name="Normal 7 3 2 4" xfId="4390" xr:uid="{512B2B94-0E51-4AF6-8325-B6D5B88F0DC6}"/>
    <cellStyle name="Normal 7 3 3" xfId="3582" xr:uid="{7D2264C0-F1A9-4DCA-A32A-EB499D494EBF}"/>
    <cellStyle name="Normal 7 3 3 2" xfId="4069" xr:uid="{687B397A-A241-4BAF-9280-3B327239367C}"/>
    <cellStyle name="Normal 7 3 3 3" xfId="4594" xr:uid="{F4C493AA-F3C7-4D59-8207-F6FE198EFB65}"/>
    <cellStyle name="Normal 7 3 4" xfId="3840" xr:uid="{57E57C66-3302-43F2-B645-2DD027A454C5}"/>
    <cellStyle name="Normal 7 3 5" xfId="4305" xr:uid="{AF57AA60-42D8-4358-9F25-5E5F37C470EA}"/>
    <cellStyle name="Normal 7 4" xfId="3458" xr:uid="{1092CC19-2F99-4393-B784-EFC2A6AEB43C}"/>
    <cellStyle name="Normal 7 4 2" xfId="3723" xr:uid="{0D55B3BF-BBD0-4E9D-86FD-488182A6561F}"/>
    <cellStyle name="Normal 7 4 2 2" xfId="4194" xr:uid="{E20C119C-AFE8-4DD3-B44B-9EB6F714EA6C}"/>
    <cellStyle name="Normal 7 4 3" xfId="3965" xr:uid="{11C21E06-5CB0-42A5-9459-5C61E6CAE7A4}"/>
    <cellStyle name="Normal 7 4 4" xfId="4430" xr:uid="{62742444-41CE-48B0-8E2C-1E5189C2EBF3}"/>
    <cellStyle name="Normal 7 5" xfId="2958" xr:uid="{99099E35-371D-44EE-A4D8-19D973BD4E12}"/>
    <cellStyle name="Normal 7 5 2" xfId="3627" xr:uid="{6A79BA35-1D50-41F6-B98D-FCBCCD565DF3}"/>
    <cellStyle name="Normal 7 5 2 2" xfId="4114" xr:uid="{662A272C-8B3A-4E88-8C18-1FE1CE442C6E}"/>
    <cellStyle name="Normal 7 5 3" xfId="3885" xr:uid="{B0440B9B-CA34-4873-80FA-4604ED483B5E}"/>
    <cellStyle name="Normal 7 5 4" xfId="4350" xr:uid="{9B91BA2A-1D24-48FB-962D-0F8E9E474EDE}"/>
    <cellStyle name="Normal 7 6" xfId="3537" xr:uid="{0B2E2D67-91A9-4261-A82B-2178984B9A39}"/>
    <cellStyle name="Normal 7 6 2" xfId="4024" xr:uid="{17994C75-E102-407F-9E69-4232012DBD0E}"/>
    <cellStyle name="Normal 7 6 3" xfId="4486" xr:uid="{A14FBE0A-4F92-44B7-BA26-458434FCEFE3}"/>
    <cellStyle name="Normal 7 7" xfId="3795" xr:uid="{3D6F7706-FE33-4E0A-A5EB-5EB16C168593}"/>
    <cellStyle name="Normal 7 8" xfId="4260" xr:uid="{F681E569-F2A3-4414-A438-59950D0DEC53}"/>
    <cellStyle name="Normal 8" xfId="3479" xr:uid="{F65E7F24-28BF-47D4-B373-5F9607D80DE1}"/>
    <cellStyle name="Normal 8 2" xfId="2269" xr:uid="{B3E2D75E-C975-46FE-B6CD-080EE9FE5F8B}"/>
    <cellStyle name="Normal 8 3" xfId="3726" xr:uid="{D5BC5667-1DB1-4948-AF65-C6F8BB8B7555}"/>
    <cellStyle name="Normal 8 3 2" xfId="4197" xr:uid="{9A759D78-39F0-444B-BCF8-2D6C4A836318}"/>
    <cellStyle name="Normal 8 4" xfId="3968" xr:uid="{7F7028B5-62AA-406C-97A4-95D13D9E6CBB}"/>
    <cellStyle name="Normal 8 5" xfId="4433" xr:uid="{2F667666-BB74-4D20-B0CF-57F7C26CB1D7}"/>
    <cellStyle name="Normal 9" xfId="3488" xr:uid="{844A5AAC-0016-4F26-AD04-958A1857C958}"/>
    <cellStyle name="Normal 9 2" xfId="2270" xr:uid="{4026FFF1-6FA7-4274-95BC-226DD80F2186}"/>
    <cellStyle name="Normal 9 3" xfId="4441" xr:uid="{60534908-EB1B-4922-9024-C187606ADC4C}"/>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99FF33"/>
      <color rgb="FFFFFFCC"/>
      <color rgb="FFFFFF99"/>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5</xdr:row>
          <xdr:rowOff>47625</xdr:rowOff>
        </xdr:from>
        <xdr:to>
          <xdr:col>1</xdr:col>
          <xdr:colOff>962025</xdr:colOff>
          <xdr:row>9</xdr:row>
          <xdr:rowOff>85725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5</xdr:row>
          <xdr:rowOff>38100</xdr:rowOff>
        </xdr:from>
        <xdr:to>
          <xdr:col>1</xdr:col>
          <xdr:colOff>2105025</xdr:colOff>
          <xdr:row>9</xdr:row>
          <xdr:rowOff>76200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FF00"/>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324">
        <f>+'AFR20'!E4</f>
        <v>44119</v>
      </c>
      <c r="C1" s="2324"/>
      <c r="D1" s="2325"/>
      <c r="I1" s="2283" t="s">
        <v>402</v>
      </c>
      <c r="J1" s="2284"/>
      <c r="K1" s="2284"/>
      <c r="L1" s="2284"/>
      <c r="M1" s="2284"/>
      <c r="N1" s="2284"/>
      <c r="O1" s="2284"/>
      <c r="P1" s="2284"/>
      <c r="Q1" s="2284"/>
      <c r="R1" s="2284"/>
      <c r="S1" s="2284"/>
    </row>
    <row r="2" spans="1:32" ht="12" customHeight="1" x14ac:dyDescent="0.2">
      <c r="A2" s="1820" t="str">
        <f>"Due to ISBE on "</f>
        <v xml:space="preserve">Due to ISBE on </v>
      </c>
      <c r="B2" s="2326">
        <f>+'AFR20'!F4</f>
        <v>44151</v>
      </c>
      <c r="C2" s="2326"/>
      <c r="D2" s="2327"/>
      <c r="I2" s="2285" t="s">
        <v>1997</v>
      </c>
      <c r="J2" s="2284"/>
      <c r="K2" s="2284"/>
      <c r="L2" s="2284"/>
      <c r="M2" s="2284"/>
      <c r="N2" s="2284"/>
      <c r="O2" s="2284"/>
      <c r="P2" s="2284"/>
      <c r="Q2" s="2284"/>
      <c r="R2" s="2284"/>
      <c r="S2" s="2284"/>
    </row>
    <row r="3" spans="1:32" ht="12" customHeight="1" x14ac:dyDescent="0.2">
      <c r="A3" s="1823" t="str">
        <f>"SD/JA"&amp;MID('AFR20'!E2,3,2)</f>
        <v>SD/JA20</v>
      </c>
      <c r="B3" s="151"/>
      <c r="C3" s="151"/>
      <c r="D3" s="152"/>
      <c r="I3" s="2285" t="s">
        <v>52</v>
      </c>
      <c r="J3" s="2284"/>
      <c r="K3" s="2284"/>
      <c r="L3" s="2284"/>
      <c r="M3" s="2284"/>
      <c r="N3" s="2284"/>
      <c r="O3" s="2284"/>
      <c r="P3" s="2284"/>
      <c r="Q3" s="2284"/>
      <c r="R3" s="2284"/>
      <c r="S3" s="2284"/>
    </row>
    <row r="4" spans="1:32" ht="12" customHeight="1" x14ac:dyDescent="0.2">
      <c r="A4" s="37"/>
      <c r="I4" s="2285" t="s">
        <v>521</v>
      </c>
      <c r="J4" s="2284"/>
      <c r="K4" s="2284"/>
      <c r="L4" s="2284"/>
      <c r="M4" s="2284"/>
      <c r="N4" s="2284"/>
      <c r="O4" s="2284"/>
      <c r="P4" s="2284"/>
      <c r="Q4" s="2284"/>
      <c r="R4" s="2284"/>
      <c r="S4" s="2284"/>
    </row>
    <row r="5" spans="1:32" ht="14.1" customHeight="1" x14ac:dyDescent="0.2">
      <c r="B5" s="101" t="s">
        <v>2116</v>
      </c>
      <c r="C5" s="26" t="s">
        <v>903</v>
      </c>
      <c r="D5" s="81"/>
      <c r="E5" s="81"/>
      <c r="H5" s="38"/>
      <c r="I5" s="2293" t="s">
        <v>675</v>
      </c>
      <c r="J5" s="2292"/>
      <c r="K5" s="2292"/>
      <c r="L5" s="2292"/>
      <c r="M5" s="2292"/>
      <c r="N5" s="2292"/>
      <c r="O5" s="2292"/>
      <c r="P5" s="2292"/>
      <c r="Q5" s="2292"/>
      <c r="R5" s="2292"/>
      <c r="S5" s="2292"/>
      <c r="AF5" s="1816"/>
    </row>
    <row r="6" spans="1:32" ht="14.1" customHeight="1" x14ac:dyDescent="0.2">
      <c r="B6" s="101"/>
      <c r="C6" s="26" t="s">
        <v>904</v>
      </c>
      <c r="D6" s="81"/>
      <c r="E6" s="81"/>
      <c r="I6" s="2291" t="s">
        <v>876</v>
      </c>
      <c r="J6" s="2292"/>
      <c r="K6" s="2292"/>
      <c r="L6" s="2292"/>
      <c r="M6" s="2292"/>
      <c r="N6" s="2292"/>
      <c r="O6" s="2292"/>
      <c r="P6" s="2292"/>
      <c r="Q6" s="2292"/>
      <c r="R6" s="2292"/>
      <c r="S6" s="2292"/>
    </row>
    <row r="7" spans="1:32" ht="12.2" customHeight="1" x14ac:dyDescent="0.2">
      <c r="I7" s="2286" t="str">
        <f>"June 30, "&amp;'AFR20'!E2</f>
        <v>June 30, 2020</v>
      </c>
      <c r="J7" s="2287"/>
      <c r="K7" s="2287"/>
      <c r="L7" s="2287"/>
      <c r="M7" s="2287"/>
      <c r="N7" s="2287"/>
      <c r="O7" s="2287"/>
      <c r="P7" s="2287"/>
      <c r="Q7" s="2287"/>
      <c r="R7" s="2287"/>
      <c r="S7" s="228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88" t="s">
        <v>669</v>
      </c>
      <c r="J9" s="2289"/>
      <c r="K9" s="2289"/>
      <c r="L9" s="2289"/>
      <c r="M9" s="2289"/>
      <c r="N9" s="2289"/>
      <c r="O9" s="2289"/>
      <c r="P9" s="2289"/>
      <c r="Q9" s="2289"/>
      <c r="R9" s="2289"/>
      <c r="S9" s="2290"/>
      <c r="T9" s="2341" t="s">
        <v>530</v>
      </c>
      <c r="U9" s="2342"/>
      <c r="V9" s="2342"/>
      <c r="W9" s="2342"/>
      <c r="X9" s="2342"/>
      <c r="Y9" s="2342"/>
      <c r="Z9" s="2342"/>
      <c r="AA9" s="2343"/>
    </row>
    <row r="10" spans="1:32" ht="13.5" customHeight="1" x14ac:dyDescent="0.2">
      <c r="A10" s="2348" t="s">
        <v>670</v>
      </c>
      <c r="B10" s="2349"/>
      <c r="C10" s="2349"/>
      <c r="D10" s="2349"/>
      <c r="E10" s="2349"/>
      <c r="F10" s="2349"/>
      <c r="G10" s="2349"/>
      <c r="H10" s="2350"/>
      <c r="I10" s="29"/>
      <c r="J10" s="30"/>
      <c r="K10" s="28"/>
      <c r="R10" s="30"/>
      <c r="S10" s="30"/>
      <c r="T10" s="2344"/>
      <c r="U10" s="2292"/>
      <c r="V10" s="2292"/>
      <c r="W10" s="2292"/>
      <c r="X10" s="2292"/>
      <c r="Y10" s="2292"/>
      <c r="Z10" s="2292"/>
      <c r="AA10" s="2298"/>
    </row>
    <row r="11" spans="1:32" ht="14.25" customHeight="1" x14ac:dyDescent="0.2">
      <c r="A11" s="2351" t="s">
        <v>948</v>
      </c>
      <c r="B11" s="2352"/>
      <c r="C11" s="2352"/>
      <c r="D11" s="2352"/>
      <c r="E11" s="2352"/>
      <c r="F11" s="2352"/>
      <c r="G11" s="2352"/>
      <c r="H11" s="2353"/>
      <c r="I11" s="27"/>
      <c r="J11" s="71"/>
      <c r="K11" s="27"/>
      <c r="O11" s="144" t="s">
        <v>2116</v>
      </c>
      <c r="P11" s="97" t="s">
        <v>199</v>
      </c>
      <c r="Q11" s="30"/>
      <c r="R11" s="28"/>
      <c r="S11" s="27"/>
      <c r="T11" s="2345"/>
      <c r="U11" s="2346"/>
      <c r="V11" s="2346"/>
      <c r="W11" s="2346"/>
      <c r="X11" s="2346"/>
      <c r="Y11" s="2346"/>
      <c r="Z11" s="2346"/>
      <c r="AA11" s="2347"/>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304">
        <v>44063156016</v>
      </c>
      <c r="B13" s="2305"/>
      <c r="C13" s="2305"/>
      <c r="D13" s="2305"/>
      <c r="E13" s="2305"/>
      <c r="F13" s="2305"/>
      <c r="G13" s="2305"/>
      <c r="H13" s="2306"/>
      <c r="I13" s="31"/>
      <c r="J13" s="30"/>
      <c r="K13" s="28"/>
      <c r="L13" s="30"/>
      <c r="M13" s="30"/>
      <c r="N13" s="30"/>
      <c r="O13" s="30"/>
      <c r="P13" s="30"/>
      <c r="Q13" s="30"/>
      <c r="R13" s="30"/>
      <c r="S13" s="30"/>
      <c r="T13" s="2310" t="s">
        <v>2012</v>
      </c>
      <c r="U13" s="2311"/>
      <c r="V13" s="2311"/>
      <c r="W13" s="2311"/>
      <c r="X13" s="2311"/>
      <c r="Y13" s="2312"/>
      <c r="Z13" s="2312"/>
      <c r="AA13" s="2313"/>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307" t="s">
        <v>2014</v>
      </c>
      <c r="B15" s="2308"/>
      <c r="C15" s="2308"/>
      <c r="D15" s="2308"/>
      <c r="E15" s="2308"/>
      <c r="F15" s="2308"/>
      <c r="G15" s="2308"/>
      <c r="H15" s="2309"/>
      <c r="T15" s="2314" t="s">
        <v>2123</v>
      </c>
      <c r="U15" s="2271"/>
      <c r="V15" s="2271"/>
      <c r="W15" s="2271"/>
      <c r="X15" s="2271"/>
      <c r="Y15" s="2315"/>
      <c r="Z15" s="2315"/>
      <c r="AA15" s="231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277" t="s">
        <v>2178</v>
      </c>
      <c r="B17" s="2278"/>
      <c r="C17" s="2278"/>
      <c r="D17" s="2278"/>
      <c r="E17" s="2278"/>
      <c r="F17" s="2278"/>
      <c r="G17" s="2278"/>
      <c r="H17" s="2303"/>
      <c r="T17" s="2321" t="s">
        <v>2013</v>
      </c>
      <c r="U17" s="2322"/>
      <c r="V17" s="2322"/>
      <c r="W17" s="2322"/>
      <c r="X17" s="2322"/>
      <c r="Y17" s="2322"/>
      <c r="Z17" s="2322"/>
      <c r="AA17" s="2323"/>
    </row>
    <row r="18" spans="1:27" ht="13.5" customHeight="1" x14ac:dyDescent="0.2">
      <c r="A18" s="82" t="s">
        <v>527</v>
      </c>
      <c r="B18" s="73"/>
      <c r="C18" s="69"/>
      <c r="D18" s="73"/>
      <c r="E18" s="73"/>
      <c r="F18" s="73"/>
      <c r="G18" s="73"/>
      <c r="H18" s="53"/>
      <c r="I18" s="2302" t="s">
        <v>671</v>
      </c>
      <c r="J18" s="2253"/>
      <c r="K18" s="2253"/>
      <c r="L18" s="2253"/>
      <c r="M18" s="2253"/>
      <c r="N18" s="2253"/>
      <c r="O18" s="2253"/>
      <c r="P18" s="2253"/>
      <c r="Q18" s="2253"/>
      <c r="R18" s="2253"/>
      <c r="S18" s="2254"/>
      <c r="T18" s="82" t="s">
        <v>705</v>
      </c>
      <c r="U18" s="48"/>
      <c r="V18" s="69"/>
      <c r="W18" s="47"/>
      <c r="X18" s="82" t="s">
        <v>264</v>
      </c>
      <c r="Y18" s="78"/>
      <c r="Z18" s="154" t="s">
        <v>672</v>
      </c>
      <c r="AA18" s="44"/>
    </row>
    <row r="19" spans="1:27" ht="13.5" customHeight="1" x14ac:dyDescent="0.2">
      <c r="A19" s="2307" t="s">
        <v>2117</v>
      </c>
      <c r="B19" s="2263"/>
      <c r="C19" s="2263"/>
      <c r="D19" s="2263"/>
      <c r="E19" s="2263"/>
      <c r="F19" s="2263"/>
      <c r="G19" s="2263"/>
      <c r="H19" s="2243"/>
      <c r="I19" s="30"/>
      <c r="J19" s="96"/>
      <c r="K19" s="40"/>
      <c r="L19" s="38"/>
      <c r="M19" s="109" t="s">
        <v>312</v>
      </c>
      <c r="P19" s="27"/>
      <c r="Q19" s="27"/>
      <c r="R19" s="27"/>
      <c r="S19" s="31"/>
      <c r="T19" s="2307" t="s">
        <v>2014</v>
      </c>
      <c r="U19" s="2242"/>
      <c r="V19" s="2242"/>
      <c r="W19" s="2243"/>
      <c r="X19" s="2319" t="s">
        <v>2015</v>
      </c>
      <c r="Y19" s="2320"/>
      <c r="Z19" s="2317">
        <v>60050</v>
      </c>
      <c r="AA19" s="2318"/>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241" t="s">
        <v>2014</v>
      </c>
      <c r="B21" s="2242"/>
      <c r="C21" s="2242"/>
      <c r="D21" s="2242"/>
      <c r="E21" s="2242"/>
      <c r="F21" s="2242"/>
      <c r="G21" s="2242"/>
      <c r="H21" s="2243"/>
      <c r="I21" s="2297" t="s">
        <v>673</v>
      </c>
      <c r="J21" s="2292"/>
      <c r="K21" s="2292"/>
      <c r="L21" s="2292"/>
      <c r="M21" s="2292"/>
      <c r="N21" s="2292"/>
      <c r="O21" s="2292"/>
      <c r="P21" s="2292"/>
      <c r="Q21" s="2292"/>
      <c r="R21" s="2292"/>
      <c r="S21" s="2298"/>
      <c r="T21" s="2332" t="s">
        <v>2016</v>
      </c>
      <c r="U21" s="2333"/>
      <c r="V21" s="2333"/>
      <c r="W21" s="2333"/>
      <c r="X21" s="2338" t="s">
        <v>2017</v>
      </c>
      <c r="Y21" s="2339"/>
      <c r="Z21" s="2339"/>
      <c r="AA21" s="2340"/>
    </row>
    <row r="22" spans="1:27" ht="13.5" customHeight="1" x14ac:dyDescent="0.2">
      <c r="A22" s="84" t="s">
        <v>528</v>
      </c>
      <c r="B22" s="56"/>
      <c r="C22" s="56"/>
      <c r="D22" s="56"/>
      <c r="E22" s="56"/>
      <c r="F22" s="56"/>
      <c r="G22" s="56"/>
      <c r="H22" s="57"/>
      <c r="I22" s="2299" t="s">
        <v>1409</v>
      </c>
      <c r="J22" s="2300"/>
      <c r="K22" s="2300"/>
      <c r="L22" s="2300"/>
      <c r="M22" s="2300"/>
      <c r="N22" s="2300"/>
      <c r="O22" s="2300"/>
      <c r="P22" s="2300"/>
      <c r="Q22" s="2300"/>
      <c r="R22" s="2300"/>
      <c r="S22" s="2301"/>
      <c r="T22" s="82" t="s">
        <v>1496</v>
      </c>
      <c r="U22" s="48"/>
      <c r="V22" s="69"/>
      <c r="W22" s="48"/>
      <c r="X22" s="155" t="s">
        <v>1306</v>
      </c>
      <c r="Z22" s="43"/>
      <c r="AA22" s="44"/>
    </row>
    <row r="23" spans="1:27" ht="13.5" customHeight="1" x14ac:dyDescent="0.2">
      <c r="A23" s="2294" t="s">
        <v>2118</v>
      </c>
      <c r="B23" s="2295"/>
      <c r="C23" s="2295"/>
      <c r="D23" s="2295"/>
      <c r="E23" s="2295"/>
      <c r="F23" s="2295"/>
      <c r="G23" s="2295"/>
      <c r="H23" s="2296"/>
      <c r="T23" s="2277" t="s">
        <v>2018</v>
      </c>
      <c r="U23" s="2331"/>
      <c r="V23" s="2331"/>
      <c r="W23" s="2331"/>
      <c r="X23" s="2335">
        <v>44530</v>
      </c>
      <c r="Y23" s="2336"/>
      <c r="Z23" s="2336"/>
      <c r="AA23" s="2337"/>
    </row>
    <row r="24" spans="1:27" ht="14.1" customHeight="1" x14ac:dyDescent="0.2">
      <c r="A24" s="85" t="s">
        <v>672</v>
      </c>
      <c r="B24" s="46"/>
      <c r="C24" s="46"/>
      <c r="D24" s="46"/>
      <c r="E24" s="46"/>
      <c r="F24" s="46"/>
      <c r="G24" s="46"/>
      <c r="H24" s="58"/>
      <c r="J24" s="2264">
        <f>IF(B5="x",IF(AUDITCHECK!D29="AFR form Incomplete.","",IF(AUDITCHECK!D29="Deficit reduction plan is required.","School District must complete a deficit reduction plan in the 2020-2021 Budget",)),"")</f>
        <v>0</v>
      </c>
      <c r="K24" s="2264"/>
      <c r="L24" s="2264"/>
      <c r="M24" s="2264"/>
      <c r="N24" s="2264"/>
      <c r="O24" s="2264"/>
      <c r="P24" s="2264"/>
      <c r="Q24" s="2264"/>
      <c r="R24" s="2264"/>
      <c r="S24" s="2265"/>
      <c r="T24" s="102" t="s">
        <v>528</v>
      </c>
      <c r="U24" s="103"/>
      <c r="V24" s="103"/>
      <c r="W24" s="103"/>
      <c r="X24" s="104"/>
      <c r="Y24" s="104"/>
      <c r="Z24" s="104"/>
      <c r="AA24" s="105"/>
    </row>
    <row r="25" spans="1:27" ht="14.1" customHeight="1" x14ac:dyDescent="0.2">
      <c r="A25" s="2241"/>
      <c r="B25" s="2242"/>
      <c r="C25" s="2242"/>
      <c r="D25" s="2242"/>
      <c r="E25" s="2242"/>
      <c r="F25" s="2242"/>
      <c r="G25" s="2242"/>
      <c r="H25" s="2243"/>
      <c r="I25" s="110"/>
      <c r="J25" s="2266"/>
      <c r="K25" s="2266"/>
      <c r="L25" s="2266"/>
      <c r="M25" s="2266"/>
      <c r="N25" s="2266"/>
      <c r="O25" s="2266"/>
      <c r="P25" s="2266"/>
      <c r="Q25" s="2266"/>
      <c r="R25" s="2266"/>
      <c r="S25" s="2267"/>
      <c r="T25" s="2328" t="s">
        <v>2019</v>
      </c>
      <c r="U25" s="2329"/>
      <c r="V25" s="2329"/>
      <c r="W25" s="2329"/>
      <c r="X25" s="2329"/>
      <c r="Y25" s="2329"/>
      <c r="Z25" s="2329"/>
      <c r="AA25" s="233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252" t="s">
        <v>1491</v>
      </c>
      <c r="J27" s="2253"/>
      <c r="K27" s="2253"/>
      <c r="L27" s="2253"/>
      <c r="M27" s="2253"/>
      <c r="N27" s="2253"/>
      <c r="O27" s="2253"/>
      <c r="P27" s="2253"/>
      <c r="Q27" s="2253"/>
      <c r="R27" s="2253"/>
      <c r="S27" s="2254"/>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2226" t="s">
        <v>2116</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t="s">
        <v>2119</v>
      </c>
      <c r="C30" s="121" t="s">
        <v>1153</v>
      </c>
      <c r="D30" s="28"/>
      <c r="E30" s="28"/>
      <c r="F30" s="136"/>
      <c r="G30" s="111"/>
      <c r="H30" s="111"/>
      <c r="I30" s="51"/>
      <c r="J30" s="2226" t="s">
        <v>2116</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2226"/>
      <c r="K31" s="40" t="s">
        <v>878</v>
      </c>
      <c r="L31" s="2226" t="s">
        <v>2116</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263"/>
      <c r="Q35" s="2242"/>
      <c r="R35" s="224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277" t="s">
        <v>2120</v>
      </c>
      <c r="B38" s="2278"/>
      <c r="C38" s="2278"/>
      <c r="D38" s="2278"/>
      <c r="E38" s="2278"/>
      <c r="F38" s="2242"/>
      <c r="G38" s="2242"/>
      <c r="H38" s="2243"/>
      <c r="I38" s="2270"/>
      <c r="J38" s="2271"/>
      <c r="K38" s="2271"/>
      <c r="L38" s="2271"/>
      <c r="M38" s="2271"/>
      <c r="N38" s="2271"/>
      <c r="O38" s="2271"/>
      <c r="P38" s="2272"/>
      <c r="Q38" s="2272"/>
      <c r="R38" s="2272"/>
      <c r="S38" s="2273"/>
      <c r="T38" s="2314"/>
      <c r="U38" s="2271"/>
      <c r="V38" s="2271"/>
      <c r="W38" s="2271"/>
      <c r="X38" s="2272"/>
      <c r="Y38" s="2272"/>
      <c r="Z38" s="2272"/>
      <c r="AA38" s="2273"/>
    </row>
    <row r="39" spans="1:27" ht="12" customHeight="1" x14ac:dyDescent="0.2">
      <c r="A39" s="2247" t="s">
        <v>528</v>
      </c>
      <c r="B39" s="2248"/>
      <c r="C39" s="69"/>
      <c r="D39" s="66"/>
      <c r="E39" s="66"/>
      <c r="F39" s="76"/>
      <c r="G39" s="66"/>
      <c r="H39" s="53"/>
      <c r="I39" s="2247" t="s">
        <v>528</v>
      </c>
      <c r="J39" s="2248"/>
      <c r="K39" s="2248"/>
      <c r="L39" s="2248"/>
      <c r="M39" s="2248"/>
      <c r="N39" s="64"/>
      <c r="O39" s="69"/>
      <c r="P39" s="69"/>
      <c r="Q39" s="75"/>
      <c r="R39" s="69"/>
      <c r="S39" s="53"/>
      <c r="T39" s="69" t="s">
        <v>528</v>
      </c>
      <c r="U39" s="48"/>
      <c r="V39" s="69"/>
      <c r="W39" s="47"/>
      <c r="X39" s="75"/>
      <c r="Y39" s="43"/>
      <c r="Z39" s="43"/>
      <c r="AA39" s="44"/>
    </row>
    <row r="40" spans="1:27" ht="13.5" customHeight="1" x14ac:dyDescent="0.2">
      <c r="A40" s="2255" t="s">
        <v>2118</v>
      </c>
      <c r="B40" s="2256"/>
      <c r="C40" s="2257"/>
      <c r="D40" s="2257"/>
      <c r="E40" s="2257"/>
      <c r="F40" s="2258"/>
      <c r="G40" s="2258"/>
      <c r="H40" s="2259"/>
      <c r="I40" s="2280"/>
      <c r="J40" s="2281"/>
      <c r="K40" s="2281"/>
      <c r="L40" s="2281"/>
      <c r="M40" s="2281"/>
      <c r="N40" s="2281"/>
      <c r="O40" s="2281"/>
      <c r="P40" s="2281"/>
      <c r="Q40" s="2281"/>
      <c r="R40" s="2281"/>
      <c r="S40" s="2282"/>
      <c r="T40" s="2280"/>
      <c r="U40" s="2334"/>
      <c r="V40" s="2281"/>
      <c r="W40" s="2281"/>
      <c r="X40" s="2281"/>
      <c r="Y40" s="2281"/>
      <c r="Z40" s="2281"/>
      <c r="AA40" s="228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269" t="s">
        <v>2121</v>
      </c>
      <c r="B42" s="2261"/>
      <c r="C42" s="2262"/>
      <c r="D42" s="2260" t="s">
        <v>2122</v>
      </c>
      <c r="E42" s="2261"/>
      <c r="F42" s="2261"/>
      <c r="G42" s="2261"/>
      <c r="H42" s="2262"/>
      <c r="I42" s="2244"/>
      <c r="J42" s="2245"/>
      <c r="K42" s="2245"/>
      <c r="L42" s="2245"/>
      <c r="M42" s="2245"/>
      <c r="N42" s="2245"/>
      <c r="O42" s="2246"/>
      <c r="P42" s="2279"/>
      <c r="Q42" s="2245"/>
      <c r="R42" s="2245"/>
      <c r="S42" s="2246"/>
      <c r="T42" s="2244"/>
      <c r="U42" s="2245"/>
      <c r="V42" s="2245"/>
      <c r="W42" s="2246"/>
      <c r="X42" s="2279"/>
      <c r="Y42" s="2245"/>
      <c r="Z42" s="2245"/>
      <c r="AA42" s="2246"/>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274"/>
      <c r="B44" s="2275"/>
      <c r="C44" s="2275"/>
      <c r="D44" s="2275"/>
      <c r="E44" s="2275"/>
      <c r="F44" s="2275"/>
      <c r="G44" s="2275"/>
      <c r="H44" s="2276"/>
      <c r="I44" s="2249"/>
      <c r="J44" s="2250"/>
      <c r="K44" s="2250"/>
      <c r="L44" s="2250"/>
      <c r="M44" s="2250"/>
      <c r="N44" s="2250"/>
      <c r="O44" s="2250"/>
      <c r="P44" s="2250"/>
      <c r="Q44" s="2250"/>
      <c r="R44" s="2250"/>
      <c r="S44" s="2251"/>
      <c r="T44" s="2249"/>
      <c r="U44" s="2268"/>
      <c r="V44" s="2268"/>
      <c r="W44" s="2268"/>
      <c r="X44" s="2268"/>
      <c r="Y44" s="2268"/>
      <c r="Z44" s="2250"/>
      <c r="AA44" s="2251"/>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9"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FF00"/>
  </sheetPr>
  <dimension ref="A1:H36"/>
  <sheetViews>
    <sheetView showGridLines="0" defaultGridColor="0" colorId="8" zoomScale="110" zoomScaleNormal="110" workbookViewId="0">
      <selection activeCell="C17" sqref="C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492" t="s">
        <v>1773</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493"/>
      <c r="B3" s="1287"/>
      <c r="C3" s="1288"/>
      <c r="D3" s="1289" t="s">
        <v>254</v>
      </c>
      <c r="E3" s="1288"/>
      <c r="F3" s="1289" t="s">
        <v>255</v>
      </c>
    </row>
    <row r="4" spans="1:8" ht="13.7" customHeight="1" x14ac:dyDescent="0.2">
      <c r="A4" s="579" t="s">
        <v>1144</v>
      </c>
      <c r="B4" s="1710">
        <f>'Revenues 9-14'!C5</f>
        <v>18746920</v>
      </c>
      <c r="C4" s="1711">
        <v>9211516</v>
      </c>
      <c r="D4" s="1712">
        <f>B4-C4</f>
        <v>9535404</v>
      </c>
      <c r="E4" s="1711">
        <v>19634424</v>
      </c>
      <c r="F4" s="1712">
        <f>E4-C4</f>
        <v>10422908</v>
      </c>
    </row>
    <row r="5" spans="1:8" ht="13.7" customHeight="1" x14ac:dyDescent="0.2">
      <c r="A5" s="579" t="s">
        <v>864</v>
      </c>
      <c r="B5" s="1713">
        <f>'Revenues 9-14'!D5</f>
        <v>2751318</v>
      </c>
      <c r="C5" s="1654">
        <v>1495957</v>
      </c>
      <c r="D5" s="1714">
        <f t="shared" ref="D5:D18" si="0">B5-C5</f>
        <v>1255361</v>
      </c>
      <c r="E5" s="1654">
        <v>3188644</v>
      </c>
      <c r="F5" s="1714">
        <f>E5-C5</f>
        <v>1692687</v>
      </c>
    </row>
    <row r="6" spans="1:8" ht="13.7" customHeight="1" x14ac:dyDescent="0.2">
      <c r="A6" s="579" t="s">
        <v>408</v>
      </c>
      <c r="B6" s="1713">
        <f>'Revenues 9-14'!E5</f>
        <v>3834320</v>
      </c>
      <c r="C6" s="1654">
        <v>1528422</v>
      </c>
      <c r="D6" s="1714">
        <f t="shared" si="0"/>
        <v>2305898</v>
      </c>
      <c r="E6" s="1654">
        <v>3257846</v>
      </c>
      <c r="F6" s="1714">
        <f t="shared" ref="F6:F18" si="1">E6-C6</f>
        <v>1729424</v>
      </c>
    </row>
    <row r="7" spans="1:8" ht="13.7" customHeight="1" x14ac:dyDescent="0.2">
      <c r="A7" s="579" t="s">
        <v>154</v>
      </c>
      <c r="B7" s="1713">
        <f>'Revenues 9-14'!F5</f>
        <v>506475</v>
      </c>
      <c r="C7" s="1654">
        <v>252046</v>
      </c>
      <c r="D7" s="1714">
        <f t="shared" si="0"/>
        <v>254429</v>
      </c>
      <c r="E7" s="1654">
        <v>537238</v>
      </c>
      <c r="F7" s="1714">
        <f t="shared" si="1"/>
        <v>285192</v>
      </c>
    </row>
    <row r="8" spans="1:8" ht="13.7" customHeight="1" x14ac:dyDescent="0.2">
      <c r="A8" s="579" t="s">
        <v>1168</v>
      </c>
      <c r="B8" s="1713">
        <f>'Revenues 9-14'!G5</f>
        <v>361533</v>
      </c>
      <c r="C8" s="1654">
        <v>179919</v>
      </c>
      <c r="D8" s="1714">
        <f t="shared" si="0"/>
        <v>181614</v>
      </c>
      <c r="E8" s="1654">
        <v>383499</v>
      </c>
      <c r="F8" s="1714">
        <f t="shared" si="1"/>
        <v>203580</v>
      </c>
    </row>
    <row r="9" spans="1:8" ht="13.7" customHeight="1" x14ac:dyDescent="0.2">
      <c r="A9" s="579" t="s">
        <v>405</v>
      </c>
      <c r="B9" s="1713">
        <f>'Revenues 9-14'!H5</f>
        <v>0</v>
      </c>
      <c r="C9" s="1654">
        <v>0</v>
      </c>
      <c r="D9" s="1714">
        <f t="shared" si="0"/>
        <v>0</v>
      </c>
      <c r="E9" s="1654">
        <v>0</v>
      </c>
      <c r="F9" s="1714">
        <f t="shared" si="1"/>
        <v>0</v>
      </c>
    </row>
    <row r="10" spans="1:8" ht="13.7" customHeight="1" x14ac:dyDescent="0.2">
      <c r="A10" s="579" t="s">
        <v>404</v>
      </c>
      <c r="B10" s="1713">
        <f>'Revenues 9-14'!I5</f>
        <v>110432</v>
      </c>
      <c r="C10" s="1654">
        <v>54952</v>
      </c>
      <c r="D10" s="1714">
        <f t="shared" si="0"/>
        <v>55480</v>
      </c>
      <c r="E10" s="1654">
        <v>117131</v>
      </c>
      <c r="F10" s="1714">
        <f t="shared" si="1"/>
        <v>62179</v>
      </c>
    </row>
    <row r="11" spans="1:8" x14ac:dyDescent="0.2">
      <c r="A11" s="579" t="s">
        <v>406</v>
      </c>
      <c r="B11" s="1713">
        <f>'Revenues 9-14'!J5</f>
        <v>125822</v>
      </c>
      <c r="C11" s="1654">
        <v>62610</v>
      </c>
      <c r="D11" s="1714">
        <f t="shared" si="0"/>
        <v>63212</v>
      </c>
      <c r="E11" s="1654">
        <v>133453</v>
      </c>
      <c r="F11" s="1714">
        <f t="shared" si="1"/>
        <v>70843</v>
      </c>
    </row>
    <row r="12" spans="1:8" ht="13.7" customHeight="1" x14ac:dyDescent="0.2">
      <c r="A12" s="579" t="s">
        <v>156</v>
      </c>
      <c r="B12" s="1713">
        <f>'Revenues 9-14'!K5</f>
        <v>0</v>
      </c>
      <c r="C12" s="1654">
        <v>0</v>
      </c>
      <c r="D12" s="1714">
        <f t="shared" si="0"/>
        <v>0</v>
      </c>
      <c r="E12" s="1654">
        <v>0</v>
      </c>
      <c r="F12" s="1714">
        <f t="shared" si="1"/>
        <v>0</v>
      </c>
    </row>
    <row r="13" spans="1:8" ht="13.7" customHeight="1" x14ac:dyDescent="0.2">
      <c r="A13" s="579" t="s">
        <v>929</v>
      </c>
      <c r="B13" s="1713">
        <f>SUM('Revenues 9-14'!C6:D6)</f>
        <v>0</v>
      </c>
      <c r="C13" s="1654">
        <v>0</v>
      </c>
      <c r="D13" s="1714">
        <f t="shared" si="0"/>
        <v>0</v>
      </c>
      <c r="E13" s="1654">
        <v>0</v>
      </c>
      <c r="F13" s="1714">
        <f t="shared" si="1"/>
        <v>0</v>
      </c>
    </row>
    <row r="14" spans="1:8" ht="13.7" customHeight="1" x14ac:dyDescent="0.2">
      <c r="A14" s="579" t="s">
        <v>407</v>
      </c>
      <c r="B14" s="1713">
        <f>SUM('Revenues 9-14'!C7:D7,'Revenues 9-14'!F7:H7)</f>
        <v>256078</v>
      </c>
      <c r="C14" s="1654">
        <v>127441</v>
      </c>
      <c r="D14" s="1714">
        <f t="shared" si="0"/>
        <v>128637</v>
      </c>
      <c r="E14" s="1654">
        <v>271641</v>
      </c>
      <c r="F14" s="1714">
        <f t="shared" si="1"/>
        <v>144200</v>
      </c>
    </row>
    <row r="15" spans="1:8" ht="13.7" customHeight="1" x14ac:dyDescent="0.2">
      <c r="A15" s="579" t="s">
        <v>1147</v>
      </c>
      <c r="B15" s="1713">
        <f>SUM('Revenues 9-14'!D9:E9,'Revenues 9-14'!H9)</f>
        <v>0</v>
      </c>
      <c r="C15" s="1654">
        <v>0</v>
      </c>
      <c r="D15" s="1714">
        <f t="shared" si="0"/>
        <v>0</v>
      </c>
      <c r="E15" s="1654">
        <v>0</v>
      </c>
      <c r="F15" s="1714">
        <f t="shared" si="1"/>
        <v>0</v>
      </c>
    </row>
    <row r="16" spans="1:8" ht="13.7" customHeight="1" x14ac:dyDescent="0.2">
      <c r="A16" s="579" t="s">
        <v>1148</v>
      </c>
      <c r="B16" s="1713">
        <f>'Revenues 9-14'!G8</f>
        <v>433740</v>
      </c>
      <c r="C16" s="1654">
        <v>215848</v>
      </c>
      <c r="D16" s="1714">
        <f t="shared" si="0"/>
        <v>217892</v>
      </c>
      <c r="E16" s="1654">
        <v>460082</v>
      </c>
      <c r="F16" s="1714">
        <f t="shared" si="1"/>
        <v>244234</v>
      </c>
    </row>
    <row r="17" spans="1:6" ht="13.7" customHeight="1" x14ac:dyDescent="0.2">
      <c r="A17" s="579" t="s">
        <v>1149</v>
      </c>
      <c r="B17" s="1713">
        <f>'Revenues 9-14'!C10</f>
        <v>0</v>
      </c>
      <c r="C17" s="1654">
        <v>0</v>
      </c>
      <c r="D17" s="1714">
        <f t="shared" si="0"/>
        <v>0</v>
      </c>
      <c r="E17" s="1654">
        <v>0</v>
      </c>
      <c r="F17" s="1714">
        <f t="shared" si="1"/>
        <v>0</v>
      </c>
    </row>
    <row r="18" spans="1:6" ht="13.7" customHeight="1" x14ac:dyDescent="0.2">
      <c r="A18" s="579" t="s">
        <v>756</v>
      </c>
      <c r="B18" s="1713">
        <f>SUM('Revenues 9-14'!C11:K11)</f>
        <v>0</v>
      </c>
      <c r="C18" s="1654">
        <v>0</v>
      </c>
      <c r="D18" s="1714">
        <f t="shared" si="0"/>
        <v>0</v>
      </c>
      <c r="E18" s="1654">
        <v>0</v>
      </c>
      <c r="F18" s="1714">
        <f t="shared" si="1"/>
        <v>0</v>
      </c>
    </row>
    <row r="19" spans="1:6" ht="13.7" customHeight="1" thickBot="1" x14ac:dyDescent="0.25">
      <c r="A19" s="1425" t="s">
        <v>1150</v>
      </c>
      <c r="B19" s="1715">
        <f>SUM(B4:B18)</f>
        <v>27126638</v>
      </c>
      <c r="C19" s="1715">
        <f>SUM(C4:C18)</f>
        <v>13128711</v>
      </c>
      <c r="D19" s="1715">
        <f>SUM(D4:D18)</f>
        <v>13997927</v>
      </c>
      <c r="E19" s="1715">
        <f>SUM(E4:E18)</f>
        <v>27983958</v>
      </c>
      <c r="F19" s="1715">
        <f>SUM(F4:F18)</f>
        <v>14855247</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FF00"/>
  </sheetPr>
  <dimension ref="A1:K59"/>
  <sheetViews>
    <sheetView showGridLines="0" defaultGridColor="0" topLeftCell="A7" colorId="8" zoomScale="110" zoomScaleNormal="110" workbookViewId="0">
      <selection activeCell="A33" sqref="A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514" t="s">
        <v>625</v>
      </c>
      <c r="B1" s="2512"/>
      <c r="C1" s="585"/>
    </row>
    <row r="2" spans="1:7" ht="33.75" x14ac:dyDescent="0.2">
      <c r="A2" s="2519" t="s">
        <v>1773</v>
      </c>
      <c r="B2" s="2520"/>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521" t="s">
        <v>1103</v>
      </c>
      <c r="B3" s="2522"/>
      <c r="C3" s="2515"/>
      <c r="D3" s="2516"/>
      <c r="E3" s="2516"/>
      <c r="F3" s="2517"/>
    </row>
    <row r="4" spans="1:7" ht="12.75" customHeight="1" thickBot="1" x14ac:dyDescent="0.25">
      <c r="A4" s="2509" t="s">
        <v>626</v>
      </c>
      <c r="B4" s="2510"/>
      <c r="C4" s="1646"/>
      <c r="D4" s="1646"/>
      <c r="E4" s="1646"/>
      <c r="F4" s="1721">
        <f>SUM(C4+D4)-E4</f>
        <v>0</v>
      </c>
    </row>
    <row r="5" spans="1:7" ht="15.75" customHeight="1" thickTop="1" x14ac:dyDescent="0.2">
      <c r="A5" s="2513" t="s">
        <v>1100</v>
      </c>
      <c r="B5" s="2508"/>
      <c r="C5" s="2502"/>
      <c r="D5" s="2503"/>
      <c r="E5" s="2503"/>
      <c r="F5" s="2504"/>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505" t="s">
        <v>627</v>
      </c>
      <c r="B15" s="2506"/>
      <c r="C15" s="1721">
        <f>SUM(C6:C14)</f>
        <v>0</v>
      </c>
      <c r="D15" s="1721">
        <f>SUM(D6:D14)</f>
        <v>0</v>
      </c>
      <c r="E15" s="1721">
        <f>SUM(E6:E14)</f>
        <v>0</v>
      </c>
      <c r="F15" s="1721">
        <f>SUM(F6:F14)</f>
        <v>0</v>
      </c>
      <c r="G15" s="473"/>
    </row>
    <row r="16" spans="1:7" s="197" customFormat="1" ht="15.75" customHeight="1" thickTop="1" x14ac:dyDescent="0.2">
      <c r="A16" s="2518" t="s">
        <v>1101</v>
      </c>
      <c r="B16" s="2508"/>
      <c r="C16" s="2502"/>
      <c r="D16" s="2503"/>
      <c r="E16" s="2503"/>
      <c r="F16" s="2504"/>
    </row>
    <row r="17" spans="1:11" ht="12.75" customHeight="1" thickBot="1" x14ac:dyDescent="0.25">
      <c r="A17" s="2500" t="s">
        <v>64</v>
      </c>
      <c r="B17" s="2501"/>
      <c r="C17" s="1722"/>
      <c r="D17" s="1654"/>
      <c r="E17" s="1722"/>
      <c r="F17" s="1721">
        <f>SUM(C17+D17)-E17</f>
        <v>0</v>
      </c>
    </row>
    <row r="18" spans="1:11" ht="12.75" customHeight="1" thickTop="1" thickBot="1" x14ac:dyDescent="0.25">
      <c r="A18" s="2500" t="s">
        <v>6</v>
      </c>
      <c r="B18" s="2501"/>
      <c r="C18" s="1722"/>
      <c r="D18" s="1654"/>
      <c r="E18" s="1722"/>
      <c r="F18" s="1721">
        <f>SUM(C18+D18)-E18</f>
        <v>0</v>
      </c>
    </row>
    <row r="19" spans="1:11" ht="12.75" customHeight="1" thickTop="1" thickBot="1" x14ac:dyDescent="0.25">
      <c r="A19" s="2500" t="s">
        <v>385</v>
      </c>
      <c r="B19" s="2501"/>
      <c r="C19" s="1722"/>
      <c r="D19" s="1654"/>
      <c r="E19" s="1722"/>
      <c r="F19" s="1721">
        <f>SUM(C19+D19)-E19</f>
        <v>0</v>
      </c>
    </row>
    <row r="20" spans="1:11" ht="12.75" customHeight="1" thickTop="1" thickBot="1" x14ac:dyDescent="0.25">
      <c r="A20" s="2500" t="s">
        <v>445</v>
      </c>
      <c r="B20" s="2501"/>
      <c r="C20" s="1722"/>
      <c r="D20" s="1654"/>
      <c r="E20" s="1722"/>
      <c r="F20" s="1721">
        <f>SUM(C20+D20)-E20</f>
        <v>0</v>
      </c>
    </row>
    <row r="21" spans="1:11" ht="14.25" thickTop="1" thickBot="1" x14ac:dyDescent="0.25">
      <c r="A21" s="2505" t="s">
        <v>628</v>
      </c>
      <c r="B21" s="2506"/>
      <c r="C21" s="1721">
        <f>SUM(C17:C20)</f>
        <v>0</v>
      </c>
      <c r="D21" s="1721">
        <f>SUM(D17:D20)</f>
        <v>0</v>
      </c>
      <c r="E21" s="1721">
        <f>SUM(E17:E20)</f>
        <v>0</v>
      </c>
      <c r="F21" s="1721">
        <f>SUM(F17:F20)</f>
        <v>0</v>
      </c>
      <c r="G21" s="473"/>
    </row>
    <row r="22" spans="1:11" ht="15.75" customHeight="1" thickTop="1" x14ac:dyDescent="0.2">
      <c r="A22" s="2507" t="s">
        <v>1102</v>
      </c>
      <c r="B22" s="2508"/>
      <c r="C22" s="2502"/>
      <c r="D22" s="2503"/>
      <c r="E22" s="2503"/>
      <c r="F22" s="2504"/>
    </row>
    <row r="23" spans="1:11" ht="13.5" thickBot="1" x14ac:dyDescent="0.25">
      <c r="A23" s="2509" t="s">
        <v>629</v>
      </c>
      <c r="B23" s="2510"/>
      <c r="C23" s="1646"/>
      <c r="D23" s="1646"/>
      <c r="E23" s="1646"/>
      <c r="F23" s="1721">
        <f>SUM(C23+D23)-E23</f>
        <v>0</v>
      </c>
      <c r="G23" s="473"/>
    </row>
    <row r="24" spans="1:11" ht="15.75" customHeight="1" thickTop="1" x14ac:dyDescent="0.2">
      <c r="A24" s="2507" t="s">
        <v>2000</v>
      </c>
      <c r="B24" s="2508"/>
      <c r="C24" s="2502"/>
      <c r="D24" s="2503"/>
      <c r="E24" s="2503"/>
      <c r="F24" s="2504"/>
    </row>
    <row r="25" spans="1:11" ht="13.5" thickBot="1" x14ac:dyDescent="0.25">
      <c r="A25" s="2509" t="s">
        <v>2001</v>
      </c>
      <c r="B25" s="2510"/>
      <c r="C25" s="1646"/>
      <c r="D25" s="1646"/>
      <c r="E25" s="1646"/>
      <c r="F25" s="1721">
        <f>SUM(C25+D25)-E25</f>
        <v>0</v>
      </c>
      <c r="G25" s="473"/>
    </row>
    <row r="26" spans="1:11" ht="15.75" customHeight="1" thickTop="1" x14ac:dyDescent="0.2">
      <c r="A26" s="2513" t="s">
        <v>652</v>
      </c>
      <c r="B26" s="2508"/>
      <c r="C26" s="589"/>
      <c r="D26" s="589"/>
      <c r="E26" s="589"/>
      <c r="F26" s="590"/>
    </row>
    <row r="27" spans="1:11" ht="13.5" thickBot="1" x14ac:dyDescent="0.25">
      <c r="A27" s="2505" t="s">
        <v>1060</v>
      </c>
      <c r="B27" s="2506"/>
      <c r="C27" s="1654"/>
      <c r="D27" s="1654"/>
      <c r="E27" s="1654"/>
      <c r="F27" s="1721">
        <f>SUM(C27+D27)-E27</f>
        <v>0</v>
      </c>
      <c r="G27" s="473"/>
    </row>
    <row r="28" spans="1:11" ht="7.5" customHeight="1" thickTop="1" x14ac:dyDescent="0.2">
      <c r="A28" s="489"/>
    </row>
    <row r="29" spans="1:11" ht="23.25" customHeight="1" x14ac:dyDescent="0.2">
      <c r="A29" s="2511" t="s">
        <v>578</v>
      </c>
      <c r="B29" s="2512"/>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1871</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2229" t="s">
        <v>2124</v>
      </c>
      <c r="B31" s="2230">
        <v>41218</v>
      </c>
      <c r="C31" s="2231">
        <v>9995000</v>
      </c>
      <c r="D31" s="2232">
        <v>3</v>
      </c>
      <c r="E31" s="1723">
        <v>4665000</v>
      </c>
      <c r="F31" s="1723"/>
      <c r="G31" s="1723"/>
      <c r="H31" s="1723">
        <v>4665000</v>
      </c>
      <c r="I31" s="1725">
        <f>((E31+F31)-H31)+G31</f>
        <v>0</v>
      </c>
      <c r="J31" s="1723"/>
      <c r="K31" s="596"/>
    </row>
    <row r="32" spans="1:11" ht="12" customHeight="1" x14ac:dyDescent="0.2">
      <c r="A32" s="2229" t="s">
        <v>2125</v>
      </c>
      <c r="B32" s="2230">
        <v>43550</v>
      </c>
      <c r="C32" s="2231">
        <v>43225000</v>
      </c>
      <c r="D32" s="2232">
        <v>6</v>
      </c>
      <c r="E32" s="1723">
        <v>43225000</v>
      </c>
      <c r="F32" s="1723"/>
      <c r="G32" s="1723"/>
      <c r="H32" s="1723"/>
      <c r="I32" s="1725">
        <f>((E32+F32)-H32)+G32</f>
        <v>43225000</v>
      </c>
      <c r="J32" s="1723">
        <v>41492437</v>
      </c>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53220000</v>
      </c>
      <c r="D49" s="1731"/>
      <c r="E49" s="1725">
        <f t="shared" ref="E49:J49" si="2">SUM(E31:E48)</f>
        <v>47890000</v>
      </c>
      <c r="F49" s="1725">
        <f t="shared" si="2"/>
        <v>0</v>
      </c>
      <c r="G49" s="1725">
        <f t="shared" si="2"/>
        <v>0</v>
      </c>
      <c r="H49" s="1725">
        <f t="shared" si="2"/>
        <v>4665000</v>
      </c>
      <c r="I49" s="1725">
        <f t="shared" si="2"/>
        <v>43225000</v>
      </c>
      <c r="J49" s="1725">
        <f t="shared" si="2"/>
        <v>41492437</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494" t="s">
        <v>580</v>
      </c>
      <c r="C52" s="2495"/>
      <c r="D52" s="2495"/>
      <c r="E52" s="603" t="s">
        <v>839</v>
      </c>
      <c r="F52" s="2496"/>
      <c r="G52" s="2497"/>
      <c r="H52" s="596"/>
      <c r="I52" s="596"/>
      <c r="J52" s="600"/>
    </row>
    <row r="53" spans="1:11" ht="11.25" customHeight="1" x14ac:dyDescent="0.2">
      <c r="A53" s="604" t="s">
        <v>906</v>
      </c>
      <c r="B53" s="605" t="s">
        <v>944</v>
      </c>
      <c r="C53" s="600"/>
      <c r="D53" s="597"/>
      <c r="E53" s="603" t="s">
        <v>494</v>
      </c>
      <c r="F53" s="2498"/>
      <c r="G53" s="2499"/>
      <c r="H53" s="596"/>
      <c r="I53" s="596"/>
      <c r="J53" s="600"/>
    </row>
    <row r="54" spans="1:11" ht="11.25" customHeight="1" x14ac:dyDescent="0.2">
      <c r="A54" s="606" t="s">
        <v>907</v>
      </c>
      <c r="B54" s="601" t="s">
        <v>945</v>
      </c>
      <c r="C54" s="600"/>
      <c r="D54" s="597"/>
      <c r="E54" s="603" t="s">
        <v>495</v>
      </c>
      <c r="F54" s="2498"/>
      <c r="G54" s="249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9"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FF00"/>
  </sheetPr>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523" t="s">
        <v>850</v>
      </c>
      <c r="B1" s="2524"/>
      <c r="C1" s="2524"/>
      <c r="D1" s="2524"/>
      <c r="E1" s="2524"/>
      <c r="F1" s="2524"/>
      <c r="G1" s="2525"/>
      <c r="H1" s="1291"/>
      <c r="I1" s="614"/>
      <c r="J1" s="400"/>
    </row>
    <row r="2" spans="1:11" ht="26.25" x14ac:dyDescent="0.2">
      <c r="A2" s="2542" t="s">
        <v>1655</v>
      </c>
      <c r="B2" s="2543"/>
      <c r="C2" s="2543"/>
      <c r="D2" s="2543"/>
      <c r="E2" s="2544"/>
      <c r="F2" s="615" t="s">
        <v>897</v>
      </c>
      <c r="G2" s="616" t="s">
        <v>1652</v>
      </c>
      <c r="H2" s="616" t="s">
        <v>407</v>
      </c>
      <c r="I2" s="616" t="s">
        <v>1147</v>
      </c>
      <c r="J2" s="616" t="s">
        <v>1783</v>
      </c>
      <c r="K2" s="616" t="s">
        <v>137</v>
      </c>
    </row>
    <row r="3" spans="1:11" x14ac:dyDescent="0.2">
      <c r="A3" s="2545" t="str">
        <f>"Cash Basis Fund Balance as of July 1, "&amp;'AFR20'!E2-1</f>
        <v>Cash Basis Fund Balance as of July 1, 2019</v>
      </c>
      <c r="B3" s="2546"/>
      <c r="C3" s="2546"/>
      <c r="D3" s="2546"/>
      <c r="E3" s="2547"/>
      <c r="F3" s="617"/>
      <c r="G3" s="1733"/>
      <c r="H3" s="1733"/>
      <c r="I3" s="1733"/>
      <c r="J3" s="1734"/>
      <c r="K3" s="1734"/>
    </row>
    <row r="4" spans="1:11" x14ac:dyDescent="0.2">
      <c r="A4" s="2548" t="s">
        <v>366</v>
      </c>
      <c r="B4" s="2549"/>
      <c r="C4" s="2549"/>
      <c r="D4" s="2549"/>
      <c r="E4" s="2495"/>
      <c r="F4" s="620"/>
      <c r="G4" s="1735"/>
      <c r="H4" s="1736"/>
      <c r="I4" s="1735"/>
      <c r="J4" s="1737"/>
      <c r="K4" s="1737"/>
    </row>
    <row r="5" spans="1:11" x14ac:dyDescent="0.2">
      <c r="A5" s="2526" t="s">
        <v>1059</v>
      </c>
      <c r="B5" s="2527"/>
      <c r="C5" s="2527"/>
      <c r="D5" s="2527"/>
      <c r="E5" s="2528"/>
      <c r="F5" s="622" t="s">
        <v>842</v>
      </c>
      <c r="G5" s="1738"/>
      <c r="H5" s="1733">
        <f>'Revenues 9-14'!C7</f>
        <v>256078</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21528</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38424</v>
      </c>
    </row>
    <row r="10" spans="1:11" x14ac:dyDescent="0.2">
      <c r="A10" s="2526" t="s">
        <v>1784</v>
      </c>
      <c r="B10" s="2527"/>
      <c r="C10" s="2527"/>
      <c r="D10" s="2527"/>
      <c r="E10" s="2529"/>
      <c r="F10" s="633" t="s">
        <v>856</v>
      </c>
      <c r="G10" s="1742"/>
      <c r="H10" s="1743"/>
      <c r="I10" s="1733"/>
      <c r="J10" s="1734"/>
      <c r="K10" s="1734"/>
    </row>
    <row r="11" spans="1:11" x14ac:dyDescent="0.2">
      <c r="A11" s="2526" t="s">
        <v>159</v>
      </c>
      <c r="B11" s="2527"/>
      <c r="C11" s="2527"/>
      <c r="D11" s="2527"/>
      <c r="E11" s="2528"/>
      <c r="F11" s="622" t="s">
        <v>846</v>
      </c>
      <c r="G11" s="1738"/>
      <c r="H11" s="1733"/>
      <c r="I11" s="1733"/>
      <c r="J11" s="1734"/>
      <c r="K11" s="1740"/>
    </row>
    <row r="12" spans="1:11" ht="13.5" thickBot="1" x14ac:dyDescent="0.25">
      <c r="A12" s="2553" t="s">
        <v>898</v>
      </c>
      <c r="B12" s="2554"/>
      <c r="C12" s="2554"/>
      <c r="D12" s="2554"/>
      <c r="E12" s="2555"/>
      <c r="F12" s="1426"/>
      <c r="G12" s="1744">
        <f>SUM(G5:G11)</f>
        <v>0</v>
      </c>
      <c r="H12" s="1744">
        <f>SUM(H5:H11)</f>
        <v>256078</v>
      </c>
      <c r="I12" s="1744">
        <f>SUM(I5:I11)</f>
        <v>0</v>
      </c>
      <c r="J12" s="1744">
        <f>SUM(J5:J11)</f>
        <v>0</v>
      </c>
      <c r="K12" s="1744">
        <f>SUM(K5:K11)</f>
        <v>59952</v>
      </c>
    </row>
    <row r="13" spans="1:11" ht="13.5" thickTop="1" x14ac:dyDescent="0.2">
      <c r="A13" s="2550" t="s">
        <v>367</v>
      </c>
      <c r="B13" s="2551"/>
      <c r="C13" s="2551"/>
      <c r="D13" s="2551"/>
      <c r="E13" s="2552"/>
      <c r="F13" s="634"/>
      <c r="G13" s="1745"/>
      <c r="H13" s="1746"/>
      <c r="I13" s="1747"/>
      <c r="J13" s="1747"/>
      <c r="K13" s="1747"/>
    </row>
    <row r="14" spans="1:11" x14ac:dyDescent="0.2">
      <c r="A14" s="2533" t="s">
        <v>453</v>
      </c>
      <c r="B14" s="2533"/>
      <c r="C14" s="2533"/>
      <c r="D14" s="2533"/>
      <c r="E14" s="2534"/>
      <c r="F14" s="635" t="s">
        <v>848</v>
      </c>
      <c r="G14" s="1742"/>
      <c r="H14" s="1733">
        <f>H12</f>
        <v>256078</v>
      </c>
      <c r="I14" s="1738"/>
      <c r="J14" s="1740"/>
      <c r="K14" s="1734">
        <v>59952</v>
      </c>
    </row>
    <row r="15" spans="1:11" x14ac:dyDescent="0.2">
      <c r="A15" s="2527" t="s">
        <v>4</v>
      </c>
      <c r="B15" s="2527"/>
      <c r="C15" s="2527"/>
      <c r="D15" s="2527"/>
      <c r="E15" s="2528"/>
      <c r="F15" s="635" t="s">
        <v>849</v>
      </c>
      <c r="G15" s="1738"/>
      <c r="H15" s="1733"/>
      <c r="I15" s="1733"/>
      <c r="J15" s="1734"/>
      <c r="K15" s="1734"/>
    </row>
    <row r="16" spans="1:11" x14ac:dyDescent="0.2">
      <c r="A16" s="2527" t="s">
        <v>295</v>
      </c>
      <c r="B16" s="2527"/>
      <c r="C16" s="2527"/>
      <c r="D16" s="2527"/>
      <c r="E16" s="2528"/>
      <c r="F16" s="635" t="s">
        <v>916</v>
      </c>
      <c r="G16" s="1739"/>
      <c r="H16" s="1735"/>
      <c r="I16" s="1735"/>
      <c r="J16" s="1737"/>
      <c r="K16" s="1737"/>
    </row>
    <row r="17" spans="1:15" x14ac:dyDescent="0.2">
      <c r="A17" s="2560" t="s">
        <v>928</v>
      </c>
      <c r="B17" s="2560"/>
      <c r="C17" s="2560"/>
      <c r="D17" s="2560"/>
      <c r="E17" s="2561"/>
      <c r="F17" s="636"/>
      <c r="G17" s="1748"/>
      <c r="H17" s="1749"/>
      <c r="I17" s="1749"/>
      <c r="J17" s="1750"/>
      <c r="K17" s="1751"/>
    </row>
    <row r="18" spans="1:15" x14ac:dyDescent="0.2">
      <c r="A18" s="2537" t="s">
        <v>365</v>
      </c>
      <c r="B18" s="2538"/>
      <c r="C18" s="2538"/>
      <c r="D18" s="2538"/>
      <c r="E18" s="2539"/>
      <c r="F18" s="635" t="s">
        <v>925</v>
      </c>
      <c r="G18" s="1742"/>
      <c r="H18" s="1742"/>
      <c r="I18" s="1742"/>
      <c r="J18" s="1734"/>
      <c r="K18" s="1752"/>
    </row>
    <row r="19" spans="1:15" ht="21.75" customHeight="1" x14ac:dyDescent="0.2">
      <c r="A19" s="2535" t="s">
        <v>1780</v>
      </c>
      <c r="B19" s="2535"/>
      <c r="C19" s="2535"/>
      <c r="D19" s="2535"/>
      <c r="E19" s="2536"/>
      <c r="F19" s="635" t="s">
        <v>926</v>
      </c>
      <c r="G19" s="1742"/>
      <c r="H19" s="1742"/>
      <c r="I19" s="1742"/>
      <c r="J19" s="1734"/>
      <c r="K19" s="1752"/>
    </row>
    <row r="20" spans="1:15" x14ac:dyDescent="0.2">
      <c r="A20" s="2537" t="s">
        <v>1785</v>
      </c>
      <c r="B20" s="2538"/>
      <c r="C20" s="2538"/>
      <c r="D20" s="2538"/>
      <c r="E20" s="2539"/>
      <c r="F20" s="635" t="s">
        <v>927</v>
      </c>
      <c r="G20" s="1742"/>
      <c r="H20" s="1742"/>
      <c r="I20" s="1742"/>
      <c r="J20" s="1734"/>
      <c r="K20" s="1752"/>
    </row>
    <row r="21" spans="1:15" ht="13.5" thickBot="1" x14ac:dyDescent="0.25">
      <c r="A21" s="2556" t="s">
        <v>633</v>
      </c>
      <c r="B21" s="2556"/>
      <c r="C21" s="2556"/>
      <c r="D21" s="2556"/>
      <c r="E21" s="2556"/>
      <c r="F21" s="1427"/>
      <c r="G21" s="1749"/>
      <c r="H21" s="1753"/>
      <c r="I21" s="1753"/>
      <c r="J21" s="1754">
        <f>SUM(J18:J20)</f>
        <v>0</v>
      </c>
      <c r="K21" s="1750"/>
    </row>
    <row r="22" spans="1:15" ht="13.5" thickTop="1" x14ac:dyDescent="0.2">
      <c r="A22" s="2527" t="s">
        <v>1786</v>
      </c>
      <c r="B22" s="2527"/>
      <c r="C22" s="2527"/>
      <c r="D22" s="2527"/>
      <c r="E22" s="2528"/>
      <c r="F22" s="635" t="s">
        <v>856</v>
      </c>
      <c r="G22" s="1742"/>
      <c r="H22" s="1733"/>
      <c r="I22" s="1733"/>
      <c r="J22" s="1755"/>
      <c r="K22" s="1734"/>
    </row>
    <row r="23" spans="1:15" ht="13.5" thickBot="1" x14ac:dyDescent="0.25">
      <c r="A23" s="2557" t="s">
        <v>899</v>
      </c>
      <c r="B23" s="2556"/>
      <c r="C23" s="2556"/>
      <c r="D23" s="2556"/>
      <c r="E23" s="2556"/>
      <c r="F23" s="1429"/>
      <c r="G23" s="1744">
        <f>SUM(G14:G16,G21,G22)</f>
        <v>0</v>
      </c>
      <c r="H23" s="1744">
        <f>SUM(H14:H16,H21,H22)</f>
        <v>256078</v>
      </c>
      <c r="I23" s="1744">
        <f>SUM(I14:I16,I21,I22)</f>
        <v>0</v>
      </c>
      <c r="J23" s="1744">
        <f>SUM(J14:J16,J21,J22)</f>
        <v>0</v>
      </c>
      <c r="K23" s="1744">
        <f>SUM(K14:K16,K21,K22)</f>
        <v>59952</v>
      </c>
      <c r="M23" s="1835"/>
      <c r="N23" s="1835"/>
      <c r="O23" s="1835"/>
    </row>
    <row r="24" spans="1:15" ht="14.25" thickTop="1" thickBot="1" x14ac:dyDescent="0.25">
      <c r="A24" s="2558" t="str">
        <f>"Ending Cash Basis Fund Balance as of June 30, "&amp;'AFR20'!E2</f>
        <v>Ending Cash Basis Fund Balance as of June 30, 2020</v>
      </c>
      <c r="B24" s="2559"/>
      <c r="C24" s="2559"/>
      <c r="D24" s="2559"/>
      <c r="E24" s="2559"/>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1870</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530"/>
      <c r="I31" s="2531"/>
      <c r="J31" s="2531"/>
      <c r="K31" s="2531"/>
    </row>
    <row r="32" spans="1:15" x14ac:dyDescent="0.2">
      <c r="A32" s="649"/>
      <c r="B32" s="232"/>
      <c r="C32" s="232"/>
      <c r="D32" s="232"/>
      <c r="E32" s="645"/>
      <c r="F32" s="651" t="s">
        <v>537</v>
      </c>
      <c r="G32" s="618"/>
      <c r="H32" s="2532"/>
      <c r="I32" s="2531"/>
      <c r="J32" s="2531"/>
      <c r="K32" s="2531"/>
    </row>
    <row r="33" spans="1:11" ht="1.5" customHeight="1" x14ac:dyDescent="0.2">
      <c r="A33" s="652" t="s">
        <v>1158</v>
      </c>
      <c r="B33" s="341"/>
      <c r="C33" s="341"/>
      <c r="D33" s="341"/>
      <c r="E33" s="341"/>
      <c r="F33" s="341"/>
      <c r="G33" s="653"/>
      <c r="H33" s="2532"/>
      <c r="I33" s="2531"/>
      <c r="J33" s="2531"/>
      <c r="K33" s="2531"/>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527" t="s">
        <v>538</v>
      </c>
      <c r="B41" s="2540"/>
      <c r="C41" s="2540"/>
      <c r="D41" s="2540"/>
      <c r="E41" s="2540"/>
      <c r="F41" s="254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1781</v>
      </c>
      <c r="B46" s="382" t="s">
        <v>1653</v>
      </c>
    </row>
    <row r="47" spans="1:11" s="663" customFormat="1" ht="12.75" customHeight="1" x14ac:dyDescent="0.2">
      <c r="A47" s="661"/>
      <c r="B47" s="662" t="s">
        <v>1654</v>
      </c>
      <c r="E47" s="662"/>
      <c r="K47" s="664"/>
    </row>
    <row r="48" spans="1:11" ht="12.75" customHeight="1" x14ac:dyDescent="0.2">
      <c r="A48" s="1293"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9"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FF00"/>
  </sheetPr>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564" t="s">
        <v>1869</v>
      </c>
      <c r="B1" s="2565"/>
      <c r="C1" s="2566"/>
      <c r="D1" s="666"/>
      <c r="E1" s="667"/>
      <c r="F1" s="667"/>
      <c r="G1" s="668"/>
      <c r="H1" s="669"/>
      <c r="I1" s="670"/>
      <c r="J1" s="2562"/>
      <c r="K1" s="2563"/>
      <c r="L1" s="2563"/>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3150000</v>
      </c>
      <c r="D5" s="1759"/>
      <c r="E5" s="1759"/>
      <c r="F5" s="1754">
        <f>(C5+D5)-E5</f>
        <v>3150000</v>
      </c>
      <c r="G5" s="676"/>
      <c r="H5" s="680"/>
      <c r="I5" s="680"/>
      <c r="J5" s="680"/>
      <c r="K5" s="637"/>
      <c r="L5" s="1435">
        <f>F5-K5</f>
        <v>3150000</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29456245</v>
      </c>
      <c r="D8" s="1760">
        <v>9491638</v>
      </c>
      <c r="E8" s="1760">
        <v>442500</v>
      </c>
      <c r="F8" s="1754">
        <f>(C8+D8)-E8</f>
        <v>38505383</v>
      </c>
      <c r="G8" s="681">
        <v>50</v>
      </c>
      <c r="H8" s="619">
        <v>12332947</v>
      </c>
      <c r="I8" s="619">
        <v>611641</v>
      </c>
      <c r="J8" s="619">
        <v>191070</v>
      </c>
      <c r="K8" s="1435">
        <f>(H8+I8)-J8</f>
        <v>12753518</v>
      </c>
      <c r="L8" s="1435">
        <f>F8-K8</f>
        <v>25751865</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v>4107233</v>
      </c>
      <c r="D10" s="1761"/>
      <c r="E10" s="1761"/>
      <c r="F10" s="1762">
        <f>(C10+D10)-E10</f>
        <v>4107233</v>
      </c>
      <c r="G10" s="681">
        <v>20</v>
      </c>
      <c r="H10" s="683">
        <v>2710367</v>
      </c>
      <c r="I10" s="683">
        <v>110095</v>
      </c>
      <c r="J10" s="683"/>
      <c r="K10" s="1435">
        <f>(H10+I10)-J10</f>
        <v>2820462</v>
      </c>
      <c r="L10" s="1435">
        <f>F10-K10</f>
        <v>1286771</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1606616</v>
      </c>
      <c r="D12" s="1760">
        <v>267910</v>
      </c>
      <c r="E12" s="1760">
        <v>141503</v>
      </c>
      <c r="F12" s="1754">
        <f>(C12+D12)-E12</f>
        <v>1733023</v>
      </c>
      <c r="G12" s="681">
        <v>10</v>
      </c>
      <c r="H12" s="619">
        <v>1009561</v>
      </c>
      <c r="I12" s="619">
        <v>104074</v>
      </c>
      <c r="J12" s="619">
        <v>113542</v>
      </c>
      <c r="K12" s="1435">
        <f>(H12+I12)-J12</f>
        <v>1000093</v>
      </c>
      <c r="L12" s="1435">
        <f>F12-K12</f>
        <v>732930</v>
      </c>
    </row>
    <row r="13" spans="1:14" ht="14.25" thickTop="1" thickBot="1" x14ac:dyDescent="0.25">
      <c r="A13" s="684" t="s">
        <v>1111</v>
      </c>
      <c r="B13" s="679">
        <v>252</v>
      </c>
      <c r="C13" s="1760"/>
      <c r="D13" s="1760"/>
      <c r="E13" s="1760"/>
      <c r="F13" s="1754">
        <f>(C13+D13)-E13</f>
        <v>0</v>
      </c>
      <c r="G13" s="681">
        <v>5</v>
      </c>
      <c r="H13" s="619"/>
      <c r="I13" s="619"/>
      <c r="J13" s="619"/>
      <c r="K13" s="1435">
        <f>(H13+I13)-J13</f>
        <v>0</v>
      </c>
      <c r="L13" s="1435">
        <f>F13-K13</f>
        <v>0</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v>1895404</v>
      </c>
      <c r="D15" s="1760">
        <v>9477570</v>
      </c>
      <c r="E15" s="1760">
        <v>947192</v>
      </c>
      <c r="F15" s="1754">
        <f>(C15+D15)-E15</f>
        <v>10425782</v>
      </c>
      <c r="G15" s="685" t="s">
        <v>856</v>
      </c>
      <c r="H15" s="632"/>
      <c r="I15" s="632"/>
      <c r="J15" s="632"/>
      <c r="K15" s="632"/>
      <c r="L15" s="1435">
        <f>F15-K15</f>
        <v>10425782</v>
      </c>
    </row>
    <row r="16" spans="1:14" ht="15" customHeight="1" thickTop="1" thickBot="1" x14ac:dyDescent="0.25">
      <c r="A16" s="1431" t="s">
        <v>638</v>
      </c>
      <c r="B16" s="1432">
        <v>200</v>
      </c>
      <c r="C16" s="1754">
        <f>SUM(C3,C5:C6,C8:C10,C12:C15)</f>
        <v>40215498</v>
      </c>
      <c r="D16" s="1754">
        <f>SUM(D3,D5:D6,D8:D10,D12:D15)</f>
        <v>19237118</v>
      </c>
      <c r="E16" s="1754">
        <f>SUM(E3,E5:E6,E8:E10,E12:E15)</f>
        <v>1531195</v>
      </c>
      <c r="F16" s="1754">
        <f>SUM(F3,F5:F6,F8:F10,F12:F15)</f>
        <v>57921421</v>
      </c>
      <c r="G16" s="681"/>
      <c r="H16" s="1428">
        <f>SUM(H3,H6,H8:H10,H12:H14,)</f>
        <v>16052875</v>
      </c>
      <c r="I16" s="1428">
        <f>SUM(I3,I6,I8:I10,I12:I14,)</f>
        <v>825810</v>
      </c>
      <c r="J16" s="1428">
        <f>SUM(J3,J6,J8:J10,J12:J14,)</f>
        <v>304612</v>
      </c>
      <c r="K16" s="1428">
        <f>(H16+I16)-J16</f>
        <v>16574073</v>
      </c>
      <c r="L16" s="1428">
        <f>F16-K16</f>
        <v>41347348</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807567</v>
      </c>
      <c r="G17" s="676">
        <v>10</v>
      </c>
      <c r="H17" s="621"/>
      <c r="I17" s="1435">
        <f>F17/G17</f>
        <v>80756.7</v>
      </c>
      <c r="J17" s="621"/>
      <c r="K17" s="638"/>
      <c r="L17" s="638"/>
    </row>
    <row r="18" spans="1:12" ht="14.25" thickTop="1" thickBot="1" x14ac:dyDescent="0.25">
      <c r="A18" s="1433" t="s">
        <v>679</v>
      </c>
      <c r="B18" s="1434"/>
      <c r="C18" s="623"/>
      <c r="D18" s="623"/>
      <c r="E18" s="623"/>
      <c r="F18" s="686"/>
      <c r="G18" s="687"/>
      <c r="H18" s="624"/>
      <c r="I18" s="1428">
        <f>SUM(I16,I17)</f>
        <v>906566.7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FF00"/>
  </sheetPr>
  <dimension ref="A1:I203"/>
  <sheetViews>
    <sheetView showGridLines="0" defaultGridColor="0" colorId="8" zoomScale="110" zoomScaleNormal="110" workbookViewId="0">
      <pane ySplit="5" topLeftCell="A6" activePane="bottomLeft" state="frozen"/>
      <selection activeCell="A47" sqref="A47"/>
      <selection pane="bottomLeft" activeCell="O19" sqref="O1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570" t="str">
        <f>"ESTIMATED OPERATING EXPENSE PER PUPIL (OEPP)/PER CAPITA TUITION CHARGE (PCTC) COMPUTATIONS ("&amp;'AFR20'!E2-1&amp;" - "&amp;'AFR20'!E2&amp;")"</f>
        <v>ESTIMATED OPERATING EXPENSE PER PUPIL (OEPP)/PER CAPITA TUITION CHARGE (PCTC) COMPUTATIONS (2019 - 2020)</v>
      </c>
      <c r="B1" s="2571"/>
      <c r="C1" s="2571"/>
      <c r="D1" s="2571"/>
      <c r="E1" s="2571"/>
      <c r="F1" s="2572"/>
      <c r="G1" s="691"/>
      <c r="I1" s="701"/>
    </row>
    <row r="2" spans="1:9" ht="15" customHeight="1" thickBot="1" x14ac:dyDescent="0.25">
      <c r="A2" s="2573" t="s">
        <v>474</v>
      </c>
      <c r="B2" s="2574"/>
      <c r="C2" s="2574"/>
      <c r="D2" s="2574"/>
      <c r="E2" s="2574"/>
      <c r="F2" s="2575"/>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576"/>
      <c r="B5" s="2577"/>
      <c r="C5" s="2577"/>
      <c r="D5" s="2577"/>
      <c r="E5" s="2577"/>
      <c r="F5" s="2577"/>
    </row>
    <row r="6" spans="1:9" ht="13.5" customHeight="1" thickBot="1" x14ac:dyDescent="0.25">
      <c r="A6" s="2567" t="s">
        <v>1094</v>
      </c>
      <c r="B6" s="2568"/>
      <c r="C6" s="2568"/>
      <c r="D6" s="2568"/>
      <c r="E6" s="2568"/>
      <c r="F6" s="2569"/>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26603550</v>
      </c>
      <c r="G8" s="701"/>
    </row>
    <row r="9" spans="1:9" x14ac:dyDescent="0.2">
      <c r="A9" s="705" t="s">
        <v>457</v>
      </c>
      <c r="B9" s="706" t="s">
        <v>1842</v>
      </c>
      <c r="C9" s="707"/>
      <c r="D9" s="705" t="s">
        <v>498</v>
      </c>
      <c r="E9" s="704"/>
      <c r="F9" s="1764">
        <f>'Expenditures 15-22'!K151</f>
        <v>3920300</v>
      </c>
      <c r="G9" s="708"/>
    </row>
    <row r="10" spans="1:9" x14ac:dyDescent="0.2">
      <c r="A10" s="705" t="s">
        <v>496</v>
      </c>
      <c r="B10" s="706" t="s">
        <v>1843</v>
      </c>
      <c r="C10" s="707"/>
      <c r="D10" s="705" t="s">
        <v>498</v>
      </c>
      <c r="E10" s="704"/>
      <c r="F10" s="1764">
        <f>'Expenditures 15-22'!K174</f>
        <v>6277783</v>
      </c>
      <c r="G10" s="708"/>
    </row>
    <row r="11" spans="1:9" x14ac:dyDescent="0.2">
      <c r="A11" s="705" t="s">
        <v>458</v>
      </c>
      <c r="B11" s="706" t="s">
        <v>1844</v>
      </c>
      <c r="C11" s="707"/>
      <c r="D11" s="705" t="s">
        <v>498</v>
      </c>
      <c r="E11" s="704"/>
      <c r="F11" s="1764">
        <f>'Expenditures 15-22'!K210</f>
        <v>1326292</v>
      </c>
      <c r="G11" s="708"/>
    </row>
    <row r="12" spans="1:9" x14ac:dyDescent="0.2">
      <c r="A12" s="705" t="s">
        <v>459</v>
      </c>
      <c r="B12" s="706" t="s">
        <v>1845</v>
      </c>
      <c r="C12" s="707"/>
      <c r="D12" s="705" t="s">
        <v>498</v>
      </c>
      <c r="E12" s="704"/>
      <c r="F12" s="1764">
        <f>'Expenditures 15-22'!K295</f>
        <v>862123</v>
      </c>
      <c r="G12" s="708"/>
    </row>
    <row r="13" spans="1:9" x14ac:dyDescent="0.2">
      <c r="A13" s="705" t="s">
        <v>106</v>
      </c>
      <c r="B13" s="706" t="s">
        <v>1846</v>
      </c>
      <c r="C13" s="707"/>
      <c r="D13" s="705" t="s">
        <v>498</v>
      </c>
      <c r="E13" s="704"/>
      <c r="F13" s="1764">
        <f>'Expenditures 15-22'!K342</f>
        <v>187970</v>
      </c>
      <c r="G13" s="709"/>
    </row>
    <row r="14" spans="1:9" ht="12" customHeight="1" thickBot="1" x14ac:dyDescent="0.25">
      <c r="A14" s="1436"/>
      <c r="B14" s="1437"/>
      <c r="C14" s="1438"/>
      <c r="D14" s="1439" t="s">
        <v>498</v>
      </c>
      <c r="E14" s="1440" t="s">
        <v>951</v>
      </c>
      <c r="F14" s="1765">
        <f>SUM(F8:F13)</f>
        <v>39178018</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72">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1903</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139335</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7154</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1624090</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173467</v>
      </c>
      <c r="G52" s="701"/>
    </row>
    <row r="53" spans="1:7" x14ac:dyDescent="0.2">
      <c r="A53" s="705" t="s">
        <v>456</v>
      </c>
      <c r="B53" s="705" t="s">
        <v>1455</v>
      </c>
      <c r="C53" s="724">
        <f>'Expenditures 15-22'!B102</f>
        <v>4000</v>
      </c>
      <c r="D53" s="723" t="str">
        <f>'Expenditures 15-22'!A102</f>
        <v>Total Payments to Other Govt Units</v>
      </c>
      <c r="E53" s="704"/>
      <c r="F53" s="1771">
        <f>'Expenditures 15-22'!K102</f>
        <v>710343</v>
      </c>
      <c r="G53" s="701"/>
    </row>
    <row r="54" spans="1:7" x14ac:dyDescent="0.2">
      <c r="A54" s="705" t="s">
        <v>456</v>
      </c>
      <c r="B54" s="705" t="s">
        <v>1456</v>
      </c>
      <c r="C54" s="724" t="s">
        <v>974</v>
      </c>
      <c r="D54" s="720" t="s">
        <v>1085</v>
      </c>
      <c r="E54" s="704"/>
      <c r="F54" s="1771">
        <f>'Expenditures 15-22'!G114</f>
        <v>203196</v>
      </c>
      <c r="G54" s="701"/>
    </row>
    <row r="55" spans="1:7" x14ac:dyDescent="0.2">
      <c r="A55" s="705" t="s">
        <v>456</v>
      </c>
      <c r="B55" s="705" t="s">
        <v>1457</v>
      </c>
      <c r="C55" s="724" t="s">
        <v>974</v>
      </c>
      <c r="D55" s="720" t="s">
        <v>288</v>
      </c>
      <c r="E55" s="704"/>
      <c r="F55" s="1771">
        <f>'Expenditures 15-22'!I114</f>
        <v>663636</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71">
        <f>'Expenditures 15-22'!K139</f>
        <v>0</v>
      </c>
      <c r="G57" s="701"/>
    </row>
    <row r="58" spans="1:7" x14ac:dyDescent="0.2">
      <c r="A58" s="705" t="s">
        <v>457</v>
      </c>
      <c r="B58" s="705" t="s">
        <v>1848</v>
      </c>
      <c r="C58" s="721" t="s">
        <v>974</v>
      </c>
      <c r="D58" s="720" t="s">
        <v>1085</v>
      </c>
      <c r="E58" s="704"/>
      <c r="F58" s="1773">
        <f>'Expenditures 15-22'!G151</f>
        <v>950921</v>
      </c>
      <c r="G58" s="701"/>
    </row>
    <row r="59" spans="1:7" x14ac:dyDescent="0.2">
      <c r="A59" s="728" t="s">
        <v>457</v>
      </c>
      <c r="B59" s="692" t="s">
        <v>1849</v>
      </c>
      <c r="C59" s="729" t="s">
        <v>974</v>
      </c>
      <c r="D59" s="692" t="s">
        <v>288</v>
      </c>
      <c r="F59" s="1774">
        <f>'Expenditures 15-22'!I151</f>
        <v>139553</v>
      </c>
      <c r="G59" s="701"/>
    </row>
    <row r="60" spans="1:7" x14ac:dyDescent="0.2">
      <c r="A60" s="728" t="s">
        <v>496</v>
      </c>
      <c r="B60" s="692" t="s">
        <v>1850</v>
      </c>
      <c r="C60" s="729">
        <v>4000</v>
      </c>
      <c r="D60" s="692" t="s">
        <v>309</v>
      </c>
      <c r="F60" s="1772">
        <f>'Expenditures 15-22'!K160</f>
        <v>0</v>
      </c>
      <c r="G60" s="701"/>
    </row>
    <row r="61" spans="1:7" x14ac:dyDescent="0.2">
      <c r="A61" s="730" t="s">
        <v>496</v>
      </c>
      <c r="B61" s="730" t="s">
        <v>1851</v>
      </c>
      <c r="C61" s="731" t="str">
        <f>'Expenditures 15-22'!B170</f>
        <v>5300</v>
      </c>
      <c r="D61" s="732" t="s">
        <v>308</v>
      </c>
      <c r="E61" s="715"/>
      <c r="F61" s="1771">
        <f>'Expenditures 15-22'!K170</f>
        <v>4665000</v>
      </c>
      <c r="G61" s="701"/>
    </row>
    <row r="62" spans="1:7" x14ac:dyDescent="0.2">
      <c r="A62" s="705" t="s">
        <v>458</v>
      </c>
      <c r="B62" s="705" t="s">
        <v>1852</v>
      </c>
      <c r="C62" s="721">
        <f>'Expenditures 15-22'!B185</f>
        <v>3000</v>
      </c>
      <c r="D62" s="712" t="s">
        <v>446</v>
      </c>
      <c r="E62" s="704"/>
      <c r="F62" s="1771">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1854</v>
      </c>
      <c r="C64" s="731" t="str">
        <f>'Expenditures 15-22'!B206</f>
        <v>5300</v>
      </c>
      <c r="D64" s="727" t="s">
        <v>308</v>
      </c>
      <c r="E64" s="704"/>
      <c r="F64" s="1771">
        <f>'Expenditures 15-22'!K206</f>
        <v>0</v>
      </c>
      <c r="G64" s="701"/>
    </row>
    <row r="65" spans="1:9" x14ac:dyDescent="0.2">
      <c r="A65" s="705" t="s">
        <v>458</v>
      </c>
      <c r="B65" s="705" t="s">
        <v>1855</v>
      </c>
      <c r="C65" s="721" t="s">
        <v>974</v>
      </c>
      <c r="D65" s="720" t="s">
        <v>1085</v>
      </c>
      <c r="E65" s="704"/>
      <c r="F65" s="1771">
        <f>'Expenditures 15-22'!G210</f>
        <v>0</v>
      </c>
      <c r="G65" s="701"/>
    </row>
    <row r="66" spans="1:9" x14ac:dyDescent="0.2">
      <c r="A66" s="705" t="s">
        <v>458</v>
      </c>
      <c r="B66" s="705" t="s">
        <v>1856</v>
      </c>
      <c r="C66" s="721" t="s">
        <v>974</v>
      </c>
      <c r="D66" s="720" t="s">
        <v>288</v>
      </c>
      <c r="E66" s="704"/>
      <c r="F66" s="1771">
        <f>'Expenditures 15-22'!I210</f>
        <v>2333</v>
      </c>
      <c r="G66" s="701"/>
    </row>
    <row r="67" spans="1:9" x14ac:dyDescent="0.2">
      <c r="A67" s="705" t="s">
        <v>459</v>
      </c>
      <c r="B67" s="705" t="s">
        <v>1857</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0</v>
      </c>
      <c r="G68" s="701"/>
    </row>
    <row r="69" spans="1:9" x14ac:dyDescent="0.2">
      <c r="A69" s="705" t="s">
        <v>459</v>
      </c>
      <c r="B69" s="705" t="s">
        <v>1858</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1859</v>
      </c>
      <c r="C70" s="721">
        <f>'Expenditures 15-22'!B221</f>
        <v>1300</v>
      </c>
      <c r="D70" s="722" t="str">
        <f>'Expenditures 15-22'!A221</f>
        <v>Adult/Continuing Education Programs</v>
      </c>
      <c r="E70" s="704"/>
      <c r="F70" s="1771">
        <f>'Expenditures 15-22'!K221</f>
        <v>0</v>
      </c>
      <c r="G70" s="701"/>
    </row>
    <row r="71" spans="1:9" x14ac:dyDescent="0.2">
      <c r="A71" s="705" t="s">
        <v>459</v>
      </c>
      <c r="B71" s="705" t="s">
        <v>1860</v>
      </c>
      <c r="C71" s="721">
        <f>'Expenditures 15-22'!B224</f>
        <v>1600</v>
      </c>
      <c r="D71" s="722" t="str">
        <f>'Expenditures 15-22'!A224</f>
        <v>Summer School Programs</v>
      </c>
      <c r="E71" s="704"/>
      <c r="F71" s="1771">
        <f>'Expenditures 15-22'!K224</f>
        <v>2879</v>
      </c>
      <c r="G71" s="701"/>
    </row>
    <row r="72" spans="1:9" x14ac:dyDescent="0.2">
      <c r="A72" s="705" t="s">
        <v>459</v>
      </c>
      <c r="B72" s="705" t="s">
        <v>1861</v>
      </c>
      <c r="C72" s="721">
        <f>'Expenditures 15-22'!B280</f>
        <v>3000</v>
      </c>
      <c r="D72" s="712" t="s">
        <v>446</v>
      </c>
      <c r="E72" s="704"/>
      <c r="F72" s="1771">
        <f>'Expenditures 15-22'!K280</f>
        <v>10459</v>
      </c>
      <c r="G72" s="701"/>
    </row>
    <row r="73" spans="1:9" x14ac:dyDescent="0.2">
      <c r="A73" s="705" t="s">
        <v>459</v>
      </c>
      <c r="B73" s="705" t="s">
        <v>1862</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1863</v>
      </c>
      <c r="C74" s="721" t="s">
        <v>854</v>
      </c>
      <c r="D74" s="722" t="s">
        <v>1467</v>
      </c>
      <c r="E74" s="704"/>
      <c r="F74" s="1775">
        <f>'Expenditures 15-22'!K334</f>
        <v>0</v>
      </c>
      <c r="G74" s="701"/>
    </row>
    <row r="75" spans="1:9" x14ac:dyDescent="0.2">
      <c r="A75" s="705" t="s">
        <v>2002</v>
      </c>
      <c r="B75" s="705" t="s">
        <v>2003</v>
      </c>
      <c r="C75" s="721" t="s">
        <v>974</v>
      </c>
      <c r="D75" s="722" t="s">
        <v>1085</v>
      </c>
      <c r="E75" s="704"/>
      <c r="F75" s="1775">
        <f>'Expenditures 15-22'!G342</f>
        <v>0</v>
      </c>
      <c r="G75" s="701"/>
    </row>
    <row r="76" spans="1:9" ht="10.5" customHeight="1" x14ac:dyDescent="0.2">
      <c r="A76" s="701" t="s">
        <v>433</v>
      </c>
      <c r="B76" s="705" t="s">
        <v>2004</v>
      </c>
      <c r="C76" s="711" t="s">
        <v>974</v>
      </c>
      <c r="D76" s="701" t="s">
        <v>288</v>
      </c>
      <c r="E76" s="704"/>
      <c r="F76" s="1775">
        <f>'Expenditures 15-22'!I342</f>
        <v>0</v>
      </c>
      <c r="G76" s="703"/>
    </row>
    <row r="77" spans="1:9" ht="12" thickBot="1" x14ac:dyDescent="0.25">
      <c r="A77" s="1436"/>
      <c r="B77" s="1441"/>
      <c r="C77" s="1438"/>
      <c r="D77" s="1442" t="s">
        <v>2005</v>
      </c>
      <c r="E77" s="1440" t="s">
        <v>951</v>
      </c>
      <c r="F77" s="1776">
        <f>SUM(F18:F76)</f>
        <v>9292366</v>
      </c>
      <c r="G77" s="701"/>
    </row>
    <row r="78" spans="1:9" s="728" customFormat="1" ht="12" customHeight="1" thickTop="1" thickBot="1" x14ac:dyDescent="0.25">
      <c r="A78" s="1443"/>
      <c r="B78" s="1441"/>
      <c r="C78" s="1438"/>
      <c r="D78" s="1442" t="s">
        <v>2006</v>
      </c>
      <c r="E78" s="1440"/>
      <c r="F78" s="1777">
        <f>(F14-F77)</f>
        <v>29885652</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1872.3</v>
      </c>
      <c r="G79" s="733"/>
      <c r="H79" s="705"/>
      <c r="I79" s="705"/>
    </row>
    <row r="80" spans="1:9" s="728" customFormat="1" ht="12" customHeight="1" thickBot="1" x14ac:dyDescent="0.25">
      <c r="A80" s="1445"/>
      <c r="B80" s="1441"/>
      <c r="C80" s="1438"/>
      <c r="D80" s="1442" t="s">
        <v>2007</v>
      </c>
      <c r="E80" s="1440" t="s">
        <v>951</v>
      </c>
      <c r="F80" s="1779">
        <f>IF(F79&gt;0,F78/F79," Complete Line 79")</f>
        <v>15961.999679538536</v>
      </c>
      <c r="G80" s="705"/>
    </row>
    <row r="81" spans="1:7" s="728" customFormat="1" ht="8.25" customHeight="1" thickTop="1" x14ac:dyDescent="0.2">
      <c r="A81" s="734"/>
      <c r="B81" s="705"/>
      <c r="C81" s="707"/>
      <c r="D81" s="735"/>
      <c r="E81" s="704"/>
      <c r="F81" s="1780"/>
      <c r="G81" s="705"/>
    </row>
    <row r="82" spans="1:7" s="728" customFormat="1" ht="12" thickBot="1" x14ac:dyDescent="0.25">
      <c r="A82" s="2567" t="s">
        <v>1095</v>
      </c>
      <c r="B82" s="2568"/>
      <c r="C82" s="2568"/>
      <c r="D82" s="2568"/>
      <c r="E82" s="2568"/>
      <c r="F82" s="256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7095</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373516</v>
      </c>
      <c r="G95" s="745"/>
    </row>
    <row r="96" spans="1:7" x14ac:dyDescent="0.2">
      <c r="A96" s="741" t="s">
        <v>139</v>
      </c>
      <c r="B96" s="741" t="s">
        <v>174</v>
      </c>
      <c r="C96" s="743">
        <v>1700</v>
      </c>
      <c r="D96" s="751" t="str">
        <f>'Revenues 9-14'!A82</f>
        <v>Total District/School Activity Income</v>
      </c>
      <c r="E96" s="739"/>
      <c r="F96" s="1782">
        <f>SUM('Revenues 9-14'!C82,'Revenues 9-14'!D82)</f>
        <v>747922</v>
      </c>
      <c r="G96" s="745"/>
    </row>
    <row r="97" spans="1:7" x14ac:dyDescent="0.2">
      <c r="A97" s="741" t="s">
        <v>456</v>
      </c>
      <c r="B97" s="741" t="s">
        <v>175</v>
      </c>
      <c r="C97" s="743">
        <f>'Revenues 9-14'!B84</f>
        <v>1811</v>
      </c>
      <c r="D97" s="744" t="str">
        <f>'Revenues 9-14'!A84</f>
        <v>Rentals - Regular Textbooks</v>
      </c>
      <c r="E97" s="739"/>
      <c r="F97" s="1782">
        <f>'Revenues 9-14'!C84</f>
        <v>0</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73407</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105592</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70654</v>
      </c>
      <c r="G105" s="745"/>
    </row>
    <row r="106" spans="1:7" x14ac:dyDescent="0.2">
      <c r="A106" s="741" t="s">
        <v>500</v>
      </c>
      <c r="B106" s="741" t="s">
        <v>1904</v>
      </c>
      <c r="C106" s="746">
        <v>3100</v>
      </c>
      <c r="D106" s="752" t="str">
        <f>'Revenues 9-14'!A132</f>
        <v>Total Special Education</v>
      </c>
      <c r="E106" s="739"/>
      <c r="F106" s="1782">
        <f>SUM('Revenues 9-14'!C132:D132,'Revenues 9-14'!F132)</f>
        <v>728606</v>
      </c>
      <c r="G106" s="745"/>
    </row>
    <row r="107" spans="1:7" x14ac:dyDescent="0.2">
      <c r="A107" s="741" t="s">
        <v>668</v>
      </c>
      <c r="B107" s="741" t="s">
        <v>1905</v>
      </c>
      <c r="C107" s="753">
        <v>3200</v>
      </c>
      <c r="D107" s="744" t="str">
        <f>'Revenues 9-14'!A141</f>
        <v>Total Career and Technical Education</v>
      </c>
      <c r="E107" s="739"/>
      <c r="F107" s="1782">
        <f>SUM('Revenues 9-14'!C141,'Revenues 9-14'!D141,'Revenues 9-14'!G141)</f>
        <v>55399</v>
      </c>
      <c r="G107" s="745"/>
    </row>
    <row r="108" spans="1:7" x14ac:dyDescent="0.2">
      <c r="A108" s="754" t="s">
        <v>659</v>
      </c>
      <c r="B108" s="741" t="s">
        <v>1906</v>
      </c>
      <c r="C108" s="753">
        <v>3300</v>
      </c>
      <c r="D108" s="744" t="str">
        <f>'Revenues 9-14'!A145</f>
        <v>Total Bilingual Ed</v>
      </c>
      <c r="E108" s="739"/>
      <c r="F108" s="1782">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82">
        <f>'Revenues 9-14'!C146</f>
        <v>3023</v>
      </c>
      <c r="G109" s="745"/>
    </row>
    <row r="110" spans="1:7" x14ac:dyDescent="0.2">
      <c r="A110" s="741" t="s">
        <v>668</v>
      </c>
      <c r="B110" s="741" t="s">
        <v>1908</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82">
        <f>SUM('Revenues 9-14'!C148,'Revenues 9-14'!D148)</f>
        <v>38424</v>
      </c>
      <c r="G111" s="745"/>
    </row>
    <row r="112" spans="1:7" x14ac:dyDescent="0.2">
      <c r="A112" s="741" t="s">
        <v>663</v>
      </c>
      <c r="B112" s="741" t="s">
        <v>1910</v>
      </c>
      <c r="C112" s="755">
        <v>3500</v>
      </c>
      <c r="D112" s="744" t="str">
        <f>'Revenues 9-14'!A155</f>
        <v>Total Transportation</v>
      </c>
      <c r="E112" s="739"/>
      <c r="F112" s="1782">
        <f>SUM('Revenues 9-14'!C155,'Revenues 9-14'!D155,'Revenues 9-14'!F155,'Revenues 9-14'!G155)</f>
        <v>765359</v>
      </c>
      <c r="G112" s="745"/>
    </row>
    <row r="113" spans="1:7" x14ac:dyDescent="0.2">
      <c r="A113" s="741" t="s">
        <v>456</v>
      </c>
      <c r="B113" s="741" t="s">
        <v>1911</v>
      </c>
      <c r="C113" s="753">
        <f>'Revenues 9-14'!B156</f>
        <v>3610</v>
      </c>
      <c r="D113" s="744" t="str">
        <f>'Revenues 9-14'!A156</f>
        <v>Learning Improvement - Change Grants</v>
      </c>
      <c r="E113" s="739"/>
      <c r="F113" s="1782">
        <f>'Revenues 9-14'!C156</f>
        <v>0</v>
      </c>
      <c r="G113" s="745"/>
    </row>
    <row r="114" spans="1:7" x14ac:dyDescent="0.2">
      <c r="A114" s="741" t="s">
        <v>663</v>
      </c>
      <c r="B114" s="741" t="s">
        <v>1912</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81">
        <f>SUM('Revenues 9-14'!C163:G163)</f>
        <v>0</v>
      </c>
      <c r="G119" s="745"/>
    </row>
    <row r="120" spans="1:7" x14ac:dyDescent="0.2">
      <c r="A120" s="756" t="s">
        <v>501</v>
      </c>
      <c r="B120" s="756" t="s">
        <v>1918</v>
      </c>
      <c r="C120" s="757">
        <f>'Revenues 9-14'!B164</f>
        <v>3815</v>
      </c>
      <c r="D120" s="758" t="str">
        <f>'Revenues 9-14'!A164</f>
        <v>State Charter Schools</v>
      </c>
      <c r="E120" s="739"/>
      <c r="F120" s="1781">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82">
        <f>'Revenues 9-14'!D167</f>
        <v>50000</v>
      </c>
      <c r="G121" s="763"/>
    </row>
    <row r="122" spans="1:7" x14ac:dyDescent="0.2">
      <c r="A122" s="760" t="s">
        <v>497</v>
      </c>
      <c r="B122" s="760" t="s">
        <v>1920</v>
      </c>
      <c r="C122" s="761">
        <f>'Revenues 9-14'!B168</f>
        <v>3999</v>
      </c>
      <c r="D122" s="762" t="s">
        <v>540</v>
      </c>
      <c r="E122" s="764"/>
      <c r="F122" s="1782">
        <f>SUM('Revenues 9-14'!C168:G168,'Revenues 9-14'!J168)</f>
        <v>12444</v>
      </c>
      <c r="G122" s="763"/>
    </row>
    <row r="123" spans="1:7" x14ac:dyDescent="0.2">
      <c r="A123" s="760" t="s">
        <v>456</v>
      </c>
      <c r="B123" s="760" t="s">
        <v>1921</v>
      </c>
      <c r="C123" s="765">
        <f>'Revenues 9-14'!B177</f>
        <v>4045</v>
      </c>
      <c r="D123" s="762" t="str">
        <f>'Revenues 9-14'!A177 &amp; " (Subtract)"</f>
        <v>Head Start (Subtract)</v>
      </c>
      <c r="E123" s="739"/>
      <c r="F123" s="1782">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1923</v>
      </c>
      <c r="C125" s="765">
        <v>4100</v>
      </c>
      <c r="D125" s="766" t="str">
        <f>'Revenues 9-14'!A188</f>
        <v>Total Title V</v>
      </c>
      <c r="E125" s="739"/>
      <c r="F125" s="1782">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82">
        <f>SUM('Revenues 9-14'!C198,'Revenues 9-14'!G198)</f>
        <v>237871</v>
      </c>
      <c r="G126" s="763"/>
    </row>
    <row r="127" spans="1:7" x14ac:dyDescent="0.2">
      <c r="A127" s="760" t="s">
        <v>663</v>
      </c>
      <c r="B127" s="760" t="s">
        <v>1925</v>
      </c>
      <c r="C127" s="765">
        <v>4300</v>
      </c>
      <c r="D127" s="766" t="str">
        <f>'Revenues 9-14'!A204</f>
        <v>Total Title I</v>
      </c>
      <c r="E127" s="739"/>
      <c r="F127" s="1782">
        <f>SUM('Revenues 9-14'!C204,'Revenues 9-14'!D204,'Revenues 9-14'!F204,'Revenues 9-14'!G204)</f>
        <v>280935</v>
      </c>
      <c r="G127" s="763"/>
    </row>
    <row r="128" spans="1:7" x14ac:dyDescent="0.2">
      <c r="A128" s="760" t="s">
        <v>663</v>
      </c>
      <c r="B128" s="760" t="s">
        <v>1926</v>
      </c>
      <c r="C128" s="765">
        <v>4400</v>
      </c>
      <c r="D128" s="766" t="str">
        <f>'Revenues 9-14'!A209</f>
        <v>Total Title IV</v>
      </c>
      <c r="E128" s="739"/>
      <c r="F128" s="1782">
        <f>SUM('Revenues 9-14'!C209,'Revenues 9-14'!D209,'Revenues 9-14'!F209,'Revenues 9-14'!G209)</f>
        <v>0</v>
      </c>
      <c r="G128" s="763"/>
    </row>
    <row r="129" spans="1:7" x14ac:dyDescent="0.2">
      <c r="A129" s="760" t="s">
        <v>663</v>
      </c>
      <c r="B129" s="760" t="s">
        <v>1927</v>
      </c>
      <c r="C129" s="765">
        <f>'Revenues 9-14'!B213</f>
        <v>4620</v>
      </c>
      <c r="D129" s="766" t="str">
        <f>'Revenues 9-14'!A213</f>
        <v>Fed - Spec Education - IDEA - Flow Through</v>
      </c>
      <c r="E129" s="739"/>
      <c r="F129" s="1782">
        <f>SUM('Revenues 9-14'!C213:D213,'Revenues 9-14'!F213:G213)</f>
        <v>503907</v>
      </c>
      <c r="G129" s="763"/>
    </row>
    <row r="130" spans="1:7" x14ac:dyDescent="0.2">
      <c r="A130" s="760" t="s">
        <v>663</v>
      </c>
      <c r="B130" s="760" t="s">
        <v>1928</v>
      </c>
      <c r="C130" s="765">
        <f>'Revenues 9-14'!B214</f>
        <v>4625</v>
      </c>
      <c r="D130" s="766" t="str">
        <f>'Revenues 9-14'!A214</f>
        <v>Fed - Spec Education - IDEA - Room &amp; Board</v>
      </c>
      <c r="E130" s="739"/>
      <c r="F130" s="1782">
        <f>SUM('Revenues 9-14'!C214,'Revenues 9-14'!D214,'Revenues 9-14'!F214,'Revenues 9-14'!G214)</f>
        <v>317642</v>
      </c>
      <c r="G130" s="763"/>
    </row>
    <row r="131" spans="1:7" x14ac:dyDescent="0.2">
      <c r="A131" s="760" t="s">
        <v>663</v>
      </c>
      <c r="B131" s="760" t="s">
        <v>1929</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1930</v>
      </c>
      <c r="C133" s="765">
        <v>4700</v>
      </c>
      <c r="D133" s="762" t="str">
        <f>'Revenues 9-14'!A221</f>
        <v>Total CTE - Perkins</v>
      </c>
      <c r="E133" s="739"/>
      <c r="F133" s="1782">
        <f>SUM('Revenues 9-14'!C221,'Revenues 9-14'!D221,'Revenues 9-14'!G221)</f>
        <v>47483</v>
      </c>
      <c r="G133" s="763">
        <v>6303</v>
      </c>
    </row>
    <row r="134" spans="1:7" s="703" customFormat="1" hidden="1" x14ac:dyDescent="0.2">
      <c r="A134" s="767" t="s">
        <v>204</v>
      </c>
      <c r="B134" s="767" t="s">
        <v>1931</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82">
        <v>0</v>
      </c>
      <c r="G139" s="738"/>
    </row>
    <row r="140" spans="1:7" s="703" customFormat="1" hidden="1" x14ac:dyDescent="0.2">
      <c r="A140" s="767" t="s">
        <v>204</v>
      </c>
      <c r="B140" s="767" t="s">
        <v>1937</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1945</v>
      </c>
      <c r="C158" s="773" t="s">
        <v>835</v>
      </c>
      <c r="D158" s="774" t="s">
        <v>771</v>
      </c>
      <c r="E158" s="775"/>
      <c r="F158" s="1782">
        <f>SUM(F134:F157)</f>
        <v>0</v>
      </c>
      <c r="G158" s="738"/>
    </row>
    <row r="159" spans="1:7" s="703" customFormat="1" x14ac:dyDescent="0.2">
      <c r="A159" s="771" t="s">
        <v>456</v>
      </c>
      <c r="B159" s="772" t="s">
        <v>1946</v>
      </c>
      <c r="C159" s="773" t="s">
        <v>1407</v>
      </c>
      <c r="D159" s="774" t="s">
        <v>1408</v>
      </c>
      <c r="E159" s="775"/>
      <c r="F159" s="1782">
        <f>SUM('Revenues 9-14'!C253)</f>
        <v>0</v>
      </c>
      <c r="G159" s="738"/>
    </row>
    <row r="160" spans="1:7" s="703" customFormat="1" x14ac:dyDescent="0.2">
      <c r="A160" s="771" t="s">
        <v>497</v>
      </c>
      <c r="B160" s="772" t="s">
        <v>1947</v>
      </c>
      <c r="C160" s="773" t="s">
        <v>1446</v>
      </c>
      <c r="D160" s="774" t="s">
        <v>1447</v>
      </c>
      <c r="E160" s="775"/>
      <c r="F160" s="1782">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1950</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81">
        <f>SUM('Revenues 9-14'!C259,'Revenues 9-14'!D259,'Revenues 9-14'!F259,'Revenues 9-14'!G259)</f>
        <v>69869</v>
      </c>
      <c r="G165" s="763"/>
    </row>
    <row r="166" spans="1:7" x14ac:dyDescent="0.2">
      <c r="A166" s="760" t="s">
        <v>663</v>
      </c>
      <c r="B166" s="760" t="s">
        <v>1953</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82">
        <f>SUM('Revenues 9-14'!C263:D263,'Revenues 9-14'!F263:G263)</f>
        <v>17055</v>
      </c>
      <c r="G169" s="780">
        <v>6320</v>
      </c>
    </row>
    <row r="170" spans="1:7" x14ac:dyDescent="0.2">
      <c r="A170" s="760" t="s">
        <v>663</v>
      </c>
      <c r="B170" s="760" t="s">
        <v>1955</v>
      </c>
      <c r="C170" s="765">
        <f>'Revenues 9-14'!B264</f>
        <v>4992</v>
      </c>
      <c r="D170" s="766" t="str">
        <f>'Revenues 9-14'!A264</f>
        <v>Medicaid Matching Funds - Fee-for-Service Program</v>
      </c>
      <c r="E170" s="739"/>
      <c r="F170" s="1782">
        <f>SUM('Revenues 9-14'!C264:D264,'Revenues 9-14'!F264:G264)</f>
        <v>97955</v>
      </c>
      <c r="G170" s="780"/>
    </row>
    <row r="171" spans="1:7" x14ac:dyDescent="0.2">
      <c r="A171" s="781" t="s">
        <v>663</v>
      </c>
      <c r="B171" s="777" t="s">
        <v>1956</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1879</v>
      </c>
      <c r="C172" s="1524">
        <v>3100</v>
      </c>
      <c r="D172" s="1525" t="s">
        <v>1881</v>
      </c>
      <c r="E172" s="739"/>
      <c r="F172" s="1783">
        <v>772433</v>
      </c>
      <c r="G172" s="760"/>
    </row>
    <row r="173" spans="1:7" x14ac:dyDescent="0.2">
      <c r="A173" s="1522" t="s">
        <v>659</v>
      </c>
      <c r="B173" s="1523" t="s">
        <v>1879</v>
      </c>
      <c r="C173" s="1524">
        <v>3300</v>
      </c>
      <c r="D173" s="1525" t="s">
        <v>1882</v>
      </c>
      <c r="E173" s="739"/>
      <c r="F173" s="1783">
        <v>26081</v>
      </c>
      <c r="G173" s="760"/>
    </row>
    <row r="174" spans="1:7" ht="6" customHeight="1" x14ac:dyDescent="0.2">
      <c r="A174" s="760"/>
      <c r="B174" s="760"/>
      <c r="C174" s="782"/>
      <c r="D174" s="760"/>
      <c r="E174" s="739"/>
      <c r="F174" s="1784"/>
      <c r="G174" s="780"/>
    </row>
    <row r="175" spans="1:7" x14ac:dyDescent="0.2">
      <c r="A175" s="1436"/>
      <c r="B175" s="1446"/>
      <c r="C175" s="1447"/>
      <c r="D175" s="1448" t="s">
        <v>2010</v>
      </c>
      <c r="E175" s="1449" t="s">
        <v>951</v>
      </c>
      <c r="F175" s="1785">
        <f>SUM(F85:F133,F158:F173)</f>
        <v>5402672</v>
      </c>
    </row>
    <row r="176" spans="1:7" ht="12" customHeight="1" x14ac:dyDescent="0.2">
      <c r="A176" s="1436"/>
      <c r="B176" s="1446"/>
      <c r="C176" s="1447"/>
      <c r="D176" s="1448" t="s">
        <v>2008</v>
      </c>
      <c r="E176" s="1449"/>
      <c r="F176" s="1782">
        <f>'PCTC-OEPP 27-28'!F78-F175</f>
        <v>24482980</v>
      </c>
    </row>
    <row r="177" spans="1:9" ht="12" customHeight="1" x14ac:dyDescent="0.2">
      <c r="A177" s="1436"/>
      <c r="B177" s="1446"/>
      <c r="C177" s="1447"/>
      <c r="D177" s="1448" t="s">
        <v>1788</v>
      </c>
      <c r="E177" s="1449"/>
      <c r="F177" s="1782">
        <f>'Cap Outlay Deprec 26'!I18</f>
        <v>906566.7</v>
      </c>
    </row>
    <row r="178" spans="1:9" ht="12" customHeight="1" x14ac:dyDescent="0.2">
      <c r="A178" s="1436"/>
      <c r="B178" s="1446"/>
      <c r="C178" s="1447"/>
      <c r="D178" s="1448" t="s">
        <v>2009</v>
      </c>
      <c r="E178" s="1449"/>
      <c r="F178" s="1782">
        <f>F176+F177</f>
        <v>25389546.699999999</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1872.3</v>
      </c>
      <c r="G179" s="763"/>
      <c r="I179" s="701"/>
    </row>
    <row r="180" spans="1:9" ht="12" customHeight="1" thickBot="1" x14ac:dyDescent="0.25">
      <c r="A180" s="1436"/>
      <c r="B180" s="1450"/>
      <c r="C180" s="1447"/>
      <c r="D180" s="1448" t="s">
        <v>2011</v>
      </c>
      <c r="E180" s="1449" t="s">
        <v>1525</v>
      </c>
      <c r="F180" s="1787">
        <f>F178/F179</f>
        <v>13560.61886449821</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1884</v>
      </c>
      <c r="B186" s="1529"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9"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pageSetUpPr fitToPage="1"/>
  </sheetPr>
  <dimension ref="A1:G142"/>
  <sheetViews>
    <sheetView showGridLines="0" topLeftCell="A10" zoomScaleNormal="100" workbookViewId="0">
      <selection activeCell="B19" sqref="B19"/>
    </sheetView>
  </sheetViews>
  <sheetFormatPr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1801</v>
      </c>
      <c r="B1" s="1847"/>
      <c r="C1" s="1848"/>
      <c r="D1" s="1848"/>
      <c r="E1" s="1848"/>
      <c r="F1" s="1848"/>
    </row>
    <row r="2" spans="1:6" x14ac:dyDescent="0.25">
      <c r="A2" s="1850"/>
      <c r="B2" s="1851"/>
      <c r="C2" s="1899" t="s">
        <v>1997</v>
      </c>
      <c r="D2" s="1850"/>
      <c r="E2" s="1850"/>
      <c r="F2" s="1850"/>
    </row>
    <row r="3" spans="1:6" ht="5.25" customHeight="1" x14ac:dyDescent="0.25">
      <c r="A3" s="1852"/>
      <c r="B3" s="1853"/>
      <c r="C3" s="1852"/>
      <c r="D3" s="1852"/>
      <c r="E3" s="1852"/>
      <c r="F3" s="1852"/>
    </row>
    <row r="4" spans="1:6" ht="18.75" customHeight="1" x14ac:dyDescent="0.25">
      <c r="A4" s="2581" t="s">
        <v>1789</v>
      </c>
      <c r="B4" s="2582"/>
      <c r="C4" s="2582"/>
      <c r="D4" s="2582"/>
      <c r="E4" s="2582"/>
      <c r="F4" s="2583"/>
    </row>
    <row r="5" spans="1:6" x14ac:dyDescent="0.25">
      <c r="A5" s="2584"/>
      <c r="B5" s="2585"/>
      <c r="C5" s="2585"/>
      <c r="D5" s="2585"/>
      <c r="E5" s="2585"/>
      <c r="F5" s="2586"/>
    </row>
    <row r="6" spans="1:6" ht="18.75" x14ac:dyDescent="0.25">
      <c r="A6" s="1854" t="s">
        <v>1790</v>
      </c>
      <c r="B6" s="1855"/>
      <c r="C6" s="1856"/>
      <c r="D6" s="1856"/>
      <c r="E6" s="1856"/>
      <c r="F6" s="1857"/>
    </row>
    <row r="7" spans="1:6" ht="47.25" customHeight="1" x14ac:dyDescent="0.25">
      <c r="A7" s="2587" t="s">
        <v>1979</v>
      </c>
      <c r="B7" s="2588"/>
      <c r="C7" s="2588"/>
      <c r="D7" s="2588"/>
      <c r="E7" s="2588"/>
      <c r="F7" s="2589"/>
    </row>
    <row r="8" spans="1:6" ht="20.25" customHeight="1" x14ac:dyDescent="0.25">
      <c r="A8" s="1889" t="s">
        <v>1981</v>
      </c>
      <c r="B8" s="1890"/>
      <c r="C8" s="1890"/>
      <c r="D8" s="1890"/>
      <c r="E8" s="1858"/>
      <c r="F8" s="1859"/>
    </row>
    <row r="9" spans="1:6" ht="18" customHeight="1" x14ac:dyDescent="0.25">
      <c r="A9" s="1860" t="s">
        <v>1978</v>
      </c>
      <c r="B9" s="1862"/>
      <c r="C9" s="1862"/>
      <c r="D9" s="1862"/>
      <c r="E9" s="1858"/>
      <c r="F9" s="1859"/>
    </row>
    <row r="10" spans="1:6" ht="15.75" customHeight="1" x14ac:dyDescent="0.25">
      <c r="A10" s="2590" t="s">
        <v>1975</v>
      </c>
      <c r="B10" s="2591"/>
      <c r="C10" s="2591"/>
      <c r="D10" s="2591"/>
      <c r="E10" s="2591"/>
      <c r="F10" s="2592"/>
    </row>
    <row r="11" spans="1:6" ht="33" customHeight="1" x14ac:dyDescent="0.25">
      <c r="A11" s="2587" t="s">
        <v>1980</v>
      </c>
      <c r="B11" s="2588"/>
      <c r="C11" s="2588"/>
      <c r="D11" s="2588"/>
      <c r="E11" s="2588"/>
      <c r="F11" s="2589"/>
    </row>
    <row r="12" spans="1:6" ht="15" customHeight="1" x14ac:dyDescent="0.25">
      <c r="A12" s="1860" t="s">
        <v>1976</v>
      </c>
      <c r="B12" s="1861"/>
      <c r="C12" s="1862"/>
      <c r="D12" s="1862"/>
      <c r="E12" s="1862"/>
      <c r="F12" s="1863"/>
    </row>
    <row r="13" spans="1:6" ht="17.25" customHeight="1" x14ac:dyDescent="0.25">
      <c r="A13" s="2587" t="s">
        <v>1977</v>
      </c>
      <c r="B13" s="2588"/>
      <c r="C13" s="2588"/>
      <c r="D13" s="2588"/>
      <c r="E13" s="2588"/>
      <c r="F13" s="2589"/>
    </row>
    <row r="14" spans="1:6" ht="15" customHeight="1" x14ac:dyDescent="0.25">
      <c r="A14" s="1860" t="s">
        <v>1794</v>
      </c>
      <c r="B14" s="1861"/>
      <c r="C14" s="1862"/>
      <c r="D14" s="1862"/>
      <c r="E14" s="1862"/>
      <c r="F14" s="1863"/>
    </row>
    <row r="15" spans="1:6" ht="32.25" customHeight="1" x14ac:dyDescent="0.25">
      <c r="A15" s="257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579"/>
      <c r="C15" s="2579"/>
      <c r="D15" s="2579"/>
      <c r="E15" s="2579"/>
      <c r="F15" s="2580"/>
    </row>
    <row r="16" spans="1:6" ht="61.5" customHeight="1" x14ac:dyDescent="0.25">
      <c r="A16" s="1864" t="s">
        <v>1795</v>
      </c>
      <c r="B16" s="1865" t="s">
        <v>1796</v>
      </c>
      <c r="C16" s="1864" t="s">
        <v>1797</v>
      </c>
      <c r="D16" s="1866" t="s">
        <v>1798</v>
      </c>
      <c r="E16" s="1866" t="s">
        <v>1799</v>
      </c>
      <c r="F16" s="1866" t="s">
        <v>1800</v>
      </c>
    </row>
    <row r="17" spans="1:7" x14ac:dyDescent="0.25">
      <c r="A17" s="1867" t="s">
        <v>1802</v>
      </c>
      <c r="B17" s="1894" t="s">
        <v>1793</v>
      </c>
      <c r="C17" s="1868" t="s">
        <v>1791</v>
      </c>
      <c r="D17" s="1869">
        <v>500000</v>
      </c>
      <c r="E17" s="1869" t="str">
        <f>IF(D17&lt;25000,D17,"25,000")</f>
        <v>25,000</v>
      </c>
      <c r="F17" s="1870">
        <f>IF(D17&gt;=25000,(D17-E17),"0")</f>
        <v>475000</v>
      </c>
    </row>
    <row r="18" spans="1:7" x14ac:dyDescent="0.25">
      <c r="A18" s="2233" t="s">
        <v>2126</v>
      </c>
      <c r="B18" s="2234">
        <v>101000300</v>
      </c>
      <c r="C18" s="2235" t="s">
        <v>2127</v>
      </c>
      <c r="D18" s="2236">
        <v>88046</v>
      </c>
      <c r="E18" s="1893" t="str">
        <f t="shared" ref="E18:E81" si="0">IF(D18&lt;25000,D18,"25,000")</f>
        <v>25,000</v>
      </c>
      <c r="F18" s="1893">
        <f t="shared" ref="F18:F81" si="1">IF(D18&gt;=25000,(D18-E18),"0")</f>
        <v>63046</v>
      </c>
      <c r="G18" s="1874"/>
    </row>
    <row r="19" spans="1:7" x14ac:dyDescent="0.25">
      <c r="A19" s="2233" t="s">
        <v>2128</v>
      </c>
      <c r="B19" s="2234">
        <v>202540300</v>
      </c>
      <c r="C19" s="2235" t="s">
        <v>2129</v>
      </c>
      <c r="D19" s="2236">
        <v>16729</v>
      </c>
      <c r="E19" s="1893">
        <f t="shared" si="0"/>
        <v>16729</v>
      </c>
      <c r="F19" s="1893" t="str">
        <f t="shared" si="1"/>
        <v>0</v>
      </c>
    </row>
    <row r="20" spans="1:7" x14ac:dyDescent="0.25">
      <c r="A20" s="1875"/>
      <c r="B20" s="1895"/>
      <c r="C20" s="1872"/>
      <c r="D20" s="1873"/>
      <c r="E20" s="1893">
        <f t="shared" si="0"/>
        <v>0</v>
      </c>
      <c r="F20" s="1893" t="str">
        <f t="shared" si="1"/>
        <v>0</v>
      </c>
    </row>
    <row r="21" spans="1:7" x14ac:dyDescent="0.25">
      <c r="A21" s="1875"/>
      <c r="B21" s="1895"/>
      <c r="C21" s="1872"/>
      <c r="D21" s="1873"/>
      <c r="E21" s="1893">
        <f t="shared" si="0"/>
        <v>0</v>
      </c>
      <c r="F21" s="1893" t="str">
        <f t="shared" si="1"/>
        <v>0</v>
      </c>
    </row>
    <row r="22" spans="1:7" x14ac:dyDescent="0.25">
      <c r="A22" s="1875"/>
      <c r="B22" s="1895"/>
      <c r="C22" s="1872"/>
      <c r="D22" s="1873"/>
      <c r="E22" s="1893">
        <f t="shared" si="0"/>
        <v>0</v>
      </c>
      <c r="F22" s="1893" t="str">
        <f t="shared" si="1"/>
        <v>0</v>
      </c>
    </row>
    <row r="23" spans="1:7" x14ac:dyDescent="0.25">
      <c r="A23" s="1875"/>
      <c r="B23" s="1895"/>
      <c r="C23" s="1872"/>
      <c r="D23" s="1873"/>
      <c r="E23" s="1893">
        <f t="shared" si="0"/>
        <v>0</v>
      </c>
      <c r="F23" s="1893" t="str">
        <f t="shared" si="1"/>
        <v>0</v>
      </c>
    </row>
    <row r="24" spans="1:7" x14ac:dyDescent="0.25">
      <c r="A24" s="1875"/>
      <c r="B24" s="1895"/>
      <c r="C24" s="1872"/>
      <c r="D24" s="1873"/>
      <c r="E24" s="1893">
        <f t="shared" si="0"/>
        <v>0</v>
      </c>
      <c r="F24" s="1893" t="str">
        <f t="shared" si="1"/>
        <v>0</v>
      </c>
    </row>
    <row r="25" spans="1:7" x14ac:dyDescent="0.25">
      <c r="A25" s="1875"/>
      <c r="B25" s="1895"/>
      <c r="C25" s="1872"/>
      <c r="D25" s="1873"/>
      <c r="E25" s="1893">
        <f t="shared" si="0"/>
        <v>0</v>
      </c>
      <c r="F25" s="1893" t="str">
        <f t="shared" si="1"/>
        <v>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104775</v>
      </c>
      <c r="E142" s="1880">
        <f>SUM(E18:E141)</f>
        <v>16729</v>
      </c>
      <c r="F142" s="1881">
        <f>SUM(F18:F141)</f>
        <v>63046</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FF00"/>
  </sheetPr>
  <dimension ref="A1:M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593" t="s">
        <v>1657</v>
      </c>
      <c r="B5" s="2594"/>
      <c r="C5" s="2594"/>
      <c r="D5" s="2594"/>
      <c r="E5" s="2594"/>
      <c r="F5" s="2594"/>
      <c r="G5" s="2595"/>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1888</v>
      </c>
      <c r="B10" s="803"/>
      <c r="C10" s="807"/>
      <c r="D10" s="804"/>
      <c r="E10" s="1789"/>
      <c r="F10" s="805"/>
      <c r="G10" s="806"/>
      <c r="H10" s="157"/>
      <c r="I10" s="157"/>
    </row>
    <row r="11" spans="1:13" s="542" customFormat="1" ht="22.5" customHeight="1" x14ac:dyDescent="0.2">
      <c r="A11" s="259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99"/>
      <c r="C11" s="2599"/>
      <c r="D11" s="2600"/>
      <c r="E11" s="1790">
        <v>52244</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17929138</v>
      </c>
      <c r="F19" s="1791"/>
      <c r="G19" s="1793">
        <f>'Expenditures 15-22'!K33-SUM('Expenditures 15-22'!G33,'Expenditures 15-22'!I33)+'Expenditures 15-22'!D229</f>
        <v>17929138</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1720391</v>
      </c>
      <c r="F21" s="1794"/>
      <c r="G21" s="1797">
        <f>'Expenditures 15-22'!K42-SUM('Expenditures 15-22'!G42,'Expenditures 15-22'!I42)+'Expenditures 15-22'!K120-SUM('Expenditures 15-22'!G120,'Expenditures 15-22'!I120)+'Expenditures 15-22'!K180-SUM('Expenditures 15-22'!G180,'Expenditures 15-22'!I180)+'Expenditures 15-22'!D238</f>
        <v>1720391</v>
      </c>
      <c r="H21" s="817"/>
      <c r="I21" s="157"/>
    </row>
    <row r="22" spans="1:9" s="542" customFormat="1" ht="12" customHeight="1" x14ac:dyDescent="0.2">
      <c r="A22" s="824" t="s">
        <v>560</v>
      </c>
      <c r="B22" s="825"/>
      <c r="C22" s="823">
        <v>2200</v>
      </c>
      <c r="D22" s="1794"/>
      <c r="E22" s="1796">
        <f>'Expenditures 15-22'!K47-SUM('Expenditures 15-22'!G47,'Expenditures 15-22'!I47)+'Expenditures 15-22'!D243</f>
        <v>2243875</v>
      </c>
      <c r="F22" s="1794"/>
      <c r="G22" s="1797">
        <f>'Expenditures 15-22'!K47-SUM('Expenditures 15-22'!G47,'Expenditures 15-22'!I47)+'Expenditures 15-22'!D243</f>
        <v>2243875</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1025120</v>
      </c>
      <c r="F23" s="1794"/>
      <c r="G23" s="1796">
        <f>'Expenditures 15-22'!K53-SUM('Expenditures 15-22'!G53,'Expenditures 15-22'!I53)+'Expenditures 15-22'!D257+'Expenditures 15-22'!K330-SUM('Expenditures 15-22'!G330,'Expenditures 15-22'!I330)</f>
        <v>1025120</v>
      </c>
      <c r="H23" s="817"/>
      <c r="I23" s="157"/>
    </row>
    <row r="24" spans="1:9" s="542" customFormat="1" ht="12" customHeight="1" x14ac:dyDescent="0.2">
      <c r="A24" s="824" t="s">
        <v>562</v>
      </c>
      <c r="B24" s="825"/>
      <c r="C24" s="823">
        <v>2400</v>
      </c>
      <c r="D24" s="1794"/>
      <c r="E24" s="1796">
        <f>'Expenditures 15-22'!K57-SUM('Expenditures 15-22'!G57,'Expenditures 15-22'!I57)+'Expenditures 15-22'!D261</f>
        <v>1655498</v>
      </c>
      <c r="F24" s="1794"/>
      <c r="G24" s="1797">
        <f>'Expenditures 15-22'!K57-SUM('Expenditures 15-22'!G57,'Expenditures 15-22'!I57)+'Expenditures 15-22'!D261</f>
        <v>1655498</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236670</v>
      </c>
      <c r="E26" s="1796">
        <f>'Expenditures 15-22'!K122-SUM('Expenditures 15-22'!G122,'Expenditures 15-22'!I122)+E7</f>
        <v>0</v>
      </c>
      <c r="F26" s="1796">
        <f>'Expenditures 15-22'!K59-SUM('Expenditures 15-22'!G59,'Expenditures 15-22'!I59)+'Expenditures 15-22'!D263-E7</f>
        <v>236670</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202212</v>
      </c>
      <c r="E27" s="1796">
        <f>E8</f>
        <v>0</v>
      </c>
      <c r="F27" s="1796">
        <f>'Expenditures 15-22'!K60-SUM('Expenditures 15-22'!G60,'Expenditures 15-22'!I60)+'Expenditures 15-22'!D264-E8</f>
        <v>202212</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2961132</v>
      </c>
      <c r="F28" s="1798">
        <f>'Expenditures 15-22'!K61-SUM('Expenditures 15-22'!G61,'Expenditures 15-22'!I61)+'Expenditures 15-22'!K124-SUM('Expenditures 15-22'!G124,'Expenditures 15-22'!I124)+'Expenditures 15-22'!D266-E9</f>
        <v>2961132</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1436087</v>
      </c>
      <c r="F29" s="1794"/>
      <c r="G29" s="1797">
        <f>'Expenditures 15-22'!K62-SUM('Expenditures 15-22'!G62,'Expenditures 15-22'!I62)+'Expenditures 15-22'!K125-SUM('Expenditures 15-22'!G125,'Expenditures 15-22'!I125)+'Expenditures 15-22'!K182-SUM('Expenditures 15-22'!G182,'Expenditures 15-22'!I182)+'Expenditures 15-22'!D267</f>
        <v>1436087</v>
      </c>
      <c r="H29" s="815"/>
    </row>
    <row r="30" spans="1:9" ht="12" customHeight="1" x14ac:dyDescent="0.2">
      <c r="A30" s="824" t="s">
        <v>100</v>
      </c>
      <c r="B30" s="827"/>
      <c r="C30" s="823">
        <v>2560</v>
      </c>
      <c r="D30" s="1794"/>
      <c r="E30" s="1796">
        <f>'Expenditures 15-22'!K63-SUM('Expenditures 15-22'!G63,'Expenditures 15-22'!I63)+'Expenditures 15-22'!D268-E10</f>
        <v>566146</v>
      </c>
      <c r="F30" s="1794"/>
      <c r="G30" s="1796">
        <f>'Expenditures 15-22'!K63-SUM('Expenditures 15-22'!G63,'Expenditures 15-22'!I63)+'Expenditures 15-22'!D268-E10</f>
        <v>566146</v>
      </c>
    </row>
    <row r="31" spans="1:9" ht="12" customHeight="1" x14ac:dyDescent="0.2">
      <c r="A31" s="824" t="s">
        <v>101</v>
      </c>
      <c r="B31" s="827"/>
      <c r="C31" s="823">
        <v>2570</v>
      </c>
      <c r="D31" s="1796">
        <f>'Expenditures 15-22'!K64-SUM('Expenditures 15-22'!G64,'Expenditures 15-22'!I64)+'Expenditures 15-22'!D269-E12</f>
        <v>69086</v>
      </c>
      <c r="E31" s="1796">
        <f>E12</f>
        <v>0</v>
      </c>
      <c r="F31" s="1796">
        <f>'Expenditures 15-22'!K64-SUM('Expenditures 15-22'!G64,'Expenditures 15-22'!I64)+'Expenditures 15-22'!D269-E12</f>
        <v>69086</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972</v>
      </c>
      <c r="F38" s="1794"/>
      <c r="G38" s="1796">
        <f>'Expenditures 15-22'!K73-SUM('Expenditures 15-22'!G73,'Expenditures 15-22'!I73)+'Expenditures 15-22'!K128-SUM('Expenditures 15-22'!G128,'Expenditures 15-22'!I128)+'Expenditures 15-22'!K183-SUM('Expenditures 15-22'!G183,'Expenditures 15-22'!I183)+'Expenditures 15-22'!D278</f>
        <v>972</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183926</v>
      </c>
      <c r="F39" s="1794"/>
      <c r="G39" s="1796">
        <f>'Expenditures 15-22'!K75-SUM('Expenditures 15-22'!G75,'Expenditures 15-22'!I75)+'Expenditures 15-22'!K130-SUM('Expenditures 15-22'!G130,'Expenditures 15-22'!I130)+'Expenditures 15-22'!K185-SUM('Expenditures 15-22'!G185,'Expenditures 15-22'!I185)+'Expenditures 15-22'!D280</f>
        <v>183926</v>
      </c>
    </row>
    <row r="40" spans="1:7" ht="12" customHeight="1" x14ac:dyDescent="0.2">
      <c r="A40" s="820" t="s">
        <v>1792</v>
      </c>
      <c r="B40" s="821"/>
      <c r="C40" s="823"/>
      <c r="D40" s="1794"/>
      <c r="E40" s="1798">
        <f>-'Contracts Paid in CY 29'!F142</f>
        <v>-63046</v>
      </c>
      <c r="F40" s="1794"/>
      <c r="G40" s="1798">
        <f>-'Contracts Paid in CY 29'!F142</f>
        <v>-63046</v>
      </c>
    </row>
    <row r="41" spans="1:7" ht="12" customHeight="1" x14ac:dyDescent="0.2">
      <c r="A41" s="828" t="s">
        <v>155</v>
      </c>
      <c r="B41" s="829"/>
      <c r="C41" s="830"/>
      <c r="D41" s="1798">
        <f>SUM(D19:D39)</f>
        <v>507968</v>
      </c>
      <c r="E41" s="1798">
        <f>SUM(E19:E40)</f>
        <v>29659239</v>
      </c>
      <c r="F41" s="1798">
        <f>SUM(F19:F39)</f>
        <v>3469100</v>
      </c>
      <c r="G41" s="1798">
        <f>SUM(G19:G40)</f>
        <v>26698107</v>
      </c>
    </row>
    <row r="42" spans="1:7" x14ac:dyDescent="0.2">
      <c r="A42" s="817"/>
      <c r="B42" s="157"/>
      <c r="C42" s="831"/>
      <c r="D42" s="2596" t="s">
        <v>519</v>
      </c>
      <c r="E42" s="2597"/>
      <c r="F42" s="832" t="s">
        <v>520</v>
      </c>
      <c r="G42" s="833"/>
    </row>
    <row r="43" spans="1:7" ht="12" customHeight="1" x14ac:dyDescent="0.2">
      <c r="A43" s="817"/>
      <c r="B43" s="157"/>
      <c r="C43" s="831"/>
      <c r="D43" s="1451" t="s">
        <v>470</v>
      </c>
      <c r="E43" s="1799">
        <f>D41</f>
        <v>507968</v>
      </c>
      <c r="F43" s="1451" t="s">
        <v>470</v>
      </c>
      <c r="G43" s="1799">
        <f>F41</f>
        <v>3469100</v>
      </c>
    </row>
    <row r="44" spans="1:7" ht="12" customHeight="1" x14ac:dyDescent="0.2">
      <c r="A44" s="817"/>
      <c r="B44" s="157"/>
      <c r="C44" s="831"/>
      <c r="D44" s="1451" t="s">
        <v>471</v>
      </c>
      <c r="E44" s="1799">
        <f>E41</f>
        <v>29659239</v>
      </c>
      <c r="F44" s="1451" t="s">
        <v>471</v>
      </c>
      <c r="G44" s="1799">
        <f>G41</f>
        <v>26698107</v>
      </c>
    </row>
    <row r="45" spans="1:7" ht="12" customHeight="1" x14ac:dyDescent="0.2">
      <c r="A45" s="817"/>
      <c r="B45" s="157"/>
      <c r="C45" s="157"/>
      <c r="D45" s="1452" t="s">
        <v>998</v>
      </c>
      <c r="E45" s="1800">
        <f>(E43/E44)</f>
        <v>1.7126804905547306E-2</v>
      </c>
      <c r="F45" s="1452" t="s">
        <v>998</v>
      </c>
      <c r="G45" s="1800">
        <f>(G43/G44)</f>
        <v>0.12993805141315826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FF00"/>
    <pageSetUpPr fitToPage="1"/>
  </sheetPr>
  <dimension ref="A1:O97"/>
  <sheetViews>
    <sheetView showGridLines="0" zoomScale="110" zoomScaleNormal="110" workbookViewId="0">
      <pane ySplit="4" topLeftCell="A5" activePane="bottomLeft" state="frozen"/>
      <selection activeCell="A47" sqref="A47"/>
      <selection pane="bottomLeft" activeCell="E17" sqref="E17"/>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615" t="s">
        <v>1360</v>
      </c>
      <c r="B1" s="2615"/>
      <c r="C1" s="2615"/>
      <c r="D1" s="2615"/>
      <c r="E1" s="2615"/>
      <c r="F1" s="2615"/>
    </row>
    <row r="2" spans="1:15" x14ac:dyDescent="0.2">
      <c r="A2" s="1506" t="s">
        <v>1872</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616" t="s">
        <v>1526</v>
      </c>
      <c r="B5" s="2617"/>
      <c r="C5" s="2618"/>
      <c r="D5" s="2618"/>
      <c r="E5" s="2618"/>
      <c r="F5" s="2618"/>
      <c r="G5" s="1500"/>
      <c r="L5" s="1500"/>
      <c r="M5" s="1844"/>
      <c r="N5" s="1844"/>
      <c r="O5" s="1844"/>
    </row>
    <row r="6" spans="1:15" ht="12" customHeight="1" x14ac:dyDescent="0.25">
      <c r="A6" s="1473"/>
      <c r="B6" s="1474"/>
      <c r="C6" s="2619" t="str">
        <f>COVER!A17</f>
        <v xml:space="preserve"> McHenry CHSD 156</v>
      </c>
      <c r="D6" s="2619"/>
      <c r="E6" s="2619"/>
      <c r="F6" s="1475"/>
      <c r="G6" s="1500"/>
      <c r="L6" s="1500"/>
      <c r="M6" s="1844"/>
      <c r="N6" s="1844"/>
      <c r="O6" s="1844"/>
    </row>
    <row r="7" spans="1:15" ht="11.25" customHeight="1" thickBot="1" x14ac:dyDescent="0.3">
      <c r="A7" s="1473"/>
      <c r="B7" s="1474"/>
      <c r="C7" s="2620">
        <f>COVER!A13</f>
        <v>44063156016</v>
      </c>
      <c r="D7" s="2620"/>
      <c r="E7" s="2620"/>
      <c r="F7" s="1475"/>
      <c r="G7" s="1500"/>
      <c r="L7" s="1500"/>
      <c r="M7" s="1844"/>
      <c r="N7" s="1844"/>
      <c r="O7" s="1844"/>
    </row>
    <row r="8" spans="1:15" ht="25.5" customHeight="1" thickBot="1" x14ac:dyDescent="0.25">
      <c r="A8" s="1512" t="s">
        <v>1868</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2237" t="s">
        <v>2116</v>
      </c>
      <c r="D12" s="2237" t="s">
        <v>2116</v>
      </c>
      <c r="E12" s="2239"/>
      <c r="F12" s="2238" t="s">
        <v>2130</v>
      </c>
      <c r="G12" s="1500"/>
      <c r="H12" s="1500">
        <f t="shared" ref="H12:H33" si="0">IF(C12="X",5,0)</f>
        <v>5</v>
      </c>
      <c r="I12" s="1500">
        <f t="shared" ref="I12:I33" si="1">IF(D12="X",5,0)</f>
        <v>5</v>
      </c>
      <c r="J12" s="1500">
        <f t="shared" ref="J12:J33" si="2">IF(E12="X",5,0)</f>
        <v>0</v>
      </c>
      <c r="L12" s="1500"/>
      <c r="M12" s="1844"/>
      <c r="N12" s="1844"/>
      <c r="O12" s="1844"/>
    </row>
    <row r="13" spans="1:15" ht="12" customHeight="1" x14ac:dyDescent="0.2">
      <c r="A13" s="1486" t="s">
        <v>1366</v>
      </c>
      <c r="B13" s="1487"/>
      <c r="C13" s="2237"/>
      <c r="D13" s="2237"/>
      <c r="E13" s="2239"/>
      <c r="F13" s="2238"/>
      <c r="G13" s="1500"/>
      <c r="H13" s="1500">
        <f t="shared" si="0"/>
        <v>0</v>
      </c>
      <c r="I13" s="1500">
        <f t="shared" si="1"/>
        <v>0</v>
      </c>
      <c r="J13" s="1500">
        <f t="shared" si="2"/>
        <v>0</v>
      </c>
      <c r="L13" s="1500"/>
      <c r="M13" s="1844"/>
      <c r="N13" s="1844"/>
      <c r="O13" s="1844"/>
    </row>
    <row r="14" spans="1:15" ht="12" customHeight="1" x14ac:dyDescent="0.2">
      <c r="A14" s="1486" t="s">
        <v>1367</v>
      </c>
      <c r="B14" s="1487"/>
      <c r="C14" s="2237"/>
      <c r="D14" s="2237"/>
      <c r="E14" s="2239"/>
      <c r="F14" s="2238"/>
      <c r="G14" s="1500"/>
      <c r="H14" s="1500">
        <f t="shared" si="0"/>
        <v>0</v>
      </c>
      <c r="I14" s="1500">
        <f t="shared" si="1"/>
        <v>0</v>
      </c>
      <c r="J14" s="1500">
        <f t="shared" si="2"/>
        <v>0</v>
      </c>
      <c r="L14" s="1500"/>
      <c r="M14" s="1844"/>
      <c r="N14" s="1844"/>
      <c r="O14" s="1844"/>
    </row>
    <row r="15" spans="1:15" ht="12" customHeight="1" x14ac:dyDescent="0.2">
      <c r="A15" s="1486" t="s">
        <v>1368</v>
      </c>
      <c r="B15" s="1487"/>
      <c r="C15" s="2237"/>
      <c r="D15" s="2237"/>
      <c r="E15" s="2239"/>
      <c r="F15" s="2238"/>
      <c r="G15" s="1500"/>
      <c r="H15" s="1500">
        <f t="shared" si="0"/>
        <v>0</v>
      </c>
      <c r="I15" s="1500">
        <f t="shared" si="1"/>
        <v>0</v>
      </c>
      <c r="J15" s="1500">
        <f t="shared" si="2"/>
        <v>0</v>
      </c>
      <c r="L15" s="1500"/>
      <c r="M15" s="1844"/>
      <c r="N15" s="1844"/>
      <c r="O15" s="1844"/>
    </row>
    <row r="16" spans="1:15" ht="12" customHeight="1" x14ac:dyDescent="0.2">
      <c r="A16" s="1486" t="s">
        <v>1369</v>
      </c>
      <c r="B16" s="1487"/>
      <c r="C16" s="2237"/>
      <c r="D16" s="2237"/>
      <c r="E16" s="2239"/>
      <c r="F16" s="2238"/>
      <c r="G16" s="1500"/>
      <c r="H16" s="1500">
        <f t="shared" si="0"/>
        <v>0</v>
      </c>
      <c r="I16" s="1500">
        <f t="shared" si="1"/>
        <v>0</v>
      </c>
      <c r="J16" s="1500">
        <f t="shared" si="2"/>
        <v>0</v>
      </c>
      <c r="L16" s="1500"/>
      <c r="M16" s="1844"/>
      <c r="N16" s="1844"/>
      <c r="O16" s="1844"/>
    </row>
    <row r="17" spans="1:15" ht="12" customHeight="1" x14ac:dyDescent="0.2">
      <c r="A17" s="1486" t="s">
        <v>1370</v>
      </c>
      <c r="B17" s="1487"/>
      <c r="C17" s="2237"/>
      <c r="D17" s="2237"/>
      <c r="E17" s="2239"/>
      <c r="F17" s="2238"/>
      <c r="G17" s="1500"/>
      <c r="H17" s="1500">
        <f t="shared" si="0"/>
        <v>0</v>
      </c>
      <c r="I17" s="1500">
        <f t="shared" si="1"/>
        <v>0</v>
      </c>
      <c r="J17" s="1500">
        <f t="shared" si="2"/>
        <v>0</v>
      </c>
      <c r="L17" s="1500"/>
      <c r="M17" s="1844"/>
      <c r="N17" s="1844"/>
      <c r="O17" s="1844"/>
    </row>
    <row r="18" spans="1:15" ht="12" customHeight="1" x14ac:dyDescent="0.2">
      <c r="A18" s="1486" t="s">
        <v>1371</v>
      </c>
      <c r="B18" s="1487"/>
      <c r="C18" s="2237"/>
      <c r="D18" s="2237"/>
      <c r="E18" s="2239"/>
      <c r="F18" s="2238"/>
      <c r="G18" s="1500"/>
      <c r="H18" s="1500">
        <f t="shared" si="0"/>
        <v>0</v>
      </c>
      <c r="I18" s="1500">
        <f t="shared" si="1"/>
        <v>0</v>
      </c>
      <c r="J18" s="1500">
        <f t="shared" si="2"/>
        <v>0</v>
      </c>
      <c r="L18" s="1500"/>
      <c r="M18" s="1844"/>
      <c r="N18" s="1844"/>
      <c r="O18" s="1844"/>
    </row>
    <row r="19" spans="1:15" ht="12" customHeight="1" x14ac:dyDescent="0.2">
      <c r="A19" s="1486" t="s">
        <v>1507</v>
      </c>
      <c r="B19" s="1487"/>
      <c r="C19" s="2237" t="s">
        <v>2116</v>
      </c>
      <c r="D19" s="2237" t="s">
        <v>2116</v>
      </c>
      <c r="E19" s="2239"/>
      <c r="F19" s="2238" t="s">
        <v>2131</v>
      </c>
      <c r="G19" s="1500"/>
      <c r="H19" s="1500">
        <f t="shared" si="0"/>
        <v>5</v>
      </c>
      <c r="I19" s="1500">
        <f t="shared" si="1"/>
        <v>5</v>
      </c>
      <c r="J19" s="1500">
        <f t="shared" si="2"/>
        <v>0</v>
      </c>
      <c r="L19" s="1500"/>
      <c r="M19" s="1844"/>
      <c r="N19" s="1844"/>
      <c r="O19" s="1844"/>
    </row>
    <row r="20" spans="1:15" ht="12" customHeight="1" x14ac:dyDescent="0.2">
      <c r="A20" s="1486" t="s">
        <v>1508</v>
      </c>
      <c r="B20" s="1487"/>
      <c r="C20" s="2237"/>
      <c r="D20" s="2237"/>
      <c r="E20" s="2239"/>
      <c r="F20" s="2238"/>
      <c r="G20" s="1500"/>
      <c r="H20" s="1500">
        <f t="shared" si="0"/>
        <v>0</v>
      </c>
      <c r="I20" s="1500">
        <f t="shared" si="1"/>
        <v>0</v>
      </c>
      <c r="J20" s="1500">
        <f t="shared" si="2"/>
        <v>0</v>
      </c>
      <c r="L20" s="1500"/>
      <c r="M20" s="1844"/>
      <c r="N20" s="1844"/>
      <c r="O20" s="1844"/>
    </row>
    <row r="21" spans="1:15" ht="12" customHeight="1" x14ac:dyDescent="0.2">
      <c r="A21" s="1486" t="s">
        <v>1509</v>
      </c>
      <c r="B21" s="1487"/>
      <c r="C21" s="2237" t="s">
        <v>2116</v>
      </c>
      <c r="D21" s="2237" t="s">
        <v>2116</v>
      </c>
      <c r="E21" s="2239"/>
      <c r="F21" s="2238" t="s">
        <v>2132</v>
      </c>
      <c r="G21" s="1500"/>
      <c r="H21" s="1500">
        <f t="shared" si="0"/>
        <v>5</v>
      </c>
      <c r="I21" s="1500">
        <f t="shared" si="1"/>
        <v>5</v>
      </c>
      <c r="J21" s="1500">
        <f t="shared" si="2"/>
        <v>0</v>
      </c>
      <c r="L21" s="1500"/>
      <c r="M21" s="1844"/>
      <c r="N21" s="1844"/>
      <c r="O21" s="1844"/>
    </row>
    <row r="22" spans="1:15" ht="12" customHeight="1" x14ac:dyDescent="0.2">
      <c r="A22" s="1486" t="s">
        <v>1510</v>
      </c>
      <c r="B22" s="1487"/>
      <c r="C22" s="2237"/>
      <c r="D22" s="2237"/>
      <c r="E22" s="2239"/>
      <c r="F22" s="2238"/>
      <c r="G22" s="1500"/>
      <c r="H22" s="1500">
        <f t="shared" si="0"/>
        <v>0</v>
      </c>
      <c r="I22" s="1500">
        <f t="shared" si="1"/>
        <v>0</v>
      </c>
      <c r="J22" s="1500">
        <f t="shared" si="2"/>
        <v>0</v>
      </c>
      <c r="L22" s="1500"/>
      <c r="M22" s="1844"/>
      <c r="N22" s="1844"/>
      <c r="O22" s="1844"/>
    </row>
    <row r="23" spans="1:15" ht="12" customHeight="1" x14ac:dyDescent="0.2">
      <c r="A23" s="1486" t="s">
        <v>1511</v>
      </c>
      <c r="B23" s="1487"/>
      <c r="C23" s="2237"/>
      <c r="D23" s="2237"/>
      <c r="E23" s="2239"/>
      <c r="F23" s="2238"/>
      <c r="G23" s="1500"/>
      <c r="H23" s="1500">
        <f t="shared" si="0"/>
        <v>0</v>
      </c>
      <c r="I23" s="1500">
        <f t="shared" si="1"/>
        <v>0</v>
      </c>
      <c r="J23" s="1500">
        <f t="shared" si="2"/>
        <v>0</v>
      </c>
      <c r="L23" s="1500"/>
      <c r="M23" s="1844"/>
      <c r="N23" s="1844"/>
      <c r="O23" s="1844"/>
    </row>
    <row r="24" spans="1:15" ht="12" customHeight="1" x14ac:dyDescent="0.2">
      <c r="A24" s="1486" t="s">
        <v>1512</v>
      </c>
      <c r="B24" s="1487"/>
      <c r="C24" s="2237"/>
      <c r="D24" s="2237"/>
      <c r="E24" s="2239"/>
      <c r="F24" s="2238"/>
      <c r="G24" s="1500"/>
      <c r="H24" s="1500">
        <f t="shared" si="0"/>
        <v>0</v>
      </c>
      <c r="I24" s="1500">
        <f t="shared" si="1"/>
        <v>0</v>
      </c>
      <c r="J24" s="1500">
        <f t="shared" si="2"/>
        <v>0</v>
      </c>
      <c r="L24" s="1500"/>
      <c r="M24" s="1844"/>
      <c r="N24" s="1844"/>
      <c r="O24" s="1844"/>
    </row>
    <row r="25" spans="1:15" ht="12" customHeight="1" x14ac:dyDescent="0.2">
      <c r="A25" s="1486" t="s">
        <v>1513</v>
      </c>
      <c r="B25" s="1487"/>
      <c r="C25" s="2237"/>
      <c r="D25" s="2237"/>
      <c r="E25" s="2239"/>
      <c r="F25" s="2238"/>
      <c r="G25" s="1500"/>
      <c r="H25" s="1500">
        <f t="shared" si="0"/>
        <v>0</v>
      </c>
      <c r="I25" s="1500">
        <f t="shared" si="1"/>
        <v>0</v>
      </c>
      <c r="J25" s="1500">
        <f t="shared" si="2"/>
        <v>0</v>
      </c>
      <c r="L25" s="1500"/>
      <c r="M25" s="1844"/>
      <c r="N25" s="1844"/>
      <c r="O25" s="1844"/>
    </row>
    <row r="26" spans="1:15" ht="12" customHeight="1" x14ac:dyDescent="0.2">
      <c r="A26" s="1486" t="s">
        <v>1514</v>
      </c>
      <c r="B26" s="1487"/>
      <c r="C26" s="2237" t="s">
        <v>2116</v>
      </c>
      <c r="D26" s="2237" t="s">
        <v>2116</v>
      </c>
      <c r="E26" s="2239"/>
      <c r="F26" s="2238" t="s">
        <v>2133</v>
      </c>
      <c r="G26" s="1500"/>
      <c r="H26" s="1500">
        <f t="shared" si="0"/>
        <v>5</v>
      </c>
      <c r="I26" s="1500">
        <f t="shared" si="1"/>
        <v>5</v>
      </c>
      <c r="J26" s="1500">
        <f t="shared" si="2"/>
        <v>0</v>
      </c>
      <c r="L26" s="1500"/>
      <c r="M26" s="1844"/>
      <c r="N26" s="1844"/>
      <c r="O26" s="1844"/>
    </row>
    <row r="27" spans="1:15" ht="18.75" x14ac:dyDescent="0.2">
      <c r="A27" s="1486" t="s">
        <v>1515</v>
      </c>
      <c r="B27" s="1487"/>
      <c r="C27" s="2237"/>
      <c r="D27" s="2237"/>
      <c r="E27" s="2239"/>
      <c r="F27" s="2238"/>
      <c r="G27" s="1500"/>
      <c r="H27" s="1500">
        <f t="shared" si="0"/>
        <v>0</v>
      </c>
      <c r="I27" s="1500">
        <f t="shared" si="1"/>
        <v>0</v>
      </c>
      <c r="J27" s="1500">
        <f t="shared" si="2"/>
        <v>0</v>
      </c>
      <c r="L27" s="1500"/>
      <c r="M27" s="1844"/>
      <c r="N27" s="1844"/>
      <c r="O27" s="1844"/>
    </row>
    <row r="28" spans="1:15" ht="12" customHeight="1" x14ac:dyDescent="0.2">
      <c r="A28" s="1486" t="s">
        <v>1516</v>
      </c>
      <c r="B28" s="1487"/>
      <c r="C28" s="2237"/>
      <c r="D28" s="2237"/>
      <c r="E28" s="2239"/>
      <c r="F28" s="2238"/>
      <c r="G28" s="1500"/>
      <c r="H28" s="1500">
        <f t="shared" si="0"/>
        <v>0</v>
      </c>
      <c r="I28" s="1500">
        <f t="shared" si="1"/>
        <v>0</v>
      </c>
      <c r="J28" s="1500">
        <f t="shared" si="2"/>
        <v>0</v>
      </c>
      <c r="L28" s="1500"/>
      <c r="M28" s="1844"/>
      <c r="N28" s="1844"/>
      <c r="O28" s="1844"/>
    </row>
    <row r="29" spans="1:15" ht="12" customHeight="1" x14ac:dyDescent="0.2">
      <c r="A29" s="1486" t="s">
        <v>1517</v>
      </c>
      <c r="B29" s="1487"/>
      <c r="C29" s="2237"/>
      <c r="D29" s="2237"/>
      <c r="E29" s="2239"/>
      <c r="F29" s="2238"/>
      <c r="G29" s="1500"/>
      <c r="H29" s="1500">
        <f t="shared" si="0"/>
        <v>0</v>
      </c>
      <c r="I29" s="1500">
        <f t="shared" si="1"/>
        <v>0</v>
      </c>
      <c r="J29" s="1500">
        <f t="shared" si="2"/>
        <v>0</v>
      </c>
      <c r="L29" s="1500"/>
      <c r="M29" s="1844"/>
      <c r="N29" s="1844"/>
      <c r="O29" s="1844"/>
    </row>
    <row r="30" spans="1:15" ht="12" customHeight="1" x14ac:dyDescent="0.2">
      <c r="A30" s="1486" t="s">
        <v>1518</v>
      </c>
      <c r="B30" s="1487"/>
      <c r="C30" s="2237" t="s">
        <v>2116</v>
      </c>
      <c r="D30" s="2237" t="s">
        <v>2116</v>
      </c>
      <c r="E30" s="2239"/>
      <c r="F30" s="2238" t="s">
        <v>2134</v>
      </c>
      <c r="G30" s="1500"/>
      <c r="H30" s="1500">
        <f t="shared" si="0"/>
        <v>5</v>
      </c>
      <c r="I30" s="1500">
        <f t="shared" si="1"/>
        <v>5</v>
      </c>
      <c r="J30" s="1500">
        <f t="shared" si="2"/>
        <v>0</v>
      </c>
      <c r="L30" s="1500"/>
      <c r="M30" s="1844"/>
      <c r="N30" s="1844"/>
      <c r="O30" s="1844"/>
    </row>
    <row r="31" spans="1:15" ht="12" customHeight="1" x14ac:dyDescent="0.2">
      <c r="A31" s="1486" t="s">
        <v>1519</v>
      </c>
      <c r="B31" s="1487"/>
      <c r="C31" s="2237"/>
      <c r="D31" s="2237"/>
      <c r="E31" s="2239"/>
      <c r="F31" s="2238"/>
      <c r="G31" s="1500"/>
      <c r="H31" s="1500">
        <f t="shared" si="0"/>
        <v>0</v>
      </c>
      <c r="I31" s="1500">
        <f t="shared" si="1"/>
        <v>0</v>
      </c>
      <c r="J31" s="1500">
        <f t="shared" si="2"/>
        <v>0</v>
      </c>
      <c r="L31" s="1845"/>
      <c r="M31" s="1844"/>
      <c r="N31" s="1844"/>
      <c r="O31" s="1844"/>
    </row>
    <row r="32" spans="1:15" ht="12" customHeight="1" x14ac:dyDescent="0.2">
      <c r="A32" s="1486" t="s">
        <v>1520</v>
      </c>
      <c r="B32" s="1487"/>
      <c r="C32" s="2237" t="s">
        <v>2116</v>
      </c>
      <c r="D32" s="2237" t="s">
        <v>2116</v>
      </c>
      <c r="E32" s="2239"/>
      <c r="F32" s="2238" t="s">
        <v>2135</v>
      </c>
      <c r="G32" s="1500"/>
      <c r="H32" s="1500">
        <f t="shared" si="0"/>
        <v>5</v>
      </c>
      <c r="I32" s="1500">
        <f t="shared" si="1"/>
        <v>5</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30</v>
      </c>
      <c r="I34" s="1500">
        <f>SUM(I11:I32)</f>
        <v>30</v>
      </c>
      <c r="J34" s="1500">
        <f>SUM(J11:J32)</f>
        <v>0</v>
      </c>
      <c r="K34" s="1500">
        <f>SUM(H34:J34)</f>
        <v>60</v>
      </c>
      <c r="L34" s="1500"/>
      <c r="M34" s="1844"/>
      <c r="N34" s="1844"/>
      <c r="O34" s="1844"/>
    </row>
    <row r="35" spans="1:15" ht="12" customHeight="1" x14ac:dyDescent="0.2">
      <c r="A35" s="1493" t="s">
        <v>1373</v>
      </c>
      <c r="B35" s="1494"/>
      <c r="C35" s="2621"/>
      <c r="D35" s="2621"/>
      <c r="E35" s="2621"/>
      <c r="F35" s="2622"/>
    </row>
    <row r="36" spans="1:15" ht="12" customHeight="1" x14ac:dyDescent="0.2">
      <c r="A36" s="2604"/>
      <c r="B36" s="2605"/>
      <c r="C36" s="2605"/>
      <c r="D36" s="2605"/>
      <c r="E36" s="2605"/>
      <c r="F36" s="2606"/>
    </row>
    <row r="37" spans="1:15" ht="12" customHeight="1" x14ac:dyDescent="0.2">
      <c r="A37" s="2604"/>
      <c r="B37" s="2605"/>
      <c r="C37" s="2605"/>
      <c r="D37" s="2605"/>
      <c r="E37" s="2605"/>
      <c r="F37" s="2606"/>
    </row>
    <row r="38" spans="1:15" ht="12" customHeight="1" x14ac:dyDescent="0.2">
      <c r="A38" s="2607"/>
      <c r="B38" s="2608"/>
      <c r="C38" s="2608"/>
      <c r="D38" s="2608"/>
      <c r="E38" s="2608"/>
      <c r="F38" s="2609"/>
    </row>
    <row r="39" spans="1:15" ht="4.5" hidden="1" customHeight="1" x14ac:dyDescent="0.2">
      <c r="A39" s="1495"/>
      <c r="B39" s="1495"/>
      <c r="C39" s="1495"/>
      <c r="D39" s="1495"/>
      <c r="E39" s="1495"/>
      <c r="F39" s="1495"/>
    </row>
    <row r="40" spans="1:15" s="1492" customFormat="1" ht="12" customHeight="1" x14ac:dyDescent="0.25">
      <c r="A40" s="1496" t="s">
        <v>1372</v>
      </c>
      <c r="B40" s="1497"/>
      <c r="C40" s="2610"/>
      <c r="D40" s="2610"/>
      <c r="E40" s="2610"/>
      <c r="F40" s="2611"/>
      <c r="H40" s="1501"/>
      <c r="I40" s="1501"/>
      <c r="J40" s="1501"/>
      <c r="K40" s="1501"/>
    </row>
    <row r="41" spans="1:15" s="1492" customFormat="1" ht="12" customHeight="1" x14ac:dyDescent="0.25">
      <c r="A41" s="2612"/>
      <c r="B41" s="2613"/>
      <c r="C41" s="2613"/>
      <c r="D41" s="2613"/>
      <c r="E41" s="2613"/>
      <c r="F41" s="2614"/>
      <c r="H41" s="1501"/>
      <c r="I41" s="1501"/>
      <c r="J41" s="1501"/>
      <c r="K41" s="1501"/>
    </row>
    <row r="42" spans="1:15" s="1492" customFormat="1" ht="12" customHeight="1" x14ac:dyDescent="0.25">
      <c r="A42" s="2612"/>
      <c r="B42" s="2613"/>
      <c r="C42" s="2613"/>
      <c r="D42" s="2613"/>
      <c r="E42" s="2613"/>
      <c r="F42" s="2614"/>
      <c r="H42" s="1501"/>
      <c r="I42" s="1501"/>
      <c r="J42" s="1501"/>
      <c r="K42" s="1501"/>
    </row>
    <row r="43" spans="1:15" s="1492" customFormat="1" ht="15" x14ac:dyDescent="0.25">
      <c r="A43" s="2601"/>
      <c r="B43" s="2602"/>
      <c r="C43" s="2602"/>
      <c r="D43" s="2602"/>
      <c r="E43" s="2602"/>
      <c r="F43" s="2603"/>
      <c r="H43" s="1501"/>
      <c r="I43" s="1501"/>
      <c r="J43" s="1501"/>
      <c r="K43" s="1501"/>
    </row>
    <row r="44" spans="1:15" s="1492" customFormat="1" ht="12" hidden="1" customHeight="1" x14ac:dyDescent="0.25">
      <c r="A44" s="2601"/>
      <c r="B44" s="2602"/>
      <c r="C44" s="2602"/>
      <c r="D44" s="2602"/>
      <c r="E44" s="2602"/>
      <c r="F44" s="2603"/>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00FF00"/>
  </sheetPr>
  <dimension ref="A1:N72"/>
  <sheetViews>
    <sheetView showGridLines="0" topLeftCell="A46" zoomScaleNormal="100" workbookViewId="0">
      <selection activeCell="E67" sqref="E67"/>
    </sheetView>
  </sheetViews>
  <sheetFormatPr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402</v>
      </c>
      <c r="H1" s="2037"/>
      <c r="I1" s="2036"/>
      <c r="J1" s="2036"/>
      <c r="K1" s="2036"/>
      <c r="L1" s="2036"/>
      <c r="M1" s="2036"/>
      <c r="N1" s="2035"/>
    </row>
    <row r="2" spans="1:14" x14ac:dyDescent="0.25">
      <c r="A2" s="1968"/>
      <c r="B2" s="847"/>
      <c r="C2" s="847"/>
      <c r="D2" s="847"/>
      <c r="E2" s="847"/>
      <c r="F2" s="847"/>
      <c r="G2" s="1924" t="s">
        <v>1996</v>
      </c>
      <c r="H2" s="2034"/>
      <c r="I2" s="847"/>
      <c r="J2" s="847"/>
      <c r="K2" s="847"/>
      <c r="L2" s="847"/>
      <c r="M2" s="847"/>
      <c r="N2" s="1967"/>
    </row>
    <row r="3" spans="1:14" x14ac:dyDescent="0.25">
      <c r="A3" s="1968"/>
      <c r="B3" s="847"/>
      <c r="C3" s="847"/>
      <c r="D3" s="847"/>
      <c r="E3" s="847"/>
      <c r="F3" s="847"/>
      <c r="G3" s="1924" t="s">
        <v>403</v>
      </c>
      <c r="H3" s="847"/>
      <c r="I3" s="847"/>
      <c r="J3" s="847"/>
      <c r="K3" s="847"/>
      <c r="L3" s="847"/>
      <c r="M3" s="847"/>
      <c r="N3" s="1967"/>
    </row>
    <row r="4" spans="1:14" x14ac:dyDescent="0.25">
      <c r="A4" s="1968"/>
      <c r="B4" s="847"/>
      <c r="C4" s="847"/>
      <c r="D4" s="847"/>
      <c r="E4" s="847"/>
      <c r="F4" s="847"/>
      <c r="G4" s="1924" t="s">
        <v>862</v>
      </c>
      <c r="H4" s="847"/>
      <c r="I4" s="847"/>
      <c r="J4" s="847"/>
      <c r="K4" s="847"/>
      <c r="L4" s="847"/>
      <c r="M4" s="847"/>
      <c r="N4" s="1967"/>
    </row>
    <row r="5" spans="1:14" x14ac:dyDescent="0.25">
      <c r="A5" s="1968"/>
      <c r="B5" s="847"/>
      <c r="C5" s="847"/>
      <c r="D5" s="847"/>
      <c r="E5" s="847"/>
      <c r="F5" s="1924"/>
      <c r="G5" s="1924"/>
      <c r="H5" s="847"/>
      <c r="I5" s="847"/>
      <c r="J5" s="847"/>
      <c r="K5" s="847"/>
      <c r="L5" s="847"/>
      <c r="M5" s="847"/>
      <c r="N5" s="1967"/>
    </row>
    <row r="6" spans="1:14" x14ac:dyDescent="0.25">
      <c r="A6" s="2033" t="s">
        <v>667</v>
      </c>
      <c r="B6" s="1370"/>
      <c r="C6" s="1370"/>
      <c r="D6" s="1370"/>
      <c r="E6" s="1371"/>
      <c r="F6" s="2032"/>
      <c r="G6" s="1924"/>
      <c r="H6" s="847"/>
      <c r="I6" s="1956" t="s">
        <v>1020</v>
      </c>
      <c r="J6" s="2625" t="str">
        <f>COVER!A17</f>
        <v xml:space="preserve"> McHenry CHSD 156</v>
      </c>
      <c r="K6" s="2625"/>
      <c r="L6" s="2626"/>
      <c r="M6" s="847"/>
      <c r="N6" s="1967"/>
    </row>
    <row r="7" spans="1:14" x14ac:dyDescent="0.25">
      <c r="A7" s="2627" t="s">
        <v>863</v>
      </c>
      <c r="B7" s="2628"/>
      <c r="C7" s="2628"/>
      <c r="D7" s="2628"/>
      <c r="E7" s="2629"/>
      <c r="F7" s="2031"/>
      <c r="G7" s="847"/>
      <c r="H7" s="847"/>
      <c r="I7" s="1956" t="s">
        <v>369</v>
      </c>
      <c r="J7" s="2630">
        <f>COVER!A13</f>
        <v>44063156016</v>
      </c>
      <c r="K7" s="2630"/>
      <c r="L7" s="2630"/>
      <c r="M7" s="847"/>
      <c r="N7" s="1967"/>
    </row>
    <row r="8" spans="1:14" x14ac:dyDescent="0.25">
      <c r="A8" s="2030"/>
      <c r="B8" s="2029"/>
      <c r="C8" s="2029"/>
      <c r="D8" s="2029"/>
      <c r="E8" s="2028"/>
      <c r="F8" s="2027"/>
      <c r="G8" s="2026"/>
      <c r="H8" s="2026"/>
      <c r="I8" s="2026"/>
      <c r="J8" s="2026"/>
      <c r="K8" s="2026"/>
      <c r="L8" s="2026"/>
      <c r="M8" s="847"/>
      <c r="N8" s="1967"/>
    </row>
    <row r="9" spans="1:14" x14ac:dyDescent="0.25">
      <c r="A9" s="2025"/>
      <c r="B9" s="2024"/>
      <c r="C9" s="2024"/>
      <c r="D9" s="2023"/>
      <c r="E9" s="2022" t="s">
        <v>2056</v>
      </c>
      <c r="F9" s="2020"/>
      <c r="G9" s="2020"/>
      <c r="H9" s="2020"/>
      <c r="I9" s="2021" t="s">
        <v>2055</v>
      </c>
      <c r="J9" s="2020"/>
      <c r="K9" s="2020"/>
      <c r="L9" s="2019"/>
      <c r="M9" s="847"/>
      <c r="N9" s="1967"/>
    </row>
    <row r="10" spans="1:14" x14ac:dyDescent="0.25">
      <c r="A10" s="1968"/>
      <c r="B10" s="847"/>
      <c r="C10" s="1924"/>
      <c r="D10" s="2018"/>
      <c r="E10" s="2017" t="s">
        <v>422</v>
      </c>
      <c r="F10" s="2014" t="s">
        <v>423</v>
      </c>
      <c r="G10" s="2015" t="s">
        <v>429</v>
      </c>
      <c r="H10" s="2016"/>
      <c r="I10" s="2014" t="s">
        <v>422</v>
      </c>
      <c r="J10" s="2014" t="s">
        <v>423</v>
      </c>
      <c r="K10" s="2015" t="s">
        <v>429</v>
      </c>
      <c r="L10" s="2014"/>
      <c r="M10" s="847"/>
      <c r="N10" s="1967"/>
    </row>
    <row r="11" spans="1:14" ht="51" x14ac:dyDescent="0.25">
      <c r="A11" s="2631" t="s">
        <v>478</v>
      </c>
      <c r="B11" s="2632"/>
      <c r="C11" s="2633"/>
      <c r="D11" s="2013" t="s">
        <v>865</v>
      </c>
      <c r="E11" s="2013" t="s">
        <v>64</v>
      </c>
      <c r="F11" s="2013" t="s">
        <v>6</v>
      </c>
      <c r="G11" s="2012" t="s">
        <v>2054</v>
      </c>
      <c r="H11" s="2011" t="s">
        <v>155</v>
      </c>
      <c r="I11" s="2013" t="s">
        <v>64</v>
      </c>
      <c r="J11" s="2013" t="s">
        <v>6</v>
      </c>
      <c r="K11" s="2012" t="s">
        <v>1995</v>
      </c>
      <c r="L11" s="2011" t="s">
        <v>155</v>
      </c>
      <c r="M11" s="847"/>
      <c r="N11" s="1967"/>
    </row>
    <row r="12" spans="1:14" x14ac:dyDescent="0.25">
      <c r="A12" s="1997">
        <v>1</v>
      </c>
      <c r="B12" s="2009" t="s">
        <v>812</v>
      </c>
      <c r="C12" s="2008"/>
      <c r="D12" s="2007">
        <v>2320</v>
      </c>
      <c r="E12" s="2006">
        <f>'Expenditures 15-22'!K50</f>
        <v>564431</v>
      </c>
      <c r="F12" s="2004"/>
      <c r="G12" s="2005">
        <f>G68</f>
        <v>0</v>
      </c>
      <c r="H12" s="2001">
        <f t="shared" ref="H12:H18" si="0">SUM(E12:G12)</f>
        <v>564431</v>
      </c>
      <c r="I12" s="2240">
        <v>582004</v>
      </c>
      <c r="J12" s="2004"/>
      <c r="K12" s="2002"/>
      <c r="L12" s="2001">
        <f t="shared" ref="L12:L18" si="1">SUM(I12:K12)</f>
        <v>582004</v>
      </c>
      <c r="M12" s="847"/>
      <c r="N12" s="1967"/>
    </row>
    <row r="13" spans="1:14" x14ac:dyDescent="0.25">
      <c r="A13" s="1997">
        <v>2</v>
      </c>
      <c r="B13" s="2009" t="s">
        <v>42</v>
      </c>
      <c r="C13" s="2008"/>
      <c r="D13" s="2007">
        <v>2330</v>
      </c>
      <c r="E13" s="2006">
        <f>'Expenditures 15-22'!K51</f>
        <v>0</v>
      </c>
      <c r="F13" s="2004"/>
      <c r="G13" s="2005">
        <f>H68</f>
        <v>0</v>
      </c>
      <c r="H13" s="2001">
        <f t="shared" si="0"/>
        <v>0</v>
      </c>
      <c r="I13" s="2240"/>
      <c r="J13" s="2004"/>
      <c r="K13" s="2002"/>
      <c r="L13" s="2001">
        <f t="shared" si="1"/>
        <v>0</v>
      </c>
      <c r="M13" s="847"/>
      <c r="N13" s="1967"/>
    </row>
    <row r="14" spans="1:14" x14ac:dyDescent="0.25">
      <c r="A14" s="1997">
        <v>3</v>
      </c>
      <c r="B14" s="2009" t="s">
        <v>43</v>
      </c>
      <c r="C14" s="2008"/>
      <c r="D14" s="2010">
        <v>2490</v>
      </c>
      <c r="E14" s="2006">
        <f>'Expenditures 15-22'!K56</f>
        <v>0</v>
      </c>
      <c r="F14" s="2004"/>
      <c r="G14" s="2005">
        <f>I68</f>
        <v>0</v>
      </c>
      <c r="H14" s="2001">
        <f t="shared" si="0"/>
        <v>0</v>
      </c>
      <c r="I14" s="2240"/>
      <c r="J14" s="2004"/>
      <c r="K14" s="2002"/>
      <c r="L14" s="2001">
        <f t="shared" si="1"/>
        <v>0</v>
      </c>
      <c r="M14" s="847"/>
      <c r="N14" s="1967"/>
    </row>
    <row r="15" spans="1:14" x14ac:dyDescent="0.25">
      <c r="A15" s="1997">
        <v>4</v>
      </c>
      <c r="B15" s="2009" t="s">
        <v>1058</v>
      </c>
      <c r="C15" s="2008"/>
      <c r="D15" s="2007">
        <v>2510</v>
      </c>
      <c r="E15" s="2006">
        <f>'Expenditures 15-22'!K59</f>
        <v>236212</v>
      </c>
      <c r="F15" s="2006">
        <f>'Expenditures 15-22'!K122</f>
        <v>0</v>
      </c>
      <c r="G15" s="2005">
        <f>J68</f>
        <v>0</v>
      </c>
      <c r="H15" s="2001">
        <f t="shared" si="0"/>
        <v>236212</v>
      </c>
      <c r="I15" s="2240">
        <v>246151</v>
      </c>
      <c r="J15" s="2002"/>
      <c r="K15" s="2002"/>
      <c r="L15" s="2001">
        <f t="shared" si="1"/>
        <v>246151</v>
      </c>
      <c r="M15" s="847"/>
      <c r="N15" s="1967"/>
    </row>
    <row r="16" spans="1:14" x14ac:dyDescent="0.25">
      <c r="A16" s="1997">
        <v>5</v>
      </c>
      <c r="B16" s="2009" t="s">
        <v>101</v>
      </c>
      <c r="C16" s="2008"/>
      <c r="D16" s="2007">
        <v>2570</v>
      </c>
      <c r="E16" s="2006">
        <f>'Expenditures 15-22'!K64</f>
        <v>70334</v>
      </c>
      <c r="F16" s="2004"/>
      <c r="G16" s="2005">
        <f>K68</f>
        <v>0</v>
      </c>
      <c r="H16" s="2001">
        <f t="shared" si="0"/>
        <v>70334</v>
      </c>
      <c r="I16" s="2240">
        <v>79000</v>
      </c>
      <c r="J16" s="2004"/>
      <c r="K16" s="2002"/>
      <c r="L16" s="2001">
        <f t="shared" si="1"/>
        <v>79000</v>
      </c>
      <c r="M16" s="847"/>
      <c r="N16" s="1967"/>
    </row>
    <row r="17" spans="1:14" x14ac:dyDescent="0.25">
      <c r="A17" s="1997">
        <v>6</v>
      </c>
      <c r="B17" s="2009" t="s">
        <v>1050</v>
      </c>
      <c r="C17" s="2008"/>
      <c r="D17" s="2007">
        <v>2610</v>
      </c>
      <c r="E17" s="2006">
        <f>'Expenditures 15-22'!K67</f>
        <v>0</v>
      </c>
      <c r="F17" s="2004"/>
      <c r="G17" s="2005">
        <f>L68</f>
        <v>0</v>
      </c>
      <c r="H17" s="2001">
        <f t="shared" si="0"/>
        <v>0</v>
      </c>
      <c r="I17" s="2240"/>
      <c r="J17" s="2004"/>
      <c r="K17" s="2002"/>
      <c r="L17" s="2001">
        <f t="shared" si="1"/>
        <v>0</v>
      </c>
      <c r="M17" s="847"/>
      <c r="N17" s="1967"/>
    </row>
    <row r="18" spans="1:14" ht="28.5" customHeight="1" x14ac:dyDescent="0.25">
      <c r="A18" s="2003">
        <v>7</v>
      </c>
      <c r="B18" s="2634" t="s">
        <v>7</v>
      </c>
      <c r="C18" s="2634"/>
      <c r="D18" s="2635"/>
      <c r="E18" s="2002"/>
      <c r="F18" s="2002"/>
      <c r="G18" s="2002"/>
      <c r="H18" s="2001">
        <f t="shared" si="0"/>
        <v>0</v>
      </c>
      <c r="I18" s="2002"/>
      <c r="J18" s="2002"/>
      <c r="K18" s="2002"/>
      <c r="L18" s="2001">
        <f t="shared" si="1"/>
        <v>0</v>
      </c>
      <c r="M18" s="847"/>
      <c r="N18" s="1967"/>
    </row>
    <row r="19" spans="1:14" ht="15.75" thickBot="1" x14ac:dyDescent="0.3">
      <c r="A19" s="1997">
        <v>8</v>
      </c>
      <c r="B19" s="2000" t="s">
        <v>1150</v>
      </c>
      <c r="C19" s="847"/>
      <c r="D19" s="1999"/>
      <c r="E19" s="1998">
        <f t="shared" ref="E19:L19" si="2">SUM(E12:E17)-E18</f>
        <v>870977</v>
      </c>
      <c r="F19" s="1998">
        <f t="shared" si="2"/>
        <v>0</v>
      </c>
      <c r="G19" s="1998">
        <f t="shared" si="2"/>
        <v>0</v>
      </c>
      <c r="H19" s="1998">
        <f t="shared" si="2"/>
        <v>870977</v>
      </c>
      <c r="I19" s="1998">
        <f t="shared" si="2"/>
        <v>907155</v>
      </c>
      <c r="J19" s="1998">
        <f t="shared" si="2"/>
        <v>0</v>
      </c>
      <c r="K19" s="1998">
        <f t="shared" si="2"/>
        <v>0</v>
      </c>
      <c r="L19" s="1998">
        <f t="shared" si="2"/>
        <v>907155</v>
      </c>
      <c r="M19" s="847"/>
      <c r="N19" s="1967"/>
    </row>
    <row r="20" spans="1:14" ht="15.75" thickTop="1" x14ac:dyDescent="0.25">
      <c r="A20" s="1997">
        <v>9</v>
      </c>
      <c r="B20" s="2623" t="s">
        <v>2053</v>
      </c>
      <c r="C20" s="2623"/>
      <c r="D20" s="2624"/>
      <c r="E20" s="1996"/>
      <c r="F20" s="1996"/>
      <c r="G20" s="1996"/>
      <c r="H20" s="1996"/>
      <c r="I20" s="1996"/>
      <c r="J20" s="1996"/>
      <c r="K20" s="1996"/>
      <c r="L20" s="1995">
        <f>IF(AND(H19&gt;0,L19&gt;0),(((L19-H19)/H19)),"Enter Budget Data")</f>
        <v>4.1537262177990926E-2</v>
      </c>
      <c r="M20" s="847"/>
      <c r="N20" s="1967"/>
    </row>
    <row r="21" spans="1:14" x14ac:dyDescent="0.25">
      <c r="A21" s="1994" t="s">
        <v>194</v>
      </c>
      <c r="B21" s="294" t="s">
        <v>2052</v>
      </c>
      <c r="C21" s="847"/>
      <c r="D21" s="1978"/>
      <c r="E21" s="1977"/>
      <c r="F21" s="1993"/>
      <c r="G21" s="1993"/>
      <c r="H21" s="1993"/>
      <c r="I21" s="1993"/>
      <c r="J21" s="1993"/>
      <c r="K21" s="1993"/>
      <c r="L21" s="1992"/>
      <c r="M21" s="847"/>
      <c r="N21" s="1967"/>
    </row>
    <row r="22" spans="1:14" x14ac:dyDescent="0.25">
      <c r="A22" s="1968"/>
      <c r="B22" s="1980"/>
      <c r="C22" s="847"/>
      <c r="D22" s="847"/>
      <c r="E22" s="847"/>
      <c r="F22" s="847"/>
      <c r="G22" s="847"/>
      <c r="H22" s="847"/>
      <c r="I22" s="847"/>
      <c r="J22" s="847"/>
      <c r="K22" s="847"/>
      <c r="L22" s="847"/>
      <c r="M22" s="847"/>
      <c r="N22" s="1967"/>
    </row>
    <row r="23" spans="1:14" x14ac:dyDescent="0.25">
      <c r="A23" s="1991" t="s">
        <v>132</v>
      </c>
      <c r="B23" s="1980"/>
      <c r="C23" s="847"/>
      <c r="D23" s="847"/>
      <c r="E23" s="847"/>
      <c r="F23" s="847"/>
      <c r="G23" s="847"/>
      <c r="H23" s="847"/>
      <c r="I23" s="847"/>
      <c r="J23" s="847"/>
      <c r="K23" s="847"/>
      <c r="L23" s="847"/>
      <c r="M23" s="847"/>
      <c r="N23" s="1967"/>
    </row>
    <row r="24" spans="1:14" x14ac:dyDescent="0.25">
      <c r="A24" s="1990" t="s">
        <v>2051</v>
      </c>
      <c r="B24" s="1989"/>
      <c r="C24" s="1988"/>
      <c r="D24" s="1988"/>
      <c r="E24" s="1988"/>
      <c r="F24" s="1988"/>
      <c r="G24" s="1988"/>
      <c r="H24" s="1988"/>
      <c r="I24" s="1988"/>
      <c r="J24" s="1988"/>
      <c r="K24" s="1988"/>
      <c r="L24" s="847"/>
      <c r="M24" s="847"/>
      <c r="N24" s="1967"/>
    </row>
    <row r="25" spans="1:14" x14ac:dyDescent="0.25">
      <c r="A25" s="1990" t="s">
        <v>2050</v>
      </c>
      <c r="B25" s="1989"/>
      <c r="C25" s="1988"/>
      <c r="D25" s="1988"/>
      <c r="E25" s="1988"/>
      <c r="F25" s="1988"/>
      <c r="G25" s="1988"/>
      <c r="H25" s="1988"/>
      <c r="I25" s="1988"/>
      <c r="J25" s="1988"/>
      <c r="K25" s="1988"/>
      <c r="L25" s="847"/>
      <c r="M25" s="847"/>
      <c r="N25" s="1967"/>
    </row>
    <row r="26" spans="1:14" x14ac:dyDescent="0.25">
      <c r="A26" s="1987"/>
      <c r="B26" s="1980"/>
      <c r="C26" s="847"/>
      <c r="D26" s="847"/>
      <c r="E26" s="847"/>
      <c r="F26" s="847"/>
      <c r="G26" s="847"/>
      <c r="H26" s="847"/>
      <c r="I26" s="847"/>
      <c r="J26" s="847"/>
      <c r="K26" s="847"/>
      <c r="L26" s="847"/>
      <c r="M26" s="847"/>
      <c r="N26" s="1967"/>
    </row>
    <row r="27" spans="1:14" x14ac:dyDescent="0.25">
      <c r="A27" s="1968"/>
      <c r="B27" s="1980"/>
      <c r="C27" s="2638"/>
      <c r="D27" s="2638"/>
      <c r="E27" s="1986"/>
      <c r="F27" s="2639"/>
      <c r="G27" s="2639"/>
      <c r="H27" s="2639"/>
      <c r="I27" s="847"/>
      <c r="J27" s="847"/>
      <c r="K27" s="847"/>
      <c r="L27" s="847"/>
      <c r="M27" s="847"/>
      <c r="N27" s="1967"/>
    </row>
    <row r="28" spans="1:14" x14ac:dyDescent="0.25">
      <c r="A28" s="1968"/>
      <c r="B28" s="1980"/>
      <c r="C28" s="1985" t="s">
        <v>1025</v>
      </c>
      <c r="D28" s="1984"/>
      <c r="E28" s="1983"/>
      <c r="F28" s="2640" t="s">
        <v>1489</v>
      </c>
      <c r="G28" s="2640"/>
      <c r="H28" s="2640"/>
      <c r="I28" s="847"/>
      <c r="J28" s="847"/>
      <c r="K28" s="847"/>
      <c r="L28" s="847"/>
      <c r="M28" s="847"/>
      <c r="N28" s="1967"/>
    </row>
    <row r="29" spans="1:14" x14ac:dyDescent="0.25">
      <c r="A29" s="1968"/>
      <c r="B29" s="1980"/>
      <c r="C29" s="2641"/>
      <c r="D29" s="2641"/>
      <c r="E29" s="846"/>
      <c r="F29" s="2641"/>
      <c r="G29" s="2641"/>
      <c r="H29" s="2641"/>
      <c r="I29" s="847"/>
      <c r="J29" s="847"/>
      <c r="K29" s="847"/>
      <c r="L29" s="847"/>
      <c r="M29" s="847"/>
      <c r="N29" s="1967"/>
    </row>
    <row r="30" spans="1:14" x14ac:dyDescent="0.25">
      <c r="A30" s="1968"/>
      <c r="B30" s="1980"/>
      <c r="C30" s="1982" t="s">
        <v>1541</v>
      </c>
      <c r="D30" s="847"/>
      <c r="E30" s="1981"/>
      <c r="F30" s="2642" t="s">
        <v>1490</v>
      </c>
      <c r="G30" s="2642"/>
      <c r="H30" s="2642"/>
      <c r="I30" s="847"/>
      <c r="J30" s="847"/>
      <c r="K30" s="847"/>
      <c r="L30" s="847"/>
      <c r="M30" s="847"/>
      <c r="N30" s="1967"/>
    </row>
    <row r="31" spans="1:14" x14ac:dyDescent="0.25">
      <c r="A31" s="1968"/>
      <c r="B31" s="1980"/>
      <c r="C31" s="1979"/>
      <c r="D31" s="847"/>
      <c r="E31" s="1978"/>
      <c r="F31" s="1977"/>
      <c r="G31" s="1977"/>
      <c r="H31" s="1977"/>
      <c r="I31" s="847"/>
      <c r="J31" s="847"/>
      <c r="K31" s="847"/>
      <c r="L31" s="847"/>
      <c r="M31" s="847"/>
      <c r="N31" s="1967"/>
    </row>
    <row r="32" spans="1:14" x14ac:dyDescent="0.25">
      <c r="A32" s="1968"/>
      <c r="B32" s="1976" t="s">
        <v>1026</v>
      </c>
      <c r="C32" s="847"/>
      <c r="D32" s="847"/>
      <c r="E32" s="847"/>
      <c r="F32" s="847"/>
      <c r="G32" s="847"/>
      <c r="H32" s="847"/>
      <c r="I32" s="847"/>
      <c r="J32" s="847"/>
      <c r="K32" s="847"/>
      <c r="L32" s="847"/>
      <c r="M32" s="847"/>
      <c r="N32" s="1967"/>
    </row>
    <row r="33" spans="1:14" x14ac:dyDescent="0.25">
      <c r="A33" s="1968"/>
      <c r="B33" s="1975"/>
      <c r="C33" s="847"/>
      <c r="D33" s="847"/>
      <c r="E33" s="847"/>
      <c r="F33" s="847"/>
      <c r="G33" s="847"/>
      <c r="H33" s="847"/>
      <c r="I33" s="847"/>
      <c r="J33" s="847"/>
      <c r="K33" s="847"/>
      <c r="L33" s="847"/>
      <c r="M33" s="847"/>
      <c r="N33" s="1967"/>
    </row>
    <row r="34" spans="1:14" x14ac:dyDescent="0.25">
      <c r="A34" s="1968"/>
      <c r="B34" s="1970"/>
      <c r="C34" s="2643" t="s">
        <v>2049</v>
      </c>
      <c r="D34" s="2643"/>
      <c r="E34" s="2643"/>
      <c r="F34" s="2643"/>
      <c r="G34" s="2643"/>
      <c r="H34" s="2643"/>
      <c r="I34" s="2643"/>
      <c r="J34" s="2643"/>
      <c r="K34" s="1974"/>
      <c r="L34" s="847"/>
      <c r="M34" s="847"/>
      <c r="N34" s="1967"/>
    </row>
    <row r="35" spans="1:14" x14ac:dyDescent="0.25">
      <c r="A35" s="1968"/>
      <c r="B35" s="847"/>
      <c r="C35" s="2643"/>
      <c r="D35" s="2643"/>
      <c r="E35" s="2643"/>
      <c r="F35" s="2643"/>
      <c r="G35" s="2643"/>
      <c r="H35" s="2643"/>
      <c r="I35" s="2643"/>
      <c r="J35" s="2643"/>
      <c r="K35" s="1974"/>
      <c r="L35" s="847"/>
      <c r="M35" s="847"/>
      <c r="N35" s="1967"/>
    </row>
    <row r="36" spans="1:14" x14ac:dyDescent="0.25">
      <c r="A36" s="1968"/>
      <c r="B36" s="847"/>
      <c r="C36" s="1973"/>
      <c r="D36" s="847"/>
      <c r="E36" s="847"/>
      <c r="F36" s="847"/>
      <c r="G36" s="847"/>
      <c r="H36" s="847"/>
      <c r="I36" s="847"/>
      <c r="J36" s="847"/>
      <c r="K36" s="847"/>
      <c r="L36" s="847"/>
      <c r="M36" s="847"/>
      <c r="N36" s="1967"/>
    </row>
    <row r="37" spans="1:14" x14ac:dyDescent="0.25">
      <c r="A37" s="1968"/>
      <c r="B37" s="1970"/>
      <c r="C37" s="2643" t="s">
        <v>2048</v>
      </c>
      <c r="D37" s="2643"/>
      <c r="E37" s="2643"/>
      <c r="F37" s="2643"/>
      <c r="G37" s="2643"/>
      <c r="H37" s="2643"/>
      <c r="I37" s="2643"/>
      <c r="J37" s="2643"/>
      <c r="K37" s="1974"/>
      <c r="L37" s="838"/>
      <c r="M37" s="847"/>
      <c r="N37" s="1967"/>
    </row>
    <row r="38" spans="1:14" x14ac:dyDescent="0.25">
      <c r="A38" s="1968"/>
      <c r="B38" s="847"/>
      <c r="C38" s="2643"/>
      <c r="D38" s="2643"/>
      <c r="E38" s="2643"/>
      <c r="F38" s="2643"/>
      <c r="G38" s="2643"/>
      <c r="H38" s="2643"/>
      <c r="I38" s="2643"/>
      <c r="J38" s="2643"/>
      <c r="K38" s="1974"/>
      <c r="L38" s="838"/>
      <c r="M38" s="847"/>
      <c r="N38" s="1967"/>
    </row>
    <row r="39" spans="1:14" x14ac:dyDescent="0.25">
      <c r="A39" s="1968"/>
      <c r="B39" s="847"/>
      <c r="C39" s="1973"/>
      <c r="D39" s="847"/>
      <c r="E39" s="1971"/>
      <c r="F39" s="1972"/>
      <c r="G39" s="1972"/>
      <c r="H39" s="1971"/>
      <c r="I39" s="847"/>
      <c r="J39" s="847"/>
      <c r="K39" s="847"/>
      <c r="L39" s="847"/>
      <c r="M39" s="847"/>
      <c r="N39" s="1967"/>
    </row>
    <row r="40" spans="1:14" x14ac:dyDescent="0.25">
      <c r="A40" s="1968"/>
      <c r="B40" s="1970"/>
      <c r="C40" s="2644" t="s">
        <v>2047</v>
      </c>
      <c r="D40" s="2645"/>
      <c r="E40" s="2645"/>
      <c r="F40" s="2645"/>
      <c r="G40" s="2645"/>
      <c r="H40" s="2645"/>
      <c r="I40" s="2645"/>
      <c r="J40" s="2645"/>
      <c r="K40" s="1969"/>
      <c r="L40" s="847"/>
      <c r="M40" s="847"/>
      <c r="N40" s="1967"/>
    </row>
    <row r="41" spans="1:14" x14ac:dyDescent="0.25">
      <c r="A41" s="1968"/>
      <c r="B41" s="847"/>
      <c r="C41" s="839"/>
      <c r="D41" s="839"/>
      <c r="E41" s="839"/>
      <c r="F41" s="839"/>
      <c r="G41" s="839"/>
      <c r="H41" s="839"/>
      <c r="I41" s="839"/>
      <c r="J41" s="839"/>
      <c r="K41" s="839"/>
      <c r="L41" s="847"/>
      <c r="M41" s="847"/>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646" t="s">
        <v>2046</v>
      </c>
      <c r="B43" s="2647"/>
      <c r="C43" s="2647"/>
      <c r="D43" s="2647"/>
      <c r="E43" s="2647"/>
      <c r="F43" s="2647"/>
      <c r="G43" s="2647"/>
      <c r="H43" s="2647"/>
      <c r="I43" s="2647"/>
      <c r="J43" s="2647"/>
      <c r="K43" s="2647"/>
      <c r="L43" s="2647"/>
      <c r="M43" s="2647"/>
      <c r="N43" s="2648"/>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2045</v>
      </c>
      <c r="B45" s="1954"/>
      <c r="C45" s="1954"/>
      <c r="D45" s="1954"/>
      <c r="E45" s="1954"/>
      <c r="F45" s="1954"/>
      <c r="G45" s="1954"/>
      <c r="H45" s="1954"/>
      <c r="I45" s="1954"/>
      <c r="J45" s="1954"/>
      <c r="K45" s="1954"/>
      <c r="L45" s="1954"/>
      <c r="M45" s="1954"/>
      <c r="N45" s="1953"/>
    </row>
    <row r="46" spans="1:14" x14ac:dyDescent="0.25">
      <c r="A46" s="2649" t="s">
        <v>2044</v>
      </c>
      <c r="B46" s="2650"/>
      <c r="C46" s="2650"/>
      <c r="D46" s="2650"/>
      <c r="E46" s="2650"/>
      <c r="F46" s="2650"/>
      <c r="G46" s="2650"/>
      <c r="H46" s="2650"/>
      <c r="I46" s="2650"/>
      <c r="J46" s="2650"/>
      <c r="K46" s="2650"/>
      <c r="L46" s="2650"/>
      <c r="M46" s="2650"/>
      <c r="N46" s="2651"/>
    </row>
    <row r="47" spans="1:14" x14ac:dyDescent="0.25">
      <c r="A47" s="2649"/>
      <c r="B47" s="2650"/>
      <c r="C47" s="2650"/>
      <c r="D47" s="2650"/>
      <c r="E47" s="2650"/>
      <c r="F47" s="2650"/>
      <c r="G47" s="2650"/>
      <c r="H47" s="2650"/>
      <c r="I47" s="2650"/>
      <c r="J47" s="2650"/>
      <c r="K47" s="2650"/>
      <c r="L47" s="2650"/>
      <c r="M47" s="2650"/>
      <c r="N47" s="2651"/>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2043</v>
      </c>
      <c r="B49" s="1960"/>
      <c r="C49" s="1960"/>
      <c r="D49" s="1959"/>
      <c r="E49" s="1959"/>
      <c r="F49" s="1959"/>
      <c r="G49" s="1959"/>
      <c r="H49" s="1959"/>
      <c r="I49" s="1959"/>
      <c r="J49" s="1959"/>
      <c r="K49" s="1959"/>
      <c r="L49" s="1959"/>
      <c r="M49" s="1959"/>
      <c r="N49" s="1958"/>
    </row>
    <row r="50" spans="1:14" x14ac:dyDescent="0.25">
      <c r="A50" s="1957" t="s">
        <v>2042</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1020</v>
      </c>
      <c r="L52" s="2636" t="str">
        <f>J6</f>
        <v xml:space="preserve"> McHenry CHSD 156</v>
      </c>
      <c r="M52" s="2636"/>
      <c r="N52" s="2637"/>
    </row>
    <row r="53" spans="1:14" x14ac:dyDescent="0.25">
      <c r="A53" s="1955"/>
      <c r="B53" s="1954"/>
      <c r="C53" s="1954"/>
      <c r="D53" s="1954"/>
      <c r="E53" s="1954"/>
      <c r="F53" s="1954"/>
      <c r="G53" s="1954"/>
      <c r="H53" s="1954"/>
      <c r="I53" s="1954"/>
      <c r="J53" s="1954"/>
      <c r="K53" s="1956" t="s">
        <v>369</v>
      </c>
      <c r="L53" s="2654">
        <f>J7</f>
        <v>44063156016</v>
      </c>
      <c r="M53" s="2654"/>
      <c r="N53" s="2655"/>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656"/>
      <c r="B55" s="2657"/>
      <c r="C55" s="2657"/>
      <c r="D55" s="1937"/>
      <c r="E55" s="1937"/>
      <c r="F55" s="1937"/>
      <c r="G55" s="2658" t="s">
        <v>2041</v>
      </c>
      <c r="H55" s="2658"/>
      <c r="I55" s="2658"/>
      <c r="J55" s="2658"/>
      <c r="K55" s="2658"/>
      <c r="L55" s="2658"/>
      <c r="M55" s="2658"/>
      <c r="N55" s="2659"/>
    </row>
    <row r="56" spans="1:14" ht="64.5" x14ac:dyDescent="0.25">
      <c r="A56" s="2660" t="s">
        <v>2040</v>
      </c>
      <c r="B56" s="2661"/>
      <c r="C56" s="2662"/>
      <c r="D56" s="1951" t="s">
        <v>2039</v>
      </c>
      <c r="E56" s="1951" t="s">
        <v>2038</v>
      </c>
      <c r="F56" s="1952"/>
      <c r="G56" s="1951" t="s">
        <v>2037</v>
      </c>
      <c r="H56" s="1951" t="s">
        <v>2036</v>
      </c>
      <c r="I56" s="1951" t="s">
        <v>2035</v>
      </c>
      <c r="J56" s="1951" t="s">
        <v>2034</v>
      </c>
      <c r="K56" s="1951" t="s">
        <v>2033</v>
      </c>
      <c r="L56" s="1951" t="s">
        <v>2032</v>
      </c>
      <c r="M56" s="1951" t="s">
        <v>2031</v>
      </c>
      <c r="N56" s="1950" t="s">
        <v>2030</v>
      </c>
    </row>
    <row r="57" spans="1:14" ht="24" customHeight="1" x14ac:dyDescent="0.25">
      <c r="A57" s="2663" t="s">
        <v>296</v>
      </c>
      <c r="B57" s="2664"/>
      <c r="C57" s="2664"/>
      <c r="D57" s="1949">
        <v>2361</v>
      </c>
      <c r="E57" s="1948">
        <f>'Expenditures 15-22'!K319</f>
        <v>0</v>
      </c>
      <c r="F57" s="1941"/>
      <c r="G57" s="1947"/>
      <c r="H57" s="1946"/>
      <c r="I57" s="1946"/>
      <c r="J57" s="1946"/>
      <c r="K57" s="1946"/>
      <c r="L57" s="1946"/>
      <c r="M57" s="1946"/>
      <c r="N57" s="1938">
        <f t="shared" ref="N57:N67" si="3">IF((SUM(G57:M57))=E57,SUM(G57:M57),"Column N does not agree with Column E")</f>
        <v>0</v>
      </c>
    </row>
    <row r="58" spans="1:14" ht="24.75" customHeight="1" x14ac:dyDescent="0.25">
      <c r="A58" s="2665" t="s">
        <v>2029</v>
      </c>
      <c r="B58" s="2666"/>
      <c r="C58" s="2666"/>
      <c r="D58" s="1945">
        <v>2362</v>
      </c>
      <c r="E58" s="1948">
        <f>'Expenditures 15-22'!K320</f>
        <v>0</v>
      </c>
      <c r="F58" s="1941"/>
      <c r="G58" s="1944"/>
      <c r="H58" s="1943"/>
      <c r="I58" s="1943"/>
      <c r="J58" s="1943"/>
      <c r="K58" s="1943"/>
      <c r="L58" s="1943"/>
      <c r="M58" s="1943"/>
      <c r="N58" s="1938">
        <f t="shared" si="3"/>
        <v>0</v>
      </c>
    </row>
    <row r="59" spans="1:14" ht="24.75" customHeight="1" x14ac:dyDescent="0.25">
      <c r="A59" s="2652" t="s">
        <v>297</v>
      </c>
      <c r="B59" s="2653"/>
      <c r="C59" s="2653"/>
      <c r="D59" s="1945">
        <v>2363</v>
      </c>
      <c r="E59" s="1948">
        <f>'Expenditures 15-22'!K321</f>
        <v>0</v>
      </c>
      <c r="F59" s="1941"/>
      <c r="G59" s="1944"/>
      <c r="H59" s="1943"/>
      <c r="I59" s="1943"/>
      <c r="J59" s="1943"/>
      <c r="K59" s="1943"/>
      <c r="L59" s="1943"/>
      <c r="M59" s="1943"/>
      <c r="N59" s="1938">
        <f t="shared" si="3"/>
        <v>0</v>
      </c>
    </row>
    <row r="60" spans="1:14" ht="24.75" customHeight="1" x14ac:dyDescent="0.25">
      <c r="A60" s="2652" t="s">
        <v>236</v>
      </c>
      <c r="B60" s="2653"/>
      <c r="C60" s="2653"/>
      <c r="D60" s="1945">
        <v>2364</v>
      </c>
      <c r="E60" s="1948">
        <f>'Expenditures 15-22'!K322</f>
        <v>0</v>
      </c>
      <c r="F60" s="1941"/>
      <c r="G60" s="1944"/>
      <c r="H60" s="1943"/>
      <c r="I60" s="1943"/>
      <c r="J60" s="1943"/>
      <c r="K60" s="1943"/>
      <c r="L60" s="1943"/>
      <c r="M60" s="1943"/>
      <c r="N60" s="1938">
        <f t="shared" si="3"/>
        <v>0</v>
      </c>
    </row>
    <row r="61" spans="1:14" ht="24.75" customHeight="1" x14ac:dyDescent="0.25">
      <c r="A61" s="2652" t="s">
        <v>696</v>
      </c>
      <c r="B61" s="2653"/>
      <c r="C61" s="2653"/>
      <c r="D61" s="1945">
        <v>2365</v>
      </c>
      <c r="E61" s="1948">
        <f>'Expenditures 15-22'!K323</f>
        <v>147799</v>
      </c>
      <c r="F61" s="1941"/>
      <c r="G61" s="1944"/>
      <c r="H61" s="1943"/>
      <c r="I61" s="1943"/>
      <c r="J61" s="1943"/>
      <c r="K61" s="1943"/>
      <c r="L61" s="1943"/>
      <c r="M61" s="1943">
        <v>147799</v>
      </c>
      <c r="N61" s="1938">
        <f t="shared" si="3"/>
        <v>147799</v>
      </c>
    </row>
    <row r="62" spans="1:14" ht="24.75" customHeight="1" x14ac:dyDescent="0.25">
      <c r="A62" s="2652" t="s">
        <v>237</v>
      </c>
      <c r="B62" s="2653"/>
      <c r="C62" s="2653"/>
      <c r="D62" s="1945">
        <v>2366</v>
      </c>
      <c r="E62" s="1948">
        <f>'Expenditures 15-22'!K324</f>
        <v>0</v>
      </c>
      <c r="F62" s="1941"/>
      <c r="G62" s="1944"/>
      <c r="H62" s="1943"/>
      <c r="I62" s="1943"/>
      <c r="J62" s="1943"/>
      <c r="K62" s="1943"/>
      <c r="L62" s="1943"/>
      <c r="M62" s="1943"/>
      <c r="N62" s="1938">
        <f t="shared" si="3"/>
        <v>0</v>
      </c>
    </row>
    <row r="63" spans="1:14" ht="24.75" customHeight="1" x14ac:dyDescent="0.25">
      <c r="A63" s="2665" t="s">
        <v>1021</v>
      </c>
      <c r="B63" s="2666"/>
      <c r="C63" s="2666"/>
      <c r="D63" s="1945">
        <v>2367</v>
      </c>
      <c r="E63" s="1948">
        <f>'Expenditures 15-22'!K325</f>
        <v>0</v>
      </c>
      <c r="F63" s="1941"/>
      <c r="G63" s="1944"/>
      <c r="H63" s="1943"/>
      <c r="I63" s="1943"/>
      <c r="J63" s="1943"/>
      <c r="K63" s="1943"/>
      <c r="L63" s="1943"/>
      <c r="M63" s="1943"/>
      <c r="N63" s="1938">
        <f t="shared" si="3"/>
        <v>0</v>
      </c>
    </row>
    <row r="64" spans="1:14" ht="24.75" customHeight="1" x14ac:dyDescent="0.25">
      <c r="A64" s="2652" t="s">
        <v>1022</v>
      </c>
      <c r="B64" s="2653"/>
      <c r="C64" s="2653"/>
      <c r="D64" s="1945">
        <v>2368</v>
      </c>
      <c r="E64" s="1948">
        <f>'Expenditures 15-22'!K326</f>
        <v>0</v>
      </c>
      <c r="F64" s="1941"/>
      <c r="G64" s="1944"/>
      <c r="H64" s="1943"/>
      <c r="I64" s="1943"/>
      <c r="J64" s="1943"/>
      <c r="K64" s="1943"/>
      <c r="L64" s="1943"/>
      <c r="M64" s="1943"/>
      <c r="N64" s="1938">
        <f t="shared" si="3"/>
        <v>0</v>
      </c>
    </row>
    <row r="65" spans="1:14" ht="24" customHeight="1" x14ac:dyDescent="0.25">
      <c r="A65" s="2652" t="s">
        <v>964</v>
      </c>
      <c r="B65" s="2653"/>
      <c r="C65" s="2653"/>
      <c r="D65" s="1945">
        <v>2369</v>
      </c>
      <c r="E65" s="1948">
        <f>'Expenditures 15-22'!K327</f>
        <v>0</v>
      </c>
      <c r="F65" s="1941"/>
      <c r="G65" s="1944"/>
      <c r="H65" s="1943"/>
      <c r="I65" s="1943"/>
      <c r="J65" s="1943"/>
      <c r="K65" s="1943"/>
      <c r="L65" s="1943"/>
      <c r="M65" s="1943"/>
      <c r="N65" s="1938">
        <f t="shared" si="3"/>
        <v>0</v>
      </c>
    </row>
    <row r="66" spans="1:14" ht="24.75" customHeight="1" x14ac:dyDescent="0.25">
      <c r="A66" s="2652" t="s">
        <v>469</v>
      </c>
      <c r="B66" s="2653"/>
      <c r="C66" s="2653"/>
      <c r="D66" s="1945">
        <v>2371</v>
      </c>
      <c r="E66" s="1948">
        <f>'Expenditures 15-22'!K328</f>
        <v>40171</v>
      </c>
      <c r="F66" s="1941"/>
      <c r="G66" s="1944"/>
      <c r="H66" s="1943"/>
      <c r="I66" s="1943"/>
      <c r="J66" s="1943"/>
      <c r="K66" s="1943"/>
      <c r="L66" s="1943"/>
      <c r="M66" s="1943">
        <v>40171</v>
      </c>
      <c r="N66" s="1938">
        <f t="shared" si="3"/>
        <v>40171</v>
      </c>
    </row>
    <row r="67" spans="1:14" ht="24.75" customHeight="1" x14ac:dyDescent="0.25">
      <c r="A67" s="2672" t="s">
        <v>2028</v>
      </c>
      <c r="B67" s="2673"/>
      <c r="C67" s="2673"/>
      <c r="D67" s="1942">
        <v>2372</v>
      </c>
      <c r="E67" s="1948">
        <f>'Expenditures 15-22'!K329</f>
        <v>0</v>
      </c>
      <c r="F67" s="1941"/>
      <c r="G67" s="1940"/>
      <c r="H67" s="1939"/>
      <c r="I67" s="1939"/>
      <c r="J67" s="1939"/>
      <c r="K67" s="1939"/>
      <c r="L67" s="1939"/>
      <c r="M67" s="1939"/>
      <c r="N67" s="1938">
        <f t="shared" si="3"/>
        <v>0</v>
      </c>
    </row>
    <row r="68" spans="1:14" x14ac:dyDescent="0.25">
      <c r="A68" s="2674" t="s">
        <v>1150</v>
      </c>
      <c r="B68" s="2675"/>
      <c r="C68" s="2675"/>
      <c r="D68" s="1937"/>
      <c r="E68" s="1935">
        <f>SUM(E57:E67)</f>
        <v>187970</v>
      </c>
      <c r="F68" s="1936"/>
      <c r="G68" s="1935">
        <f t="shared" ref="G68:N68" si="4">SUM(G57:G67)</f>
        <v>0</v>
      </c>
      <c r="H68" s="1935">
        <f t="shared" si="4"/>
        <v>0</v>
      </c>
      <c r="I68" s="1935">
        <f t="shared" si="4"/>
        <v>0</v>
      </c>
      <c r="J68" s="1935">
        <f t="shared" si="4"/>
        <v>0</v>
      </c>
      <c r="K68" s="1935">
        <f t="shared" si="4"/>
        <v>0</v>
      </c>
      <c r="L68" s="1935">
        <f t="shared" si="4"/>
        <v>0</v>
      </c>
      <c r="M68" s="1935">
        <f t="shared" si="4"/>
        <v>187970</v>
      </c>
      <c r="N68" s="1934">
        <f t="shared" si="4"/>
        <v>187970</v>
      </c>
    </row>
    <row r="69" spans="1:14" x14ac:dyDescent="0.25">
      <c r="A69" s="1930"/>
      <c r="B69" s="1929"/>
      <c r="C69" s="1929"/>
      <c r="D69" s="1929"/>
      <c r="E69" s="1929"/>
      <c r="F69" s="1929"/>
      <c r="G69" s="1929"/>
      <c r="H69" s="1933" t="s">
        <v>2027</v>
      </c>
      <c r="I69" s="1929"/>
      <c r="J69" s="1929"/>
      <c r="K69" s="1929"/>
      <c r="L69" s="1933" t="s">
        <v>2026</v>
      </c>
      <c r="M69" s="1929"/>
      <c r="N69" s="1932"/>
    </row>
    <row r="70" spans="1:14" ht="46.5" customHeight="1" x14ac:dyDescent="0.25">
      <c r="A70" s="1931" t="s">
        <v>2025</v>
      </c>
      <c r="B70" s="1929"/>
      <c r="C70" s="1929"/>
      <c r="D70" s="1929"/>
      <c r="E70" s="1929"/>
      <c r="F70" s="1929"/>
      <c r="G70" s="1929"/>
      <c r="H70" s="2668" t="s">
        <v>2024</v>
      </c>
      <c r="I70" s="2668"/>
      <c r="J70" s="2668"/>
      <c r="K70" s="1929"/>
      <c r="L70" s="2668" t="s">
        <v>2023</v>
      </c>
      <c r="M70" s="2668"/>
      <c r="N70" s="2669"/>
    </row>
    <row r="71" spans="1:14" ht="42.75" customHeight="1" x14ac:dyDescent="0.25">
      <c r="A71" s="1930"/>
      <c r="B71" s="1929"/>
      <c r="C71" s="1929"/>
      <c r="D71" s="1929"/>
      <c r="E71" s="1929"/>
      <c r="F71" s="1929"/>
      <c r="G71" s="1929"/>
      <c r="H71" s="2668" t="s">
        <v>2022</v>
      </c>
      <c r="I71" s="2668"/>
      <c r="J71" s="2668"/>
      <c r="K71" s="1929"/>
      <c r="L71" s="2670" t="s">
        <v>2021</v>
      </c>
      <c r="M71" s="2670"/>
      <c r="N71" s="2671"/>
    </row>
    <row r="72" spans="1:14" ht="52.5" customHeight="1" thickBot="1" x14ac:dyDescent="0.3">
      <c r="A72" s="1928"/>
      <c r="B72" s="1927"/>
      <c r="C72" s="1927"/>
      <c r="D72" s="1927"/>
      <c r="E72" s="1927"/>
      <c r="F72" s="1927"/>
      <c r="G72" s="1927"/>
      <c r="H72" s="2667" t="s">
        <v>2020</v>
      </c>
      <c r="I72" s="2667"/>
      <c r="J72" s="2667"/>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FF00"/>
  </sheetPr>
  <dimension ref="A2:C65"/>
  <sheetViews>
    <sheetView showGridLines="0" zoomScale="110" zoomScaleNormal="110" workbookViewId="0">
      <selection activeCell="B17" sqref="B17"/>
    </sheetView>
  </sheetViews>
  <sheetFormatPr defaultRowHeight="12.75" x14ac:dyDescent="0.2"/>
  <cols>
    <col min="1" max="1" width="3" style="307" customWidth="1"/>
    <col min="2" max="2" width="65.28515625" style="307" customWidth="1"/>
    <col min="3" max="3" width="43" style="307" customWidth="1"/>
    <col min="4" max="16384" width="9.140625" style="307"/>
  </cols>
  <sheetData>
    <row r="2" spans="1:3" x14ac:dyDescent="0.2">
      <c r="A2" s="366" t="s">
        <v>256</v>
      </c>
    </row>
    <row r="3" spans="1:3" x14ac:dyDescent="0.2">
      <c r="A3" s="307" t="s">
        <v>257</v>
      </c>
    </row>
    <row r="5" spans="1:3" x14ac:dyDescent="0.2">
      <c r="A5" s="840">
        <v>1</v>
      </c>
      <c r="B5" s="307" t="s">
        <v>2153</v>
      </c>
      <c r="C5" s="307" t="s">
        <v>2164</v>
      </c>
    </row>
    <row r="6" spans="1:3" x14ac:dyDescent="0.2">
      <c r="A6" s="840">
        <v>2</v>
      </c>
      <c r="B6" s="307" t="s">
        <v>2154</v>
      </c>
      <c r="C6" s="307" t="s">
        <v>2165</v>
      </c>
    </row>
    <row r="7" spans="1:3" x14ac:dyDescent="0.2">
      <c r="A7" s="840">
        <v>3</v>
      </c>
      <c r="B7" s="307" t="s">
        <v>2155</v>
      </c>
      <c r="C7" s="307" t="s">
        <v>2166</v>
      </c>
    </row>
    <row r="8" spans="1:3" x14ac:dyDescent="0.2">
      <c r="A8" s="840">
        <v>4</v>
      </c>
      <c r="B8" s="307" t="s">
        <v>2156</v>
      </c>
      <c r="C8" s="307" t="s">
        <v>2167</v>
      </c>
    </row>
    <row r="9" spans="1:3" x14ac:dyDescent="0.2">
      <c r="A9" s="841">
        <v>5</v>
      </c>
      <c r="B9" s="307" t="s">
        <v>2157</v>
      </c>
      <c r="C9" s="307" t="s">
        <v>2168</v>
      </c>
    </row>
    <row r="10" spans="1:3" x14ac:dyDescent="0.2">
      <c r="A10" s="841">
        <v>6</v>
      </c>
      <c r="B10" s="307" t="s">
        <v>2158</v>
      </c>
      <c r="C10" s="307" t="s">
        <v>2172</v>
      </c>
    </row>
    <row r="11" spans="1:3" x14ac:dyDescent="0.2">
      <c r="A11" s="841">
        <v>7</v>
      </c>
      <c r="B11" s="307" t="s">
        <v>2159</v>
      </c>
      <c r="C11" s="307" t="s">
        <v>2173</v>
      </c>
    </row>
    <row r="12" spans="1:3" x14ac:dyDescent="0.2">
      <c r="A12" s="841">
        <v>8</v>
      </c>
      <c r="B12" s="307" t="s">
        <v>2162</v>
      </c>
      <c r="C12" s="307" t="s">
        <v>2169</v>
      </c>
    </row>
    <row r="13" spans="1:3" x14ac:dyDescent="0.2">
      <c r="A13" s="841">
        <v>9</v>
      </c>
      <c r="B13" s="307" t="s">
        <v>2163</v>
      </c>
      <c r="C13" s="307" t="s">
        <v>2176</v>
      </c>
    </row>
    <row r="14" spans="1:3" x14ac:dyDescent="0.2">
      <c r="A14" s="841">
        <v>10</v>
      </c>
      <c r="B14" s="307" t="s">
        <v>2161</v>
      </c>
      <c r="C14" s="307" t="s">
        <v>2170</v>
      </c>
    </row>
    <row r="15" spans="1:3" x14ac:dyDescent="0.2">
      <c r="A15" s="841">
        <v>11</v>
      </c>
      <c r="B15" s="307" t="s">
        <v>2160</v>
      </c>
      <c r="C15" s="307" t="s">
        <v>2171</v>
      </c>
    </row>
    <row r="16" spans="1:3"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McHenry CHSD 156</v>
      </c>
    </row>
    <row r="65" spans="2:2" x14ac:dyDescent="0.2">
      <c r="B65" s="842">
        <f>COVER!A13</f>
        <v>44063156016</v>
      </c>
    </row>
  </sheetData>
  <phoneticPr fontId="19"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pageSetUpPr fitToPage="1"/>
  </sheetPr>
  <dimension ref="A1:I84"/>
  <sheetViews>
    <sheetView showGridLines="0"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63" t="s">
        <v>1591</v>
      </c>
    </row>
    <row r="23" spans="1:5" x14ac:dyDescent="0.2">
      <c r="A23" s="163"/>
      <c r="B23" s="157" t="s">
        <v>1822</v>
      </c>
      <c r="D23" s="162" t="s">
        <v>632</v>
      </c>
      <c r="E23" s="1463" t="s">
        <v>952</v>
      </c>
    </row>
    <row r="24" spans="1:5" x14ac:dyDescent="0.2">
      <c r="A24" s="163" t="s">
        <v>1589</v>
      </c>
      <c r="C24" s="157" t="s">
        <v>1158</v>
      </c>
      <c r="D24" s="162" t="s">
        <v>1374</v>
      </c>
      <c r="E24" s="165" t="s">
        <v>953</v>
      </c>
    </row>
    <row r="25" spans="1:5" x14ac:dyDescent="0.2">
      <c r="A25" s="163" t="s">
        <v>1834</v>
      </c>
      <c r="C25" s="157" t="s">
        <v>1158</v>
      </c>
      <c r="D25" s="164" t="s">
        <v>21</v>
      </c>
      <c r="E25" s="1463" t="s">
        <v>2057</v>
      </c>
    </row>
    <row r="26" spans="1:5" x14ac:dyDescent="0.2">
      <c r="A26" s="163" t="s">
        <v>1835</v>
      </c>
      <c r="C26" s="157" t="s">
        <v>1158</v>
      </c>
      <c r="D26" s="164" t="s">
        <v>559</v>
      </c>
      <c r="E26" s="1463">
        <v>34</v>
      </c>
    </row>
    <row r="27" spans="1:5" x14ac:dyDescent="0.2">
      <c r="A27" s="163" t="s">
        <v>1836</v>
      </c>
      <c r="C27" s="157" t="s">
        <v>1158</v>
      </c>
      <c r="D27" s="164" t="s">
        <v>553</v>
      </c>
      <c r="E27" s="1463">
        <v>35</v>
      </c>
    </row>
    <row r="28" spans="1:5" x14ac:dyDescent="0.2">
      <c r="A28" s="163" t="s">
        <v>1838</v>
      </c>
      <c r="D28" s="164" t="s">
        <v>678</v>
      </c>
      <c r="E28" s="1463">
        <v>36</v>
      </c>
    </row>
    <row r="29" spans="1:5" x14ac:dyDescent="0.2">
      <c r="A29" s="163" t="s">
        <v>1839</v>
      </c>
      <c r="D29" s="164" t="s">
        <v>1375</v>
      </c>
      <c r="E29" s="1463">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63" t="s">
        <v>2058</v>
      </c>
    </row>
    <row r="33" spans="1:5" x14ac:dyDescent="0.2">
      <c r="A33" s="167"/>
      <c r="D33" s="164"/>
      <c r="E33" s="166"/>
    </row>
    <row r="34" spans="1:5" x14ac:dyDescent="0.2">
      <c r="A34" s="167"/>
      <c r="D34" s="164"/>
      <c r="E34" s="166"/>
    </row>
    <row r="35" spans="1:5" ht="15.75" customHeight="1" thickBot="1" x14ac:dyDescent="0.25">
      <c r="A35" s="2357" t="s">
        <v>1055</v>
      </c>
      <c r="B35" s="2357"/>
      <c r="C35" s="2357"/>
      <c r="D35" s="2357"/>
      <c r="E35" s="235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354" t="s">
        <v>685</v>
      </c>
      <c r="B40" s="2354"/>
      <c r="C40" s="2354"/>
      <c r="D40" s="2354"/>
      <c r="E40" s="2354"/>
    </row>
    <row r="41" spans="1:5" x14ac:dyDescent="0.2">
      <c r="A41" s="2355" t="s">
        <v>1588</v>
      </c>
      <c r="B41" s="2355"/>
      <c r="C41" s="2355"/>
      <c r="D41" s="2355"/>
      <c r="E41" s="2355"/>
    </row>
    <row r="42" spans="1:5" ht="12.75" customHeight="1" x14ac:dyDescent="0.2">
      <c r="A42" s="2356" t="s">
        <v>1014</v>
      </c>
      <c r="B42" s="2356"/>
      <c r="C42" s="2356"/>
      <c r="D42" s="2356"/>
      <c r="E42" s="2356"/>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9" t="s">
        <v>1747</v>
      </c>
    </row>
    <row r="60" spans="1:3" x14ac:dyDescent="0.2">
      <c r="A60" s="191"/>
      <c r="B60" s="1249"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51"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50"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FF0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9"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FF00"/>
  </sheetPr>
  <dimension ref="A11:F18"/>
  <sheetViews>
    <sheetView showGridLines="0" zoomScale="110" zoomScaleNormal="110" workbookViewId="0">
      <selection activeCell="B31" sqref="B31"/>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1967</v>
      </c>
    </row>
    <row r="17" spans="1:2" ht="6" customHeight="1" x14ac:dyDescent="0.2"/>
    <row r="18" spans="1:2" ht="24.75" customHeight="1" x14ac:dyDescent="0.2">
      <c r="A18" s="2676" t="s">
        <v>1662</v>
      </c>
      <c r="B18" s="2676"/>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47625</xdr:colOff>
                <xdr:row>5</xdr:row>
                <xdr:rowOff>47625</xdr:rowOff>
              </from>
              <to>
                <xdr:col>1</xdr:col>
                <xdr:colOff>962025</xdr:colOff>
                <xdr:row>9</xdr:row>
                <xdr:rowOff>85725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1190625</xdr:colOff>
                <xdr:row>5</xdr:row>
                <xdr:rowOff>38100</xdr:rowOff>
              </from>
              <to>
                <xdr:col>1</xdr:col>
                <xdr:colOff>2105025</xdr:colOff>
                <xdr:row>9</xdr:row>
                <xdr:rowOff>76200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FF00"/>
    <pageSetUpPr fitToPage="1"/>
  </sheetPr>
  <dimension ref="A1:H48"/>
  <sheetViews>
    <sheetView showGridLines="0" showZeros="0" zoomScale="110" zoomScaleNormal="110" workbookViewId="0">
      <selection activeCell="J21" sqref="J2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77" t="s">
        <v>1666</v>
      </c>
      <c r="B1" s="2678"/>
      <c r="C1" s="2678"/>
      <c r="D1" s="2678"/>
      <c r="E1" s="2678"/>
      <c r="F1" s="2679"/>
    </row>
    <row r="2" spans="1:8" ht="45" customHeight="1" x14ac:dyDescent="0.2">
      <c r="A2" s="26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88"/>
      <c r="C2" s="2688"/>
      <c r="D2" s="2688"/>
      <c r="E2" s="2688"/>
      <c r="F2" s="2689"/>
      <c r="G2" s="846"/>
      <c r="H2" s="846"/>
    </row>
    <row r="3" spans="1:8" ht="57" customHeight="1" x14ac:dyDescent="0.2">
      <c r="A3" s="2690" t="s">
        <v>1966</v>
      </c>
      <c r="B3" s="2691"/>
      <c r="C3" s="2691"/>
      <c r="D3" s="2691"/>
      <c r="E3" s="2691"/>
      <c r="F3" s="2692"/>
      <c r="G3" s="846"/>
      <c r="H3" s="846"/>
    </row>
    <row r="4" spans="1:8" ht="14.25" customHeight="1" x14ac:dyDescent="0.2">
      <c r="A4" s="26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97"/>
      <c r="C4" s="2697"/>
      <c r="D4" s="2697"/>
      <c r="E4" s="2697"/>
      <c r="F4" s="2698"/>
      <c r="G4" s="846"/>
      <c r="H4" s="846"/>
    </row>
    <row r="5" spans="1:8" ht="14.25" customHeight="1" x14ac:dyDescent="0.2">
      <c r="A5" s="26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700"/>
      <c r="C5" s="2700"/>
      <c r="D5" s="2700"/>
      <c r="E5" s="2700"/>
      <c r="F5" s="2701"/>
      <c r="G5" s="846"/>
      <c r="H5" s="846"/>
    </row>
    <row r="6" spans="1:8" s="847" customFormat="1" ht="41.25" customHeight="1" x14ac:dyDescent="0.2">
      <c r="A6" s="2693" t="s">
        <v>1667</v>
      </c>
      <c r="B6" s="2694"/>
      <c r="C6" s="2694"/>
      <c r="D6" s="2694"/>
      <c r="E6" s="2694"/>
      <c r="F6" s="2695"/>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28921290</v>
      </c>
      <c r="C8" s="1802">
        <f>'Acct Summary 7-8'!D8</f>
        <v>3039211</v>
      </c>
      <c r="D8" s="1802">
        <f>'Acct Summary 7-8'!F8</f>
        <v>1294137</v>
      </c>
      <c r="E8" s="1802">
        <f>'Acct Summary 7-8'!I8</f>
        <v>111596</v>
      </c>
      <c r="F8" s="1802">
        <f>SUM(B8:E8)</f>
        <v>33366234</v>
      </c>
    </row>
    <row r="9" spans="1:8" s="851" customFormat="1" ht="14.25" customHeight="1" thickBot="1" x14ac:dyDescent="0.25">
      <c r="A9" s="850" t="s">
        <v>1351</v>
      </c>
      <c r="B9" s="1803">
        <f>'Acct Summary 7-8'!C17</f>
        <v>26603550</v>
      </c>
      <c r="C9" s="1803">
        <f>'Acct Summary 7-8'!D17</f>
        <v>3920300</v>
      </c>
      <c r="D9" s="1803">
        <f>'Acct Summary 7-8'!F17</f>
        <v>1326292</v>
      </c>
      <c r="E9" s="1802"/>
      <c r="F9" s="1802">
        <f>SUM(B9:E9)</f>
        <v>31850142</v>
      </c>
    </row>
    <row r="10" spans="1:8" s="851" customFormat="1" ht="14.25" thickTop="1" thickBot="1" x14ac:dyDescent="0.25">
      <c r="A10" s="852" t="s">
        <v>1352</v>
      </c>
      <c r="B10" s="1804">
        <f>(B8-B9)</f>
        <v>2317740</v>
      </c>
      <c r="C10" s="1804">
        <f>(C8-C9)</f>
        <v>-881089</v>
      </c>
      <c r="D10" s="1804">
        <f>(D8-D9)</f>
        <v>-32155</v>
      </c>
      <c r="E10" s="1803">
        <f>(E8-E9)</f>
        <v>111596</v>
      </c>
      <c r="F10" s="1805">
        <f>SUM(F8-F9)</f>
        <v>1516092</v>
      </c>
    </row>
    <row r="11" spans="1:8" s="851" customFormat="1" ht="14.25" thickTop="1" thickBot="1" x14ac:dyDescent="0.25">
      <c r="A11" s="853" t="s">
        <v>1897</v>
      </c>
      <c r="B11" s="1806">
        <f>'Acct Summary 7-8'!C81</f>
        <v>21196129</v>
      </c>
      <c r="C11" s="1806">
        <f>'Acct Summary 7-8'!D81</f>
        <v>905128</v>
      </c>
      <c r="D11" s="1806">
        <f>'Acct Summary 7-8'!F81</f>
        <v>521885</v>
      </c>
      <c r="E11" s="1806">
        <f>'Acct Summary 7-8'!I81</f>
        <v>914601</v>
      </c>
      <c r="F11" s="1807">
        <f>SUM(B11:E11)</f>
        <v>23537743</v>
      </c>
    </row>
    <row r="12" spans="1:8" ht="16.5" customHeight="1" thickTop="1" x14ac:dyDescent="0.2">
      <c r="A12" s="854"/>
      <c r="B12" s="855"/>
      <c r="C12" s="2681" t="str">
        <f>IF(AND(F10&lt;0,F11&gt;=0,ABS(F10*3)&gt;ABS(F11)),A16,IF(AND(F10&lt;0,F11&gt;0,ABS(F10*3)&lt;=ABS(F11)),A17,IF(AND(F10&lt;0,F11&lt;0),A16,IF(F11=0,A19,A18))))</f>
        <v>Balanced - no deficit reduction plan is required.</v>
      </c>
      <c r="D12" s="2682"/>
      <c r="E12" s="2682"/>
      <c r="F12" s="2683"/>
    </row>
    <row r="13" spans="1:8" ht="19.5" customHeight="1" x14ac:dyDescent="0.2">
      <c r="A13" s="856"/>
      <c r="B13" s="857"/>
      <c r="C13" s="2681"/>
      <c r="D13" s="2682"/>
      <c r="E13" s="2682"/>
      <c r="F13" s="2683"/>
      <c r="H13" s="846"/>
    </row>
    <row r="14" spans="1:8" ht="19.5" customHeight="1" x14ac:dyDescent="0.2">
      <c r="A14" s="856"/>
      <c r="B14" s="857"/>
      <c r="C14" s="2681"/>
      <c r="D14" s="2682"/>
      <c r="E14" s="2682"/>
      <c r="F14" s="2683"/>
      <c r="H14" s="846"/>
    </row>
    <row r="15" spans="1:8" ht="17.25" customHeight="1" x14ac:dyDescent="0.2">
      <c r="A15" s="856"/>
      <c r="B15" s="857"/>
      <c r="C15" s="2684"/>
      <c r="D15" s="2685"/>
      <c r="E15" s="2685"/>
      <c r="F15" s="2686"/>
      <c r="H15" s="846"/>
    </row>
    <row r="16" spans="1:8" s="288" customFormat="1" ht="51.75" hidden="1" customHeight="1" x14ac:dyDescent="0.2">
      <c r="A16" s="2680" t="s">
        <v>1663</v>
      </c>
      <c r="B16" s="2680"/>
      <c r="C16" s="2680"/>
      <c r="D16" s="2680"/>
      <c r="E16" s="2680"/>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election activeCell="D55" sqref="D55"/>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702" t="s">
        <v>660</v>
      </c>
      <c r="B3" s="2703"/>
      <c r="C3" s="2703"/>
      <c r="D3" s="2704"/>
    </row>
    <row r="4" spans="1:4" x14ac:dyDescent="0.2">
      <c r="A4" s="924" t="s">
        <v>1668</v>
      </c>
      <c r="B4" s="925"/>
      <c r="C4" s="926"/>
      <c r="D4" s="927"/>
    </row>
    <row r="5" spans="1:4" ht="21" customHeight="1" x14ac:dyDescent="0.2">
      <c r="A5" s="920"/>
      <c r="B5" s="921">
        <v>1</v>
      </c>
      <c r="C5" s="922" t="s">
        <v>1968</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713" t="s">
        <v>1484</v>
      </c>
      <c r="D7" s="2714"/>
    </row>
    <row r="8" spans="1:4" s="542" customFormat="1" ht="12.75" x14ac:dyDescent="0.2">
      <c r="A8" s="910"/>
      <c r="B8" s="865"/>
      <c r="C8" s="868" t="s">
        <v>1483</v>
      </c>
      <c r="D8" s="869"/>
    </row>
    <row r="9" spans="1:4" s="542" customFormat="1" ht="14.25" customHeight="1" x14ac:dyDescent="0.2">
      <c r="A9" s="910"/>
      <c r="B9" s="865">
        <f>B7+1</f>
        <v>4</v>
      </c>
      <c r="C9" s="866" t="s">
        <v>1873</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705" t="s">
        <v>1000</v>
      </c>
      <c r="B15" s="2706"/>
      <c r="C15" s="2706"/>
      <c r="D15" s="2707"/>
    </row>
    <row r="16" spans="1:4" s="542" customFormat="1" ht="24" customHeight="1" x14ac:dyDescent="0.2">
      <c r="A16" s="2708" t="s">
        <v>658</v>
      </c>
      <c r="B16" s="2709"/>
      <c r="C16" s="2709"/>
      <c r="D16" s="2710"/>
    </row>
    <row r="17" spans="1:10" s="542" customFormat="1" ht="12.75" customHeight="1" x14ac:dyDescent="0.2">
      <c r="A17" s="928" t="s">
        <v>1669</v>
      </c>
      <c r="B17" s="929"/>
      <c r="C17" s="930"/>
      <c r="D17" s="931"/>
    </row>
    <row r="18" spans="1:10" s="542" customFormat="1" ht="12.75" customHeight="1" x14ac:dyDescent="0.2">
      <c r="A18" s="932" t="s">
        <v>1969</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717" t="s">
        <v>311</v>
      </c>
      <c r="D21" s="2718"/>
    </row>
    <row r="22" spans="1:10" ht="12.75" x14ac:dyDescent="0.2">
      <c r="A22" s="911"/>
      <c r="B22" s="912">
        <v>2</v>
      </c>
      <c r="C22" s="2715" t="s">
        <v>1504</v>
      </c>
      <c r="D22" s="2716"/>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719" t="s">
        <v>533</v>
      </c>
      <c r="D43" s="2720"/>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711" t="s">
        <v>778</v>
      </c>
      <c r="D56" s="2712"/>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1874</v>
      </c>
      <c r="D66" s="897"/>
    </row>
    <row r="67" spans="1:4" x14ac:dyDescent="0.2">
      <c r="A67" s="891"/>
      <c r="B67" s="912"/>
      <c r="C67" s="919" t="s">
        <v>1013</v>
      </c>
      <c r="D67" s="897"/>
    </row>
    <row r="68" spans="1:4" x14ac:dyDescent="0.2">
      <c r="A68" s="872"/>
      <c r="B68" s="882"/>
      <c r="C68" s="874" t="s">
        <v>1875</v>
      </c>
      <c r="D68" s="896" t="str">
        <f>IF('Short-Term Long-Term Debt 24'!F49=SUM(,'Acct Summary 7-8'!C33:K33),"OK","ERROR!")</f>
        <v>OK</v>
      </c>
    </row>
    <row r="69" spans="1:4" x14ac:dyDescent="0.2">
      <c r="A69" s="872"/>
      <c r="B69" s="882"/>
      <c r="C69" s="874" t="s">
        <v>1876</v>
      </c>
      <c r="D69" s="896" t="str">
        <f>IF('Expenditures 15-22'!H170&lt;&gt;'Short-Term Long-Term Debt 24'!H49,"ERROR!","OK")</f>
        <v>OK</v>
      </c>
    </row>
    <row r="70" spans="1:4" x14ac:dyDescent="0.2">
      <c r="A70" s="870"/>
      <c r="B70" s="892">
        <f>B66+1</f>
        <v>9</v>
      </c>
      <c r="C70" s="2711" t="s">
        <v>1671</v>
      </c>
      <c r="D70" s="2712"/>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1877</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1982</v>
      </c>
      <c r="D78" s="896" t="str">
        <f>IF(ISNUMBER('Acct Summary 7-8'!C9),"OK","ENTRY IS REQUIRED!")</f>
        <v>OK</v>
      </c>
    </row>
    <row r="79" spans="1:4" x14ac:dyDescent="0.2">
      <c r="A79" s="891"/>
      <c r="B79" s="892">
        <f>B74+1+1</f>
        <v>12</v>
      </c>
      <c r="C79" s="902" t="s">
        <v>1865</v>
      </c>
      <c r="D79" s="903" t="str">
        <f>IF(OR(COVER!$B$6="X",'PCTC-OEPP 27-28'!F79&gt;0),"OK","PLEASE ENTER 9 MO ADA.")</f>
        <v>OK</v>
      </c>
    </row>
    <row r="80" spans="1:4" x14ac:dyDescent="0.2">
      <c r="A80" s="870"/>
      <c r="B80" s="892">
        <v>13</v>
      </c>
      <c r="C80" s="902" t="s">
        <v>1970</v>
      </c>
      <c r="D80" s="903" t="str">
        <f>IF(OR(COVER!$B$6="X",ISNUMBER('PCTC-OEPP 27-28'!F172)),"OK","PLEASE ENTER AMOUNT or 0.")</f>
        <v>OK</v>
      </c>
    </row>
    <row r="81" spans="1:4" x14ac:dyDescent="0.2">
      <c r="A81" s="870"/>
      <c r="B81" s="892">
        <v>14</v>
      </c>
      <c r="C81" s="902" t="s">
        <v>1971</v>
      </c>
      <c r="D81" s="903" t="str">
        <f>IF(OR(COVER!$B$6="X",ISNUMBER('PCTC-OEPP 27-28'!F173)),"OK","PLEASE ENTER AMOUNT or 0.")</f>
        <v>OK</v>
      </c>
    </row>
    <row r="82" spans="1:4" x14ac:dyDescent="0.2">
      <c r="A82" s="870"/>
      <c r="B82" s="892">
        <v>15</v>
      </c>
      <c r="C82" s="902" t="s">
        <v>1878</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1961</v>
      </c>
      <c r="F1" s="1536" t="s">
        <v>1962</v>
      </c>
      <c r="G1" s="1887" t="s">
        <v>1972</v>
      </c>
    </row>
    <row r="2" spans="1:7" ht="15.75" x14ac:dyDescent="0.25">
      <c r="A2" t="s">
        <v>260</v>
      </c>
      <c r="B2" s="135">
        <f>COVER!A13</f>
        <v>44063156016</v>
      </c>
      <c r="E2" s="1535">
        <v>2020</v>
      </c>
      <c r="F2" s="1535">
        <v>1</v>
      </c>
      <c r="G2" s="1886">
        <v>101000300</v>
      </c>
    </row>
    <row r="3" spans="1:7" ht="15" x14ac:dyDescent="0.25">
      <c r="A3" t="s">
        <v>949</v>
      </c>
      <c r="B3" s="135" t="str">
        <f>COVER!A15</f>
        <v>MCHENRY</v>
      </c>
      <c r="E3" s="1819" t="s">
        <v>1965</v>
      </c>
      <c r="F3" s="1819" t="s">
        <v>1964</v>
      </c>
      <c r="G3" s="1886">
        <v>101000400</v>
      </c>
    </row>
    <row r="4" spans="1:7" ht="15" x14ac:dyDescent="0.25">
      <c r="A4" t="s">
        <v>999</v>
      </c>
      <c r="B4" s="135" t="str">
        <f>COVER!A17</f>
        <v xml:space="preserve"> McHenry CHSD 156</v>
      </c>
      <c r="E4" s="1817">
        <v>44119</v>
      </c>
      <c r="F4" s="1818">
        <v>44151</v>
      </c>
      <c r="G4" s="1886">
        <v>101000600</v>
      </c>
    </row>
    <row r="5" spans="1:7" ht="15" x14ac:dyDescent="0.25">
      <c r="A5" t="s">
        <v>698</v>
      </c>
      <c r="B5" s="135" t="str">
        <f>COVER!A38</f>
        <v>DAVID LAWSON</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CASH</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Yes</v>
      </c>
      <c r="G12" s="1886">
        <v>202100600</v>
      </c>
    </row>
    <row r="13" spans="1:7" ht="15" x14ac:dyDescent="0.25">
      <c r="A13" s="1" t="s">
        <v>1524</v>
      </c>
      <c r="B13" s="135" t="str">
        <f>IF(COVER!J30="x","Yes",IF(COVER!L30="x","No",0))</f>
        <v>Yes</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CHERYDEN JUERGENSEN</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33239</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7023373</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21211893</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0</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15764</v>
      </c>
      <c r="C91" s="2" t="s">
        <v>569</v>
      </c>
      <c r="D91" s="2" t="str">
        <f t="shared" si="0"/>
        <v>Error?</v>
      </c>
      <c r="G91" s="1886">
        <v>102640400</v>
      </c>
    </row>
    <row r="92" spans="1:7" ht="15" x14ac:dyDescent="0.25">
      <c r="A92" s="5">
        <v>31</v>
      </c>
      <c r="B92" s="1821">
        <f>'Assets-Liab 5-6'!C39</f>
        <v>20861354</v>
      </c>
      <c r="D92" s="2" t="str">
        <f t="shared" si="0"/>
        <v>Error?</v>
      </c>
      <c r="G92" s="1886">
        <v>102640600</v>
      </c>
    </row>
    <row r="93" spans="1:7" ht="15" x14ac:dyDescent="0.25">
      <c r="A93" s="5">
        <v>32</v>
      </c>
      <c r="B93" s="1821">
        <f>'Assets-Liab 5-6'!C41</f>
        <v>21211893</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314086</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905128</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0</v>
      </c>
      <c r="C122" s="2" t="s">
        <v>569</v>
      </c>
      <c r="D122" s="2" t="str">
        <f t="shared" si="0"/>
        <v>Error?</v>
      </c>
      <c r="G122" s="1886">
        <v>203000300</v>
      </c>
    </row>
    <row r="123" spans="1:7" ht="15" x14ac:dyDescent="0.25">
      <c r="A123" s="5">
        <v>62</v>
      </c>
      <c r="B123" s="1821">
        <f>'Assets-Liab 5-6'!D39</f>
        <v>905128</v>
      </c>
      <c r="D123" s="2" t="str">
        <f t="shared" si="0"/>
        <v>Error?</v>
      </c>
      <c r="G123" s="1886">
        <v>203000400</v>
      </c>
    </row>
    <row r="124" spans="1:7" ht="15" x14ac:dyDescent="0.25">
      <c r="A124" s="5">
        <v>63</v>
      </c>
      <c r="B124" s="1821">
        <f>'Assets-Liab 5-6'!D41</f>
        <v>905128</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593592</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1732563</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1732563</v>
      </c>
      <c r="D140" s="2" t="str">
        <f t="shared" si="1"/>
        <v>Error?</v>
      </c>
    </row>
    <row r="141" spans="1:7" x14ac:dyDescent="0.2">
      <c r="A141" s="5">
        <v>80</v>
      </c>
      <c r="B141" s="1821">
        <f>'Assets-Liab 5-6'!E41</f>
        <v>1732563</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122384</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521885</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569</v>
      </c>
      <c r="D169" s="2" t="str">
        <f t="shared" si="1"/>
        <v>Error?</v>
      </c>
    </row>
    <row r="170" spans="1:4" x14ac:dyDescent="0.2">
      <c r="A170" s="5">
        <v>109</v>
      </c>
      <c r="B170" s="1821">
        <f>'Assets-Liab 5-6'!F39</f>
        <v>521885</v>
      </c>
      <c r="D170" s="2" t="str">
        <f t="shared" si="1"/>
        <v>Error?</v>
      </c>
    </row>
    <row r="171" spans="1:4" x14ac:dyDescent="0.2">
      <c r="A171" s="5">
        <v>110</v>
      </c>
      <c r="B171" s="1821">
        <f>'Assets-Liab 5-6'!F41</f>
        <v>521885</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137516</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434917</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183404</v>
      </c>
      <c r="D189" s="2" t="str">
        <f t="shared" si="1"/>
        <v>Error?</v>
      </c>
    </row>
    <row r="190" spans="1:4" x14ac:dyDescent="0.2">
      <c r="A190" s="5">
        <v>129</v>
      </c>
      <c r="B190" s="1821">
        <f>'Assets-Liab 5-6'!G41</f>
        <v>434917</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8973280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26000700</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26000700</v>
      </c>
      <c r="D212" s="2" t="str">
        <f t="shared" si="2"/>
        <v>Error?</v>
      </c>
    </row>
    <row r="213" spans="1:4" x14ac:dyDescent="0.2">
      <c r="A213" s="12">
        <v>152</v>
      </c>
      <c r="B213" s="1821">
        <f>'Assets-Liab 5-6'!H41</f>
        <v>26000700</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3150000</v>
      </c>
      <c r="D273" s="2" t="str">
        <f t="shared" si="3"/>
        <v>Error?</v>
      </c>
    </row>
    <row r="274" spans="1:4" x14ac:dyDescent="0.2">
      <c r="A274" s="5">
        <v>213</v>
      </c>
      <c r="B274" s="1821">
        <f>'Assets-Liab 5-6'!M17</f>
        <v>38505383</v>
      </c>
      <c r="D274" s="2" t="str">
        <f t="shared" si="3"/>
        <v>Error?</v>
      </c>
    </row>
    <row r="275" spans="1:4" x14ac:dyDescent="0.2">
      <c r="A275" s="5">
        <v>214</v>
      </c>
      <c r="B275" s="1821">
        <f>'Assets-Liab 5-6'!M18</f>
        <v>4107233</v>
      </c>
      <c r="D275" s="2" t="str">
        <f t="shared" si="3"/>
        <v>Error?</v>
      </c>
    </row>
    <row r="276" spans="1:4" x14ac:dyDescent="0.2">
      <c r="A276" s="5">
        <v>215</v>
      </c>
      <c r="B276" s="1821">
        <f>'Assets-Liab 5-6'!M19</f>
        <v>1733023</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57921421</v>
      </c>
      <c r="C279" s="2" t="s">
        <v>569</v>
      </c>
      <c r="D279" s="2" t="str">
        <f t="shared" si="3"/>
        <v>Error?</v>
      </c>
    </row>
    <row r="280" spans="1:4" x14ac:dyDescent="0.2">
      <c r="A280" s="5">
        <v>219</v>
      </c>
      <c r="B280" s="1821">
        <f>'Assets-Liab 5-6'!M40</f>
        <v>57921421</v>
      </c>
      <c r="D280" s="2" t="str">
        <f t="shared" si="3"/>
        <v>Error?</v>
      </c>
    </row>
    <row r="281" spans="1:4" x14ac:dyDescent="0.2">
      <c r="A281" s="5">
        <v>220</v>
      </c>
      <c r="B281" s="1821">
        <f>'Assets-Liab 5-6'!M41</f>
        <v>57921421</v>
      </c>
      <c r="C281" s="2" t="s">
        <v>569</v>
      </c>
      <c r="D281" s="2" t="str">
        <f t="shared" si="3"/>
        <v>Error?</v>
      </c>
    </row>
    <row r="282" spans="1:4" x14ac:dyDescent="0.2">
      <c r="A282" s="5">
        <v>221</v>
      </c>
      <c r="B282" s="1821">
        <f>'Assets-Liab 5-6'!N21</f>
        <v>1732563</v>
      </c>
      <c r="D282" s="2" t="str">
        <f t="shared" si="3"/>
        <v>Error?</v>
      </c>
    </row>
    <row r="283" spans="1:4" x14ac:dyDescent="0.2">
      <c r="A283" s="5">
        <v>222</v>
      </c>
      <c r="B283" s="1821">
        <f>'Assets-Liab 5-6'!N22</f>
        <v>41492437</v>
      </c>
      <c r="D283" s="2" t="str">
        <f t="shared" si="3"/>
        <v>Error?</v>
      </c>
    </row>
    <row r="284" spans="1:4" x14ac:dyDescent="0.2">
      <c r="A284" s="5">
        <v>223</v>
      </c>
      <c r="B284" s="1821">
        <f>'Assets-Liab 5-6'!N23</f>
        <v>43225000</v>
      </c>
      <c r="C284" s="2" t="s">
        <v>569</v>
      </c>
      <c r="D284" s="2" t="str">
        <f t="shared" si="3"/>
        <v>Error?</v>
      </c>
    </row>
    <row r="285" spans="1:4" x14ac:dyDescent="0.2">
      <c r="A285" s="5">
        <v>224</v>
      </c>
      <c r="B285" s="1821">
        <f>'Assets-Liab 5-6'!N36</f>
        <v>43225000</v>
      </c>
      <c r="D285" s="2" t="str">
        <f t="shared" si="3"/>
        <v>Error?</v>
      </c>
    </row>
    <row r="286" spans="1:4" x14ac:dyDescent="0.2">
      <c r="A286" s="10">
        <v>225</v>
      </c>
      <c r="B286" s="1821"/>
      <c r="D286" s="2" t="str">
        <f t="shared" si="3"/>
        <v>OK</v>
      </c>
    </row>
    <row r="287" spans="1:4" x14ac:dyDescent="0.2">
      <c r="A287" s="5">
        <v>226</v>
      </c>
      <c r="B287" s="1821">
        <f>'Assets-Liab 5-6'!N37</f>
        <v>43225000</v>
      </c>
      <c r="C287" s="2" t="s">
        <v>569</v>
      </c>
      <c r="D287" s="2" t="str">
        <f t="shared" si="3"/>
        <v>Error?</v>
      </c>
    </row>
    <row r="288" spans="1:4" x14ac:dyDescent="0.2">
      <c r="A288" s="5">
        <v>227</v>
      </c>
      <c r="B288" s="1821">
        <f>'Assets-Liab 5-6'!N41</f>
        <v>43225000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8977406</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0</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16552</v>
      </c>
      <c r="D717" s="2" t="str">
        <f t="shared" si="10"/>
        <v>Error?</v>
      </c>
    </row>
    <row r="718" spans="1:4" x14ac:dyDescent="0.2">
      <c r="A718" s="5">
        <v>657</v>
      </c>
      <c r="B718" s="1821">
        <f>'Expenditures 15-22'!C14</f>
        <v>638456</v>
      </c>
      <c r="D718" s="2" t="str">
        <f t="shared" si="10"/>
        <v>Error?</v>
      </c>
    </row>
    <row r="719" spans="1:4" x14ac:dyDescent="0.2">
      <c r="A719" s="5">
        <v>658</v>
      </c>
      <c r="B719" s="1821">
        <f>'Expenditures 15-22'!C15</f>
        <v>136903</v>
      </c>
      <c r="D719" s="2" t="str">
        <f t="shared" si="10"/>
        <v>Error?</v>
      </c>
    </row>
    <row r="720" spans="1:4" x14ac:dyDescent="0.2">
      <c r="A720" s="5">
        <v>659</v>
      </c>
      <c r="B720" s="1821">
        <f>'Expenditures 15-22'!C33</f>
        <v>12731997</v>
      </c>
      <c r="C720" s="2" t="s">
        <v>569</v>
      </c>
      <c r="D720" s="2" t="str">
        <f t="shared" si="10"/>
        <v>Error?</v>
      </c>
    </row>
    <row r="721" spans="1:4" x14ac:dyDescent="0.2">
      <c r="A721" s="5">
        <v>660</v>
      </c>
      <c r="B721" s="1821">
        <f>'Expenditures 15-22'!C36</f>
        <v>330690</v>
      </c>
      <c r="D721" s="2" t="str">
        <f t="shared" si="10"/>
        <v>Error?</v>
      </c>
    </row>
    <row r="722" spans="1:4" x14ac:dyDescent="0.2">
      <c r="A722" s="5">
        <v>661</v>
      </c>
      <c r="B722" s="1821">
        <f>'Expenditures 15-22'!C37</f>
        <v>602396</v>
      </c>
      <c r="D722" s="2" t="str">
        <f t="shared" si="10"/>
        <v>Error?</v>
      </c>
    </row>
    <row r="723" spans="1:4" x14ac:dyDescent="0.2">
      <c r="A723" s="5">
        <v>662</v>
      </c>
      <c r="B723" s="1821">
        <f>'Expenditures 15-22'!C38</f>
        <v>88740</v>
      </c>
      <c r="D723" s="2" t="str">
        <f t="shared" si="10"/>
        <v>Error?</v>
      </c>
    </row>
    <row r="724" spans="1:4" x14ac:dyDescent="0.2">
      <c r="A724" s="5">
        <v>663</v>
      </c>
      <c r="B724" s="1821">
        <f>'Expenditures 15-22'!C39</f>
        <v>237859</v>
      </c>
      <c r="D724" s="2" t="str">
        <f t="shared" si="10"/>
        <v>Error?</v>
      </c>
    </row>
    <row r="725" spans="1:4" x14ac:dyDescent="0.2">
      <c r="A725" s="5">
        <v>664</v>
      </c>
      <c r="B725" s="1821">
        <f>'Expenditures 15-22'!C40</f>
        <v>0</v>
      </c>
      <c r="D725" s="2" t="str">
        <f t="shared" si="10"/>
        <v>Error?</v>
      </c>
    </row>
    <row r="726" spans="1:4" x14ac:dyDescent="0.2">
      <c r="A726" s="5">
        <v>665</v>
      </c>
      <c r="B726" s="1821">
        <f>'Expenditures 15-22'!C41</f>
        <v>142295</v>
      </c>
      <c r="D726" s="2" t="str">
        <f t="shared" si="10"/>
        <v>Error?</v>
      </c>
    </row>
    <row r="727" spans="1:4" x14ac:dyDescent="0.2">
      <c r="A727" s="5">
        <v>666</v>
      </c>
      <c r="B727" s="1821">
        <f>'Expenditures 15-22'!C42</f>
        <v>1401980</v>
      </c>
      <c r="C727" s="2" t="s">
        <v>569</v>
      </c>
      <c r="D727" s="2" t="str">
        <f t="shared" si="10"/>
        <v>Error?</v>
      </c>
    </row>
    <row r="728" spans="1:4" x14ac:dyDescent="0.2">
      <c r="A728" s="5">
        <v>667</v>
      </c>
      <c r="B728" s="1821">
        <f>'Expenditures 15-22'!C44</f>
        <v>987620</v>
      </c>
      <c r="D728" s="2" t="str">
        <f t="shared" si="10"/>
        <v>Error?</v>
      </c>
    </row>
    <row r="729" spans="1:4" x14ac:dyDescent="0.2">
      <c r="A729" s="5">
        <v>668</v>
      </c>
      <c r="B729" s="1821">
        <f>'Expenditures 15-22'!C45</f>
        <v>712975</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1700595</v>
      </c>
      <c r="C731" s="2" t="s">
        <v>569</v>
      </c>
      <c r="D731" s="2" t="str">
        <f t="shared" si="10"/>
        <v>Error?</v>
      </c>
    </row>
    <row r="732" spans="1:4" x14ac:dyDescent="0.2">
      <c r="A732" s="5">
        <v>671</v>
      </c>
      <c r="B732" s="1821">
        <f>'Expenditures 15-22'!C49</f>
        <v>25291</v>
      </c>
      <c r="D732" s="2" t="str">
        <f t="shared" si="10"/>
        <v>Error?</v>
      </c>
    </row>
    <row r="733" spans="1:4" x14ac:dyDescent="0.2">
      <c r="A733" s="5">
        <v>672</v>
      </c>
      <c r="B733" s="1821">
        <f>'Expenditures 15-22'!C50</f>
        <v>400043</v>
      </c>
      <c r="D733" s="2" t="str">
        <f t="shared" si="10"/>
        <v>Error?</v>
      </c>
    </row>
    <row r="734" spans="1:4" x14ac:dyDescent="0.2">
      <c r="A734" s="5">
        <v>673</v>
      </c>
      <c r="B734" s="1821">
        <f>'Expenditures 15-22'!C53</f>
        <v>425334</v>
      </c>
      <c r="C734" s="2" t="s">
        <v>569</v>
      </c>
      <c r="D734" s="2" t="str">
        <f t="shared" si="10"/>
        <v>Error?</v>
      </c>
    </row>
    <row r="735" spans="1:4" x14ac:dyDescent="0.2">
      <c r="A735" s="5">
        <v>674</v>
      </c>
      <c r="B735" s="1821">
        <f>'Expenditures 15-22'!C55</f>
        <v>1199161</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1199161</v>
      </c>
      <c r="C737" s="2" t="s">
        <v>569</v>
      </c>
      <c r="D737" s="2" t="str">
        <f t="shared" si="10"/>
        <v>Error?</v>
      </c>
    </row>
    <row r="738" spans="1:4" x14ac:dyDescent="0.2">
      <c r="A738" s="5">
        <v>677</v>
      </c>
      <c r="B738" s="1821">
        <f>'Expenditures 15-22'!C59</f>
        <v>185700</v>
      </c>
      <c r="D738" s="2" t="str">
        <f t="shared" si="10"/>
        <v>Error?</v>
      </c>
    </row>
    <row r="739" spans="1:4" x14ac:dyDescent="0.2">
      <c r="A739" s="5">
        <v>678</v>
      </c>
      <c r="B739" s="1821">
        <f>'Expenditures 15-22'!C60</f>
        <v>154795</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212466</v>
      </c>
      <c r="D742" s="2" t="str">
        <f t="shared" si="10"/>
        <v>Error?</v>
      </c>
    </row>
    <row r="743" spans="1:4" x14ac:dyDescent="0.2">
      <c r="A743" s="5">
        <v>682</v>
      </c>
      <c r="B743" s="1821">
        <f>'Expenditures 15-22'!C64</f>
        <v>15723</v>
      </c>
      <c r="D743" s="2" t="str">
        <f t="shared" si="10"/>
        <v>Error?</v>
      </c>
    </row>
    <row r="744" spans="1:4" x14ac:dyDescent="0.2">
      <c r="A744" s="10">
        <v>683</v>
      </c>
      <c r="B744" s="1821"/>
      <c r="D744" s="2" t="str">
        <f t="shared" si="10"/>
        <v>OK</v>
      </c>
    </row>
    <row r="745" spans="1:4" x14ac:dyDescent="0.2">
      <c r="A745" s="5">
        <v>684</v>
      </c>
      <c r="B745" s="1821">
        <f>'Expenditures 15-22'!C65</f>
        <v>568684</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0</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5295754</v>
      </c>
      <c r="C755" s="2" t="s">
        <v>569</v>
      </c>
      <c r="D755" s="2" t="str">
        <f t="shared" si="10"/>
        <v>Error?</v>
      </c>
    </row>
    <row r="756" spans="1:4" x14ac:dyDescent="0.2">
      <c r="A756" s="5">
        <v>695</v>
      </c>
      <c r="B756" s="1821">
        <f>'Expenditures 15-22'!C75</f>
        <v>116066</v>
      </c>
      <c r="D756" s="2" t="str">
        <f t="shared" si="10"/>
        <v>Error?</v>
      </c>
    </row>
    <row r="757" spans="1:4" x14ac:dyDescent="0.2">
      <c r="A757" s="5">
        <v>696</v>
      </c>
      <c r="B757" s="1821">
        <f>'Expenditures 15-22'!C114</f>
        <v>18143817</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1979363</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123</v>
      </c>
      <c r="D775" s="2" t="str">
        <f t="shared" si="11"/>
        <v>Error?</v>
      </c>
    </row>
    <row r="776" spans="1:4" x14ac:dyDescent="0.2">
      <c r="A776" s="5">
        <v>715</v>
      </c>
      <c r="B776" s="1821">
        <f>'Expenditures 15-22'!D14</f>
        <v>7620</v>
      </c>
      <c r="D776" s="2" t="str">
        <f t="shared" si="11"/>
        <v>Error?</v>
      </c>
    </row>
    <row r="777" spans="1:4" x14ac:dyDescent="0.2">
      <c r="A777" s="5">
        <v>716</v>
      </c>
      <c r="B777" s="1821">
        <f>'Expenditures 15-22'!D15</f>
        <v>2432</v>
      </c>
      <c r="D777" s="2" t="str">
        <f t="shared" si="11"/>
        <v>Error?</v>
      </c>
    </row>
    <row r="778" spans="1:4" x14ac:dyDescent="0.2">
      <c r="A778" s="5">
        <v>717</v>
      </c>
      <c r="B778" s="1821">
        <f>'Expenditures 15-22'!D33</f>
        <v>2522693</v>
      </c>
      <c r="C778" s="2" t="s">
        <v>569</v>
      </c>
      <c r="D778" s="2" t="str">
        <f t="shared" si="11"/>
        <v>Error?</v>
      </c>
    </row>
    <row r="779" spans="1:4" x14ac:dyDescent="0.2">
      <c r="A779" s="5">
        <v>718</v>
      </c>
      <c r="B779" s="1821">
        <f>'Expenditures 15-22'!D36</f>
        <v>49694</v>
      </c>
      <c r="D779" s="2" t="str">
        <f t="shared" si="11"/>
        <v>Error?</v>
      </c>
    </row>
    <row r="780" spans="1:4" x14ac:dyDescent="0.2">
      <c r="A780" s="5">
        <v>719</v>
      </c>
      <c r="B780" s="1821">
        <f>'Expenditures 15-22'!D37</f>
        <v>109601</v>
      </c>
      <c r="D780" s="2" t="str">
        <f t="shared" si="11"/>
        <v>Error?</v>
      </c>
    </row>
    <row r="781" spans="1:4" x14ac:dyDescent="0.2">
      <c r="A781" s="5">
        <v>720</v>
      </c>
      <c r="B781" s="1821">
        <f>'Expenditures 15-22'!D38</f>
        <v>14412</v>
      </c>
      <c r="D781" s="2" t="str">
        <f t="shared" si="11"/>
        <v>Error?</v>
      </c>
    </row>
    <row r="782" spans="1:4" x14ac:dyDescent="0.2">
      <c r="A782" s="5">
        <v>721</v>
      </c>
      <c r="B782" s="1821">
        <f>'Expenditures 15-22'!D39</f>
        <v>43825</v>
      </c>
      <c r="D782" s="2" t="str">
        <f t="shared" si="11"/>
        <v>Error?</v>
      </c>
    </row>
    <row r="783" spans="1:4" x14ac:dyDescent="0.2">
      <c r="A783" s="5">
        <v>722</v>
      </c>
      <c r="B783" s="1821">
        <f>'Expenditures 15-22'!D40</f>
        <v>0</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217532</v>
      </c>
      <c r="C785" s="2" t="s">
        <v>569</v>
      </c>
      <c r="D785" s="2" t="str">
        <f t="shared" si="11"/>
        <v>Error?</v>
      </c>
    </row>
    <row r="786" spans="1:4" x14ac:dyDescent="0.2">
      <c r="A786" s="5">
        <v>725</v>
      </c>
      <c r="B786" s="1821">
        <f>'Expenditures 15-22'!D44</f>
        <v>20550</v>
      </c>
      <c r="D786" s="2" t="str">
        <f t="shared" si="11"/>
        <v>Error?</v>
      </c>
    </row>
    <row r="787" spans="1:4" x14ac:dyDescent="0.2">
      <c r="A787" s="5">
        <v>726</v>
      </c>
      <c r="B787" s="1821">
        <f>'Expenditures 15-22'!D45</f>
        <v>117668</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138218</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59225</v>
      </c>
      <c r="D791" s="2" t="str">
        <f t="shared" si="11"/>
        <v>Error?</v>
      </c>
    </row>
    <row r="792" spans="1:4" x14ac:dyDescent="0.2">
      <c r="A792" s="5">
        <v>731</v>
      </c>
      <c r="B792" s="1821">
        <f>'Expenditures 15-22'!D53</f>
        <v>59225</v>
      </c>
      <c r="C792" s="2" t="s">
        <v>569</v>
      </c>
      <c r="D792" s="2" t="str">
        <f t="shared" si="11"/>
        <v>Error?</v>
      </c>
    </row>
    <row r="793" spans="1:4" x14ac:dyDescent="0.2">
      <c r="A793" s="5">
        <v>732</v>
      </c>
      <c r="B793" s="1821">
        <f>'Expenditures 15-22'!D55</f>
        <v>356278</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356278</v>
      </c>
      <c r="C795" s="2" t="s">
        <v>569</v>
      </c>
      <c r="D795" s="2" t="str">
        <f t="shared" si="11"/>
        <v>Error?</v>
      </c>
    </row>
    <row r="796" spans="1:4" x14ac:dyDescent="0.2">
      <c r="A796" s="5">
        <v>735</v>
      </c>
      <c r="B796" s="1821">
        <f>'Expenditures 15-22'!D59</f>
        <v>19951</v>
      </c>
      <c r="D796" s="2" t="str">
        <f t="shared" si="11"/>
        <v>Error?</v>
      </c>
    </row>
    <row r="797" spans="1:4" x14ac:dyDescent="0.2">
      <c r="A797" s="5">
        <v>736</v>
      </c>
      <c r="B797" s="1821">
        <f>'Expenditures 15-22'!D60</f>
        <v>21588</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42750</v>
      </c>
      <c r="D800" s="2" t="str">
        <f t="shared" si="11"/>
        <v>Error?</v>
      </c>
    </row>
    <row r="801" spans="1:4" x14ac:dyDescent="0.2">
      <c r="A801" s="5">
        <v>740</v>
      </c>
      <c r="B801" s="1821">
        <f>'Expenditures 15-22'!D64</f>
        <v>122</v>
      </c>
      <c r="D801" s="2" t="str">
        <f t="shared" si="11"/>
        <v>Error?</v>
      </c>
    </row>
    <row r="802" spans="1:4" x14ac:dyDescent="0.2">
      <c r="A802" s="10">
        <v>741</v>
      </c>
      <c r="B802" s="1821"/>
      <c r="D802" s="2" t="str">
        <f t="shared" si="11"/>
        <v>OK</v>
      </c>
    </row>
    <row r="803" spans="1:4" x14ac:dyDescent="0.2">
      <c r="A803" s="5">
        <v>742</v>
      </c>
      <c r="B803" s="1821">
        <f>'Expenditures 15-22'!D65</f>
        <v>84411</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0</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855664</v>
      </c>
      <c r="C813" s="2" t="s">
        <v>569</v>
      </c>
      <c r="D813" s="2" t="str">
        <f t="shared" si="11"/>
        <v>Error?</v>
      </c>
    </row>
    <row r="814" spans="1:4" x14ac:dyDescent="0.2">
      <c r="A814" s="5">
        <v>753</v>
      </c>
      <c r="B814" s="1821">
        <f>'Expenditures 15-22'!D75</f>
        <v>878</v>
      </c>
      <c r="D814" s="2" t="str">
        <f t="shared" si="11"/>
        <v>Error?</v>
      </c>
    </row>
    <row r="815" spans="1:4" x14ac:dyDescent="0.2">
      <c r="A815" s="5">
        <v>754</v>
      </c>
      <c r="B815" s="1821">
        <f>'Expenditures 15-22'!D114</f>
        <v>3379235</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181743</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44162</v>
      </c>
      <c r="D833" s="2" t="str">
        <f t="shared" si="12"/>
        <v>Error?</v>
      </c>
    </row>
    <row r="834" spans="1:4" x14ac:dyDescent="0.2">
      <c r="A834" s="5">
        <v>773</v>
      </c>
      <c r="B834" s="1821">
        <f>'Expenditures 15-22'!E14</f>
        <v>132841</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383039</v>
      </c>
      <c r="C836" s="2" t="s">
        <v>569</v>
      </c>
      <c r="D836" s="2" t="str">
        <f t="shared" si="12"/>
        <v>Error?</v>
      </c>
    </row>
    <row r="837" spans="1:4" x14ac:dyDescent="0.2">
      <c r="A837" s="5">
        <v>776</v>
      </c>
      <c r="B837" s="1821">
        <f>'Expenditures 15-22'!E36</f>
        <v>0</v>
      </c>
      <c r="D837" s="2" t="str">
        <f t="shared" si="12"/>
        <v>Error?</v>
      </c>
    </row>
    <row r="838" spans="1:4" x14ac:dyDescent="0.2">
      <c r="A838" s="5">
        <v>777</v>
      </c>
      <c r="B838" s="1821">
        <f>'Expenditures 15-22'!E37</f>
        <v>41</v>
      </c>
      <c r="D838" s="2" t="str">
        <f t="shared" si="12"/>
        <v>Error?</v>
      </c>
    </row>
    <row r="839" spans="1:4" x14ac:dyDescent="0.2">
      <c r="A839" s="5">
        <v>778</v>
      </c>
      <c r="B839" s="1821">
        <f>'Expenditures 15-22'!E38</f>
        <v>36947</v>
      </c>
      <c r="D839" s="2" t="str">
        <f t="shared" si="12"/>
        <v>Error?</v>
      </c>
    </row>
    <row r="840" spans="1:4" x14ac:dyDescent="0.2">
      <c r="A840" s="5">
        <v>779</v>
      </c>
      <c r="B840" s="1821">
        <f>'Expenditures 15-22'!E39</f>
        <v>0</v>
      </c>
      <c r="D840" s="2" t="str">
        <f t="shared" si="12"/>
        <v>Error?</v>
      </c>
    </row>
    <row r="841" spans="1:4" x14ac:dyDescent="0.2">
      <c r="A841" s="5">
        <v>780</v>
      </c>
      <c r="B841" s="1821">
        <f>'Expenditures 15-22'!E40</f>
        <v>0</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36988</v>
      </c>
      <c r="C843" s="2" t="s">
        <v>569</v>
      </c>
      <c r="D843" s="2" t="str">
        <f t="shared" si="12"/>
        <v>Error?</v>
      </c>
    </row>
    <row r="844" spans="1:4" x14ac:dyDescent="0.2">
      <c r="A844" s="5">
        <v>783</v>
      </c>
      <c r="B844" s="1821">
        <f>'Expenditures 15-22'!E44</f>
        <v>68365</v>
      </c>
      <c r="D844" s="2" t="str">
        <f t="shared" si="12"/>
        <v>Error?</v>
      </c>
    </row>
    <row r="845" spans="1:4" x14ac:dyDescent="0.2">
      <c r="A845" s="5">
        <v>784</v>
      </c>
      <c r="B845" s="1821">
        <f>'Expenditures 15-22'!E45</f>
        <v>143786</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212151</v>
      </c>
      <c r="C847" s="2" t="s">
        <v>569</v>
      </c>
      <c r="D847" s="2" t="str">
        <f t="shared" si="12"/>
        <v>Error?</v>
      </c>
    </row>
    <row r="848" spans="1:4" x14ac:dyDescent="0.2">
      <c r="A848" s="5">
        <v>787</v>
      </c>
      <c r="B848" s="1821">
        <f>'Expenditures 15-22'!E49</f>
        <v>236741</v>
      </c>
      <c r="D848" s="2" t="str">
        <f t="shared" si="12"/>
        <v>Error?</v>
      </c>
    </row>
    <row r="849" spans="1:4" x14ac:dyDescent="0.2">
      <c r="A849" s="5">
        <v>788</v>
      </c>
      <c r="B849" s="1821">
        <f>'Expenditures 15-22'!E50</f>
        <v>71601</v>
      </c>
      <c r="D849" s="2" t="str">
        <f t="shared" si="12"/>
        <v>Error?</v>
      </c>
    </row>
    <row r="850" spans="1:4" x14ac:dyDescent="0.2">
      <c r="A850" s="5">
        <v>789</v>
      </c>
      <c r="B850" s="1821">
        <f>'Expenditures 15-22'!E53</f>
        <v>308342</v>
      </c>
      <c r="C850" s="2" t="s">
        <v>569</v>
      </c>
      <c r="D850" s="2" t="str">
        <f t="shared" si="12"/>
        <v>Error?</v>
      </c>
    </row>
    <row r="851" spans="1:4" x14ac:dyDescent="0.2">
      <c r="A851" s="5">
        <v>790</v>
      </c>
      <c r="B851" s="1821">
        <f>'Expenditures 15-22'!E55</f>
        <v>407</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407</v>
      </c>
      <c r="C853" s="2" t="s">
        <v>569</v>
      </c>
      <c r="D853" s="2" t="str">
        <f t="shared" si="12"/>
        <v>Error?</v>
      </c>
    </row>
    <row r="854" spans="1:4" x14ac:dyDescent="0.2">
      <c r="A854" s="5">
        <v>793</v>
      </c>
      <c r="B854" s="1821">
        <f>'Expenditures 15-22'!E59</f>
        <v>17931</v>
      </c>
      <c r="D854" s="2" t="str">
        <f t="shared" si="12"/>
        <v>Error?</v>
      </c>
    </row>
    <row r="855" spans="1:4" x14ac:dyDescent="0.2">
      <c r="A855" s="5">
        <v>794</v>
      </c>
      <c r="B855" s="1821">
        <f>'Expenditures 15-22'!E60</f>
        <v>0</v>
      </c>
      <c r="D855" s="2" t="str">
        <f t="shared" si="12"/>
        <v>Error?</v>
      </c>
    </row>
    <row r="856" spans="1:4" x14ac:dyDescent="0.2">
      <c r="A856" s="5">
        <v>795</v>
      </c>
      <c r="B856" s="1821">
        <f>'Expenditures 15-22'!E61</f>
        <v>0</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3487</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21418</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0</v>
      </c>
      <c r="D867" s="2" t="str">
        <f t="shared" si="12"/>
        <v>Error?</v>
      </c>
    </row>
    <row r="868" spans="1:4" x14ac:dyDescent="0.2">
      <c r="A868" s="10">
        <v>807</v>
      </c>
      <c r="B868" s="1821"/>
      <c r="D868" s="2" t="str">
        <f t="shared" si="12"/>
        <v>OK</v>
      </c>
    </row>
    <row r="869" spans="1:4" x14ac:dyDescent="0.2">
      <c r="A869" s="5">
        <v>808</v>
      </c>
      <c r="B869" s="1821">
        <f>'Expenditures 15-22'!E72</f>
        <v>0</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579306</v>
      </c>
      <c r="C871" s="2" t="s">
        <v>569</v>
      </c>
      <c r="D871" s="2" t="str">
        <f t="shared" si="12"/>
        <v>Error?</v>
      </c>
    </row>
    <row r="872" spans="1:4" x14ac:dyDescent="0.2">
      <c r="A872" s="5">
        <v>811</v>
      </c>
      <c r="B872" s="1821">
        <f>'Expenditures 15-22'!E75</f>
        <v>55245</v>
      </c>
      <c r="D872" s="2" t="str">
        <f t="shared" si="12"/>
        <v>Error?</v>
      </c>
    </row>
    <row r="873" spans="1:4" x14ac:dyDescent="0.2">
      <c r="A873" s="5">
        <v>812</v>
      </c>
      <c r="B873" s="1821">
        <f>'Expenditures 15-22'!E114</f>
        <v>1496330</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240712</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0</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1150</v>
      </c>
      <c r="D891" s="2" t="str">
        <f t="shared" si="12"/>
        <v>Error?</v>
      </c>
    </row>
    <row r="892" spans="1:4" x14ac:dyDescent="0.2">
      <c r="A892" s="5">
        <v>831</v>
      </c>
      <c r="B892" s="1821">
        <f>'Expenditures 15-22'!F14</f>
        <v>46249</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358833</v>
      </c>
      <c r="C894" s="2" t="s">
        <v>569</v>
      </c>
      <c r="D894" s="2" t="str">
        <f t="shared" si="12"/>
        <v>Error?</v>
      </c>
    </row>
    <row r="895" spans="1:4" x14ac:dyDescent="0.2">
      <c r="A895" s="5">
        <v>834</v>
      </c>
      <c r="B895" s="1821">
        <f>'Expenditures 15-22'!F36</f>
        <v>0</v>
      </c>
      <c r="D895" s="2" t="str">
        <f t="shared" ref="D895:D958" si="13">IF(ISBLANK(B895),"OK",IF(A895-B895=0,"OK","Error?"))</f>
        <v>Error?</v>
      </c>
    </row>
    <row r="896" spans="1:4" x14ac:dyDescent="0.2">
      <c r="A896" s="5">
        <v>835</v>
      </c>
      <c r="B896" s="1821">
        <f>'Expenditures 15-22'!F37</f>
        <v>2550</v>
      </c>
      <c r="D896" s="2" t="str">
        <f t="shared" si="13"/>
        <v>Error?</v>
      </c>
    </row>
    <row r="897" spans="1:4" x14ac:dyDescent="0.2">
      <c r="A897" s="5">
        <v>836</v>
      </c>
      <c r="B897" s="1821">
        <f>'Expenditures 15-22'!F38</f>
        <v>1224</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0</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3774</v>
      </c>
      <c r="C901" s="2" t="s">
        <v>569</v>
      </c>
      <c r="D901" s="2" t="str">
        <f t="shared" si="13"/>
        <v>Error?</v>
      </c>
    </row>
    <row r="902" spans="1:4" x14ac:dyDescent="0.2">
      <c r="A902" s="5">
        <v>841</v>
      </c>
      <c r="B902" s="1821">
        <f>'Expenditures 15-22'!F44</f>
        <v>14396</v>
      </c>
      <c r="D902" s="2" t="str">
        <f t="shared" si="13"/>
        <v>Error?</v>
      </c>
    </row>
    <row r="903" spans="1:4" x14ac:dyDescent="0.2">
      <c r="A903" s="5">
        <v>842</v>
      </c>
      <c r="B903" s="1821">
        <f>'Expenditures 15-22'!F45</f>
        <v>71500</v>
      </c>
      <c r="D903" s="2" t="str">
        <f t="shared" si="13"/>
        <v>Error?</v>
      </c>
    </row>
    <row r="904" spans="1:4" x14ac:dyDescent="0.2">
      <c r="A904" s="5">
        <v>843</v>
      </c>
      <c r="B904" s="1821">
        <f>'Expenditures 15-22'!F46</f>
        <v>1998</v>
      </c>
      <c r="D904" s="2" t="str">
        <f t="shared" si="13"/>
        <v>Error?</v>
      </c>
    </row>
    <row r="905" spans="1:4" x14ac:dyDescent="0.2">
      <c r="A905" s="5">
        <v>844</v>
      </c>
      <c r="B905" s="1821">
        <f>'Expenditures 15-22'!F47</f>
        <v>87894</v>
      </c>
      <c r="C905" s="2" t="s">
        <v>569</v>
      </c>
      <c r="D905" s="2" t="str">
        <f t="shared" si="13"/>
        <v>Error?</v>
      </c>
    </row>
    <row r="906" spans="1:4" x14ac:dyDescent="0.2">
      <c r="A906" s="5">
        <v>845</v>
      </c>
      <c r="B906" s="1821">
        <f>'Expenditures 15-22'!F49</f>
        <v>0</v>
      </c>
      <c r="D906" s="2" t="str">
        <f t="shared" si="13"/>
        <v>Error?</v>
      </c>
    </row>
    <row r="907" spans="1:4" x14ac:dyDescent="0.2">
      <c r="A907" s="5">
        <v>846</v>
      </c>
      <c r="B907" s="1821">
        <f>'Expenditures 15-22'!F50</f>
        <v>10247</v>
      </c>
      <c r="D907" s="2" t="str">
        <f t="shared" si="13"/>
        <v>Error?</v>
      </c>
    </row>
    <row r="908" spans="1:4" x14ac:dyDescent="0.2">
      <c r="A908" s="5">
        <v>847</v>
      </c>
      <c r="B908" s="1821">
        <f>'Expenditures 15-22'!F53</f>
        <v>10247</v>
      </c>
      <c r="C908" s="2" t="s">
        <v>569</v>
      </c>
      <c r="D908" s="2" t="str">
        <f t="shared" si="13"/>
        <v>Error?</v>
      </c>
    </row>
    <row r="909" spans="1:4" x14ac:dyDescent="0.2">
      <c r="A909" s="5">
        <v>848</v>
      </c>
      <c r="B909" s="1821">
        <f>'Expenditures 15-22'!F55</f>
        <v>15851</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15851</v>
      </c>
      <c r="C911" s="2" t="s">
        <v>569</v>
      </c>
      <c r="D911" s="2" t="str">
        <f t="shared" si="13"/>
        <v>Error?</v>
      </c>
    </row>
    <row r="912" spans="1:4" x14ac:dyDescent="0.2">
      <c r="A912" s="5">
        <v>851</v>
      </c>
      <c r="B912" s="1821">
        <f>'Expenditures 15-22'!F59</f>
        <v>2942</v>
      </c>
      <c r="D912" s="2" t="str">
        <f t="shared" si="13"/>
        <v>Error?</v>
      </c>
    </row>
    <row r="913" spans="1:4" x14ac:dyDescent="0.2">
      <c r="A913" s="5">
        <v>852</v>
      </c>
      <c r="B913" s="1821">
        <f>'Expenditures 15-22'!F60</f>
        <v>0</v>
      </c>
      <c r="D913" s="2" t="str">
        <f t="shared" si="13"/>
        <v>Error?</v>
      </c>
    </row>
    <row r="914" spans="1:4" x14ac:dyDescent="0.2">
      <c r="A914" s="5">
        <v>853</v>
      </c>
      <c r="B914" s="1821">
        <f>'Expenditures 15-22'!F61</f>
        <v>17865</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272682</v>
      </c>
      <c r="D916" s="2" t="str">
        <f t="shared" si="13"/>
        <v>Error?</v>
      </c>
    </row>
    <row r="917" spans="1:4" x14ac:dyDescent="0.2">
      <c r="A917" s="5">
        <v>856</v>
      </c>
      <c r="B917" s="1821">
        <f>'Expenditures 15-22'!F64</f>
        <v>52544</v>
      </c>
      <c r="D917" s="2" t="str">
        <f t="shared" si="13"/>
        <v>Error?</v>
      </c>
    </row>
    <row r="918" spans="1:4" x14ac:dyDescent="0.2">
      <c r="A918" s="10">
        <v>857</v>
      </c>
      <c r="B918" s="1821"/>
      <c r="D918" s="2" t="str">
        <f t="shared" si="13"/>
        <v>OK</v>
      </c>
    </row>
    <row r="919" spans="1:4" x14ac:dyDescent="0.2">
      <c r="A919" s="5">
        <v>858</v>
      </c>
      <c r="B919" s="1821">
        <f>'Expenditures 15-22'!F65</f>
        <v>346033</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0</v>
      </c>
      <c r="C927" s="2" t="s">
        <v>569</v>
      </c>
      <c r="D927" s="2" t="str">
        <f t="shared" si="13"/>
        <v>Error?</v>
      </c>
    </row>
    <row r="928" spans="1:4" x14ac:dyDescent="0.2">
      <c r="A928" s="5">
        <v>867</v>
      </c>
      <c r="B928" s="1821">
        <f>'Expenditures 15-22'!F73</f>
        <v>972</v>
      </c>
      <c r="D928" s="2" t="str">
        <f t="shared" si="13"/>
        <v>Error?</v>
      </c>
    </row>
    <row r="929" spans="1:4" x14ac:dyDescent="0.2">
      <c r="A929" s="5">
        <v>868</v>
      </c>
      <c r="B929" s="1821">
        <f>'Expenditures 15-22'!F74</f>
        <v>464771</v>
      </c>
      <c r="C929" s="2" t="s">
        <v>569</v>
      </c>
      <c r="D929" s="2" t="str">
        <f t="shared" si="13"/>
        <v>Error?</v>
      </c>
    </row>
    <row r="930" spans="1:4" x14ac:dyDescent="0.2">
      <c r="A930" s="5">
        <v>869</v>
      </c>
      <c r="B930" s="1821">
        <f>'Expenditures 15-22'!F75</f>
        <v>1278</v>
      </c>
      <c r="D930" s="2" t="str">
        <f t="shared" si="13"/>
        <v>Error?</v>
      </c>
    </row>
    <row r="931" spans="1:4" x14ac:dyDescent="0.2">
      <c r="A931" s="5">
        <v>870</v>
      </c>
      <c r="B931" s="1821">
        <f>'Expenditures 15-22'!F114</f>
        <v>824882</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63708</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38570</v>
      </c>
      <c r="D949" s="2" t="str">
        <f t="shared" si="13"/>
        <v>Error?</v>
      </c>
    </row>
    <row r="950" spans="1:4" x14ac:dyDescent="0.2">
      <c r="A950" s="5">
        <v>889</v>
      </c>
      <c r="B950" s="1821">
        <f>'Expenditures 15-22'!G14</f>
        <v>64179</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166457</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36739</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36739</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36739</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203196</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4680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1641545</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1734</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1734</v>
      </c>
      <c r="C1021" s="2" t="s">
        <v>569</v>
      </c>
      <c r="D1021" s="2" t="str">
        <f t="shared" si="14"/>
        <v>Error?</v>
      </c>
    </row>
    <row r="1022" spans="1:4" x14ac:dyDescent="0.2">
      <c r="A1022" s="5">
        <v>961</v>
      </c>
      <c r="B1022" s="1821">
        <f>'Expenditures 15-22'!H49</f>
        <v>4308</v>
      </c>
      <c r="D1022" s="2" t="str">
        <f t="shared" si="14"/>
        <v>Error?</v>
      </c>
    </row>
    <row r="1023" spans="1:4" x14ac:dyDescent="0.2">
      <c r="A1023" s="5">
        <v>962</v>
      </c>
      <c r="B1023" s="1821">
        <f>'Expenditures 15-22'!H50</f>
        <v>3959</v>
      </c>
      <c r="D1023" s="2" t="str">
        <f t="shared" ref="D1023:D1086" si="15">IF(ISBLANK(B1023),"OK",IF(A1023-B1023=0,"OK","Error?"))</f>
        <v>Error?</v>
      </c>
    </row>
    <row r="1024" spans="1:4" x14ac:dyDescent="0.2">
      <c r="A1024" s="5">
        <v>963</v>
      </c>
      <c r="B1024" s="1821">
        <f>'Expenditures 15-22'!H53</f>
        <v>8267</v>
      </c>
      <c r="C1024" s="2" t="s">
        <v>569</v>
      </c>
      <c r="D1024" s="2" t="str">
        <f t="shared" si="15"/>
        <v>Error?</v>
      </c>
    </row>
    <row r="1025" spans="1:4" x14ac:dyDescent="0.2">
      <c r="A1025" s="5">
        <v>964</v>
      </c>
      <c r="B1025" s="1821">
        <f>'Expenditures 15-22'!H55</f>
        <v>1889</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1889</v>
      </c>
      <c r="C1027" s="2" t="s">
        <v>569</v>
      </c>
      <c r="D1027" s="2" t="str">
        <f t="shared" si="15"/>
        <v>Error?</v>
      </c>
    </row>
    <row r="1028" spans="1:4" x14ac:dyDescent="0.2">
      <c r="A1028" s="5">
        <v>967</v>
      </c>
      <c r="B1028" s="1821">
        <f>'Expenditures 15-22'!H59</f>
        <v>7416</v>
      </c>
      <c r="D1028" s="2" t="str">
        <f t="shared" si="15"/>
        <v>Error?</v>
      </c>
    </row>
    <row r="1029" spans="1:4" x14ac:dyDescent="0.2">
      <c r="A1029" s="5">
        <v>968</v>
      </c>
      <c r="B1029" s="1821">
        <f>'Expenditures 15-22'!H60</f>
        <v>0</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7416</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19306</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231603</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1892454</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1991</v>
      </c>
      <c r="E1056" s="4" t="s">
        <v>1990</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11492932</v>
      </c>
      <c r="C1093" s="2" t="s">
        <v>569</v>
      </c>
      <c r="D1093" s="2" t="str">
        <f t="shared" si="16"/>
        <v>Error?</v>
      </c>
    </row>
    <row r="1094" spans="1:4" x14ac:dyDescent="0.2">
      <c r="A1094" s="5">
        <v>1033</v>
      </c>
      <c r="B1094" s="1821">
        <f>'Expenditures 15-22'!K16</f>
        <v>0</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0</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103235</v>
      </c>
      <c r="C1105" s="2" t="s">
        <v>569</v>
      </c>
      <c r="D1105" s="2" t="str">
        <f t="shared" si="16"/>
        <v>Error?</v>
      </c>
    </row>
    <row r="1106" spans="1:4" x14ac:dyDescent="0.2">
      <c r="A1106" s="5">
        <v>1045</v>
      </c>
      <c r="B1106" s="1821">
        <f>'Expenditures 15-22'!K14</f>
        <v>907200</v>
      </c>
      <c r="C1106" s="2" t="s">
        <v>569</v>
      </c>
      <c r="D1106" s="2" t="str">
        <f t="shared" si="16"/>
        <v>Error?</v>
      </c>
    </row>
    <row r="1107" spans="1:4" x14ac:dyDescent="0.2">
      <c r="A1107" s="5">
        <v>1046</v>
      </c>
      <c r="B1107" s="1821">
        <f>'Expenditures 15-22'!K15</f>
        <v>139335</v>
      </c>
      <c r="C1107" s="2" t="s">
        <v>569</v>
      </c>
      <c r="D1107" s="2" t="str">
        <f t="shared" si="16"/>
        <v>Error?</v>
      </c>
    </row>
    <row r="1108" spans="1:4" x14ac:dyDescent="0.2">
      <c r="A1108" s="5">
        <v>1047</v>
      </c>
      <c r="B1108" s="1821">
        <f>'Expenditures 15-22'!K33</f>
        <v>17886463</v>
      </c>
      <c r="C1108" s="2" t="s">
        <v>569</v>
      </c>
      <c r="D1108" s="2" t="str">
        <f t="shared" si="16"/>
        <v>Error?</v>
      </c>
    </row>
    <row r="1109" spans="1:4" x14ac:dyDescent="0.2">
      <c r="A1109" s="5">
        <v>1048</v>
      </c>
      <c r="B1109" s="1821">
        <f>'Expenditures 15-22'!K36</f>
        <v>380384</v>
      </c>
      <c r="C1109" s="2" t="s">
        <v>569</v>
      </c>
      <c r="D1109" s="2" t="str">
        <f t="shared" si="16"/>
        <v>Error?</v>
      </c>
    </row>
    <row r="1110" spans="1:4" x14ac:dyDescent="0.2">
      <c r="A1110" s="5">
        <v>1049</v>
      </c>
      <c r="B1110" s="1821">
        <f>'Expenditures 15-22'!K37</f>
        <v>714588</v>
      </c>
      <c r="C1110" s="2" t="s">
        <v>569</v>
      </c>
      <c r="D1110" s="2" t="str">
        <f t="shared" si="16"/>
        <v>Error?</v>
      </c>
    </row>
    <row r="1111" spans="1:4" x14ac:dyDescent="0.2">
      <c r="A1111" s="5">
        <v>1050</v>
      </c>
      <c r="B1111" s="1821">
        <f>'Expenditures 15-22'!K38</f>
        <v>141323</v>
      </c>
      <c r="C1111" s="2" t="s">
        <v>569</v>
      </c>
      <c r="D1111" s="2" t="str">
        <f t="shared" si="16"/>
        <v>Error?</v>
      </c>
    </row>
    <row r="1112" spans="1:4" x14ac:dyDescent="0.2">
      <c r="A1112" s="5">
        <v>1051</v>
      </c>
      <c r="B1112" s="1821">
        <f>'Expenditures 15-22'!K39</f>
        <v>281684</v>
      </c>
      <c r="C1112" s="2" t="s">
        <v>569</v>
      </c>
      <c r="D1112" s="2" t="str">
        <f t="shared" si="16"/>
        <v>Error?</v>
      </c>
    </row>
    <row r="1113" spans="1:4" x14ac:dyDescent="0.2">
      <c r="A1113" s="5">
        <v>1052</v>
      </c>
      <c r="B1113" s="1821">
        <f>'Expenditures 15-22'!K40</f>
        <v>0</v>
      </c>
      <c r="C1113" s="2" t="s">
        <v>569</v>
      </c>
      <c r="D1113" s="2" t="str">
        <f t="shared" si="16"/>
        <v>Error?</v>
      </c>
    </row>
    <row r="1114" spans="1:4" x14ac:dyDescent="0.2">
      <c r="A1114" s="5">
        <v>1053</v>
      </c>
      <c r="B1114" s="1821">
        <f>'Expenditures 15-22'!K41</f>
        <v>142295</v>
      </c>
      <c r="C1114" s="2" t="s">
        <v>569</v>
      </c>
      <c r="D1114" s="2" t="str">
        <f t="shared" si="16"/>
        <v>Error?</v>
      </c>
    </row>
    <row r="1115" spans="1:4" x14ac:dyDescent="0.2">
      <c r="A1115" s="5">
        <v>1054</v>
      </c>
      <c r="B1115" s="1821">
        <f>'Expenditures 15-22'!K42</f>
        <v>1660274</v>
      </c>
      <c r="C1115" s="2" t="s">
        <v>569</v>
      </c>
      <c r="D1115" s="2" t="str">
        <f t="shared" si="16"/>
        <v>Error?</v>
      </c>
    </row>
    <row r="1116" spans="1:4" x14ac:dyDescent="0.2">
      <c r="A1116" s="5">
        <v>1055</v>
      </c>
      <c r="B1116" s="1821">
        <f>'Expenditures 15-22'!K44</f>
        <v>1129333</v>
      </c>
      <c r="C1116" s="2" t="s">
        <v>569</v>
      </c>
      <c r="D1116" s="2" t="str">
        <f t="shared" si="16"/>
        <v>Error?</v>
      </c>
    </row>
    <row r="1117" spans="1:4" x14ac:dyDescent="0.2">
      <c r="A1117" s="5">
        <v>1056</v>
      </c>
      <c r="B1117" s="1821">
        <f>'Expenditures 15-22'!K45</f>
        <v>1598625</v>
      </c>
      <c r="C1117" s="2" t="s">
        <v>569</v>
      </c>
      <c r="D1117" s="2" t="str">
        <f t="shared" si="16"/>
        <v>Error?</v>
      </c>
    </row>
    <row r="1118" spans="1:4" x14ac:dyDescent="0.2">
      <c r="A1118" s="5">
        <v>1057</v>
      </c>
      <c r="B1118" s="1821">
        <f>'Expenditures 15-22'!K46</f>
        <v>1998</v>
      </c>
      <c r="C1118" s="2" t="s">
        <v>569</v>
      </c>
      <c r="D1118" s="2" t="str">
        <f t="shared" si="16"/>
        <v>Error?</v>
      </c>
    </row>
    <row r="1119" spans="1:4" x14ac:dyDescent="0.2">
      <c r="A1119" s="5">
        <v>1058</v>
      </c>
      <c r="B1119" s="1821">
        <f>'Expenditures 15-22'!K47</f>
        <v>2729956</v>
      </c>
      <c r="C1119" s="2" t="s">
        <v>569</v>
      </c>
      <c r="D1119" s="2" t="str">
        <f t="shared" si="16"/>
        <v>Error?</v>
      </c>
    </row>
    <row r="1120" spans="1:4" x14ac:dyDescent="0.2">
      <c r="A1120" s="5">
        <v>1059</v>
      </c>
      <c r="B1120" s="1821">
        <f>'Expenditures 15-22'!K49</f>
        <v>266340</v>
      </c>
      <c r="C1120" s="2" t="s">
        <v>569</v>
      </c>
      <c r="D1120" s="2" t="str">
        <f t="shared" si="16"/>
        <v>Error?</v>
      </c>
    </row>
    <row r="1121" spans="1:4" x14ac:dyDescent="0.2">
      <c r="A1121" s="5">
        <v>1060</v>
      </c>
      <c r="B1121" s="1821">
        <f>'Expenditures 15-22'!K50</f>
        <v>564431</v>
      </c>
      <c r="C1121" s="2" t="s">
        <v>569</v>
      </c>
      <c r="D1121" s="2" t="str">
        <f t="shared" si="16"/>
        <v>Error?</v>
      </c>
    </row>
    <row r="1122" spans="1:4" x14ac:dyDescent="0.2">
      <c r="A1122" s="5">
        <v>1061</v>
      </c>
      <c r="B1122" s="1821">
        <f>'Expenditures 15-22'!K53</f>
        <v>830771</v>
      </c>
      <c r="C1122" s="2" t="s">
        <v>569</v>
      </c>
      <c r="D1122" s="2" t="str">
        <f t="shared" si="16"/>
        <v>Error?</v>
      </c>
    </row>
    <row r="1123" spans="1:4" x14ac:dyDescent="0.2">
      <c r="A1123" s="5">
        <v>1062</v>
      </c>
      <c r="B1123" s="1821">
        <f>'Expenditures 15-22'!K55</f>
        <v>1573586</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1573586</v>
      </c>
      <c r="C1125" s="2" t="s">
        <v>569</v>
      </c>
      <c r="D1125" s="2" t="str">
        <f t="shared" si="16"/>
        <v>Error?</v>
      </c>
    </row>
    <row r="1126" spans="1:4" x14ac:dyDescent="0.2">
      <c r="A1126" s="5">
        <v>1065</v>
      </c>
      <c r="B1126" s="1821">
        <f>'Expenditures 15-22'!K59</f>
        <v>236212</v>
      </c>
      <c r="C1126" s="2" t="s">
        <v>569</v>
      </c>
      <c r="D1126" s="2" t="str">
        <f t="shared" si="16"/>
        <v>Error?</v>
      </c>
    </row>
    <row r="1127" spans="1:4" x14ac:dyDescent="0.2">
      <c r="A1127" s="5">
        <v>1066</v>
      </c>
      <c r="B1127" s="1821">
        <f>'Expenditures 15-22'!K60</f>
        <v>176383</v>
      </c>
      <c r="C1127" s="2" t="s">
        <v>569</v>
      </c>
      <c r="D1127" s="2" t="str">
        <f t="shared" si="16"/>
        <v>Error?</v>
      </c>
    </row>
    <row r="1128" spans="1:4" x14ac:dyDescent="0.2">
      <c r="A1128" s="5">
        <v>1067</v>
      </c>
      <c r="B1128" s="1821">
        <f>'Expenditures 15-22'!K61</f>
        <v>17865</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536924</v>
      </c>
      <c r="C1130" s="2" t="s">
        <v>569</v>
      </c>
      <c r="D1130" s="2" t="str">
        <f t="shared" si="16"/>
        <v>Error?</v>
      </c>
    </row>
    <row r="1131" spans="1:4" x14ac:dyDescent="0.2">
      <c r="A1131" s="5">
        <v>1070</v>
      </c>
      <c r="B1131" s="1821">
        <f>'Expenditures 15-22'!K64</f>
        <v>70334</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1037718</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0</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0</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0</v>
      </c>
      <c r="C1141" s="2" t="s">
        <v>569</v>
      </c>
      <c r="D1141" s="2" t="str">
        <f t="shared" si="16"/>
        <v>Error?</v>
      </c>
    </row>
    <row r="1142" spans="1:4" x14ac:dyDescent="0.2">
      <c r="A1142" s="5">
        <v>1081</v>
      </c>
      <c r="B1142" s="1821">
        <f>'Expenditures 15-22'!K73</f>
        <v>972</v>
      </c>
      <c r="C1142" s="2" t="s">
        <v>569</v>
      </c>
      <c r="D1142" s="2" t="str">
        <f t="shared" si="16"/>
        <v>Error?</v>
      </c>
    </row>
    <row r="1143" spans="1:4" x14ac:dyDescent="0.2">
      <c r="A1143" s="5">
        <v>1082</v>
      </c>
      <c r="B1143" s="1821">
        <f>'Expenditures 15-22'!K74</f>
        <v>7833277</v>
      </c>
      <c r="C1143" s="2" t="s">
        <v>569</v>
      </c>
      <c r="D1143" s="2" t="str">
        <f t="shared" si="16"/>
        <v>Error?</v>
      </c>
    </row>
    <row r="1144" spans="1:4" x14ac:dyDescent="0.2">
      <c r="A1144" s="5">
        <v>1083</v>
      </c>
      <c r="B1144" s="1821">
        <f>'Expenditures 15-22'!K75</f>
        <v>173467</v>
      </c>
      <c r="C1144" s="2" t="s">
        <v>569</v>
      </c>
      <c r="D1144" s="2" t="str">
        <f t="shared" si="16"/>
        <v>Error?</v>
      </c>
    </row>
    <row r="1145" spans="1:4" x14ac:dyDescent="0.2">
      <c r="A1145" s="5">
        <v>1084</v>
      </c>
      <c r="B1145" s="1821">
        <f>'Expenditures 15-22'!K102</f>
        <v>710343</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26603550</v>
      </c>
      <c r="C1152" s="2" t="s">
        <v>569</v>
      </c>
      <c r="D1152" s="2" t="str">
        <f t="shared" si="17"/>
        <v>Error?</v>
      </c>
    </row>
    <row r="1153" spans="1:4" x14ac:dyDescent="0.2">
      <c r="A1153" s="5">
        <v>1092</v>
      </c>
      <c r="B1153" s="1821">
        <f>'Expenditures 15-22'!K115</f>
        <v>2317740</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700819</v>
      </c>
      <c r="D1221" s="2" t="str">
        <f t="shared" si="18"/>
        <v>Error?</v>
      </c>
    </row>
    <row r="1222" spans="1:4" x14ac:dyDescent="0.2">
      <c r="A1222" s="10">
        <v>1161</v>
      </c>
      <c r="B1222" s="1821"/>
      <c r="D1222" s="2" t="str">
        <f t="shared" si="18"/>
        <v>OK</v>
      </c>
    </row>
    <row r="1223" spans="1:4" x14ac:dyDescent="0.2">
      <c r="A1223" s="5">
        <v>1162</v>
      </c>
      <c r="B1223" s="1821">
        <f>'Expenditures 15-22'!C127</f>
        <v>700819</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700819</v>
      </c>
      <c r="C1225" s="2" t="s">
        <v>569</v>
      </c>
      <c r="D1225" s="2" t="str">
        <f t="shared" si="18"/>
        <v>Error?</v>
      </c>
    </row>
    <row r="1226" spans="1:4" x14ac:dyDescent="0.2">
      <c r="A1226" s="5">
        <v>1165</v>
      </c>
      <c r="B1226" s="1821">
        <f>'Expenditures 15-22'!C151</f>
        <v>700819</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98905</v>
      </c>
      <c r="D1229" s="2" t="str">
        <f t="shared" si="18"/>
        <v>Error?</v>
      </c>
    </row>
    <row r="1230" spans="1:4" x14ac:dyDescent="0.2">
      <c r="A1230" s="10">
        <v>1169</v>
      </c>
      <c r="B1230" s="1821"/>
      <c r="D1230" s="2" t="str">
        <f t="shared" si="18"/>
        <v>OK</v>
      </c>
    </row>
    <row r="1231" spans="1:4" x14ac:dyDescent="0.2">
      <c r="A1231" s="5">
        <v>1170</v>
      </c>
      <c r="B1231" s="1821">
        <f>'Expenditures 15-22'!D127</f>
        <v>98905</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98905</v>
      </c>
      <c r="C1233" s="2" t="s">
        <v>569</v>
      </c>
      <c r="D1233" s="2" t="str">
        <f t="shared" si="18"/>
        <v>Error?</v>
      </c>
    </row>
    <row r="1234" spans="1:4" x14ac:dyDescent="0.2">
      <c r="A1234" s="5">
        <v>1173</v>
      </c>
      <c r="B1234" s="1821">
        <f>'Expenditures 15-22'!D151</f>
        <v>98905</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1284241</v>
      </c>
      <c r="D1237" s="2" t="str">
        <f t="shared" si="18"/>
        <v>Error?</v>
      </c>
    </row>
    <row r="1238" spans="1:4" x14ac:dyDescent="0.2">
      <c r="A1238" s="10">
        <v>1177</v>
      </c>
      <c r="B1238" s="1821"/>
      <c r="D1238" s="2" t="str">
        <f t="shared" si="18"/>
        <v>OK</v>
      </c>
    </row>
    <row r="1239" spans="1:4" x14ac:dyDescent="0.2">
      <c r="A1239" s="5">
        <v>1178</v>
      </c>
      <c r="B1239" s="1821">
        <f>'Expenditures 15-22'!E127</f>
        <v>1284241</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1284241</v>
      </c>
      <c r="C1241" s="2" t="s">
        <v>569</v>
      </c>
      <c r="D1241" s="2" t="str">
        <f t="shared" si="18"/>
        <v>Error?</v>
      </c>
    </row>
    <row r="1242" spans="1:4" x14ac:dyDescent="0.2">
      <c r="A1242" s="5">
        <v>1181</v>
      </c>
      <c r="B1242" s="1821">
        <f>'Expenditures 15-22'!E151</f>
        <v>1284241</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745861</v>
      </c>
      <c r="D1245" s="2" t="str">
        <f t="shared" si="18"/>
        <v>Error?</v>
      </c>
    </row>
    <row r="1246" spans="1:4" x14ac:dyDescent="0.2">
      <c r="A1246" s="10">
        <v>1185</v>
      </c>
      <c r="B1246" s="1821"/>
      <c r="D1246" s="2" t="str">
        <f t="shared" si="18"/>
        <v>OK</v>
      </c>
    </row>
    <row r="1247" spans="1:4" x14ac:dyDescent="0.2">
      <c r="A1247" s="5">
        <v>1186</v>
      </c>
      <c r="B1247" s="1821">
        <f>'Expenditures 15-22'!F127</f>
        <v>745861</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745861</v>
      </c>
      <c r="C1249" s="2" t="s">
        <v>569</v>
      </c>
      <c r="D1249" s="2" t="str">
        <f t="shared" si="18"/>
        <v>Error?</v>
      </c>
    </row>
    <row r="1250" spans="1:4" x14ac:dyDescent="0.2">
      <c r="A1250" s="5">
        <v>1189</v>
      </c>
      <c r="B1250" s="1821">
        <f>'Expenditures 15-22'!F151</f>
        <v>745861</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910209</v>
      </c>
      <c r="D1252" s="2" t="str">
        <f t="shared" si="18"/>
        <v>Error?</v>
      </c>
    </row>
    <row r="1253" spans="1:4" x14ac:dyDescent="0.2">
      <c r="A1253" s="5">
        <v>1192</v>
      </c>
      <c r="B1253" s="1821">
        <f>'Expenditures 15-22'!G124</f>
        <v>40712</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950921</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950921</v>
      </c>
      <c r="C1258" s="2" t="s">
        <v>569</v>
      </c>
      <c r="D1258" s="2" t="str">
        <f t="shared" si="18"/>
        <v>Error?</v>
      </c>
    </row>
    <row r="1259" spans="1:4" x14ac:dyDescent="0.2">
      <c r="A1259" s="5">
        <v>1198</v>
      </c>
      <c r="B1259" s="1821">
        <f>'Expenditures 15-22'!G151</f>
        <v>950921</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0</v>
      </c>
      <c r="D1262" s="2" t="str">
        <f t="shared" si="18"/>
        <v>Error?</v>
      </c>
    </row>
    <row r="1263" spans="1:4" x14ac:dyDescent="0.2">
      <c r="A1263" s="10">
        <v>1202</v>
      </c>
      <c r="B1263" s="1821"/>
      <c r="D1263" s="2" t="str">
        <f t="shared" si="18"/>
        <v>OK</v>
      </c>
    </row>
    <row r="1264" spans="1:4" x14ac:dyDescent="0.2">
      <c r="A1264" s="5">
        <v>1203</v>
      </c>
      <c r="B1264" s="1821">
        <f>'Expenditures 15-22'!H127</f>
        <v>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0</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0</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910209</v>
      </c>
      <c r="C1275" s="2" t="s">
        <v>569</v>
      </c>
      <c r="D1275" s="2" t="str">
        <f t="shared" si="18"/>
        <v>Error?</v>
      </c>
    </row>
    <row r="1276" spans="1:4" x14ac:dyDescent="0.2">
      <c r="A1276" s="5">
        <v>1215</v>
      </c>
      <c r="B1276" s="1821">
        <f>'Expenditures 15-22'!K124</f>
        <v>3010091</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3920300</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3920300</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3920300</v>
      </c>
      <c r="C1288" s="2" t="s">
        <v>569</v>
      </c>
      <c r="D1288" s="2" t="str">
        <f t="shared" si="19"/>
        <v>Error?</v>
      </c>
    </row>
    <row r="1289" spans="1:4" x14ac:dyDescent="0.2">
      <c r="A1289" s="5">
        <v>1228</v>
      </c>
      <c r="B1289" s="1821">
        <f>'Expenditures 15-22'!K152</f>
        <v>-881089</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1611983</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4665000</v>
      </c>
      <c r="D1315" s="2" t="str">
        <f t="shared" si="19"/>
        <v>Error?</v>
      </c>
    </row>
    <row r="1316" spans="1:4" x14ac:dyDescent="0.2">
      <c r="A1316" s="5">
        <v>1255</v>
      </c>
      <c r="B1316" s="1821">
        <f>'Expenditures 15-22'!H171</f>
        <v>800</v>
      </c>
      <c r="D1316" s="2" t="str">
        <f t="shared" si="19"/>
        <v>Error?</v>
      </c>
    </row>
    <row r="1317" spans="1:4" x14ac:dyDescent="0.2">
      <c r="A1317" s="5">
        <v>1256</v>
      </c>
      <c r="B1317" s="1821">
        <f>'Expenditures 15-22'!H172</f>
        <v>6277783</v>
      </c>
      <c r="C1317" s="2" t="s">
        <v>569</v>
      </c>
      <c r="D1317" s="2" t="str">
        <f t="shared" si="19"/>
        <v>Error?</v>
      </c>
    </row>
    <row r="1318" spans="1:4" x14ac:dyDescent="0.2">
      <c r="A1318" s="5">
        <v>1257</v>
      </c>
      <c r="B1318" s="1821">
        <f>'Expenditures 15-22'!H174</f>
        <v>6277783</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1611983</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4665000</v>
      </c>
      <c r="C1329" s="2" t="s">
        <v>569</v>
      </c>
      <c r="D1329" s="2" t="str">
        <f t="shared" si="19"/>
        <v>Error?</v>
      </c>
    </row>
    <row r="1330" spans="1:4" x14ac:dyDescent="0.2">
      <c r="A1330" s="5">
        <v>1269</v>
      </c>
      <c r="B1330" s="1821">
        <f>'Expenditures 15-22'!K171</f>
        <v>800</v>
      </c>
      <c r="C1330" s="2" t="s">
        <v>569</v>
      </c>
      <c r="D1330" s="2" t="str">
        <f t="shared" si="19"/>
        <v>Error?</v>
      </c>
    </row>
    <row r="1331" spans="1:4" x14ac:dyDescent="0.2">
      <c r="A1331" s="5">
        <v>1270</v>
      </c>
      <c r="B1331" s="1821">
        <f>'Expenditures 15-22'!K172</f>
        <v>6277783</v>
      </c>
      <c r="C1331" s="2" t="s">
        <v>569</v>
      </c>
      <c r="D1331" s="2" t="str">
        <f t="shared" si="19"/>
        <v>Error?</v>
      </c>
    </row>
    <row r="1332" spans="1:4" x14ac:dyDescent="0.2">
      <c r="A1332" s="5">
        <v>1271</v>
      </c>
      <c r="B1332" s="1821">
        <f>'Expenditures 15-22'!K174</f>
        <v>6277783</v>
      </c>
      <c r="C1332" s="2" t="s">
        <v>569</v>
      </c>
      <c r="D1332" s="2" t="str">
        <f t="shared" si="19"/>
        <v>Error?</v>
      </c>
    </row>
    <row r="1333" spans="1:4" x14ac:dyDescent="0.2">
      <c r="A1333" s="5">
        <v>1272</v>
      </c>
      <c r="B1333" s="1821">
        <f>'Expenditures 15-22'!K175</f>
        <v>-2388642</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675480</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675480</v>
      </c>
      <c r="C1339" s="2" t="s">
        <v>569</v>
      </c>
      <c r="D1339" s="2" t="str">
        <f t="shared" si="19"/>
        <v>Error?</v>
      </c>
    </row>
    <row r="1340" spans="1:4" x14ac:dyDescent="0.2">
      <c r="A1340" s="5">
        <v>1279</v>
      </c>
      <c r="B1340" s="1821">
        <f>'Expenditures 15-22'!C210</f>
        <v>675480</v>
      </c>
      <c r="C1340" s="2" t="s">
        <v>569</v>
      </c>
      <c r="D1340" s="2" t="str">
        <f t="shared" si="19"/>
        <v>Error?</v>
      </c>
    </row>
    <row r="1341" spans="1:4" x14ac:dyDescent="0.2">
      <c r="A1341" s="5">
        <v>1280</v>
      </c>
      <c r="B1341" s="1821">
        <f>'Expenditures 15-22'!D182</f>
        <v>23953</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23953</v>
      </c>
      <c r="C1345" s="2" t="s">
        <v>569</v>
      </c>
      <c r="D1345" s="2" t="str">
        <f t="shared" si="20"/>
        <v>Error?</v>
      </c>
    </row>
    <row r="1346" spans="1:4" x14ac:dyDescent="0.2">
      <c r="A1346" s="5">
        <v>1285</v>
      </c>
      <c r="B1346" s="1821">
        <f>'Expenditures 15-22'!D210</f>
        <v>23953</v>
      </c>
      <c r="C1346" s="2" t="s">
        <v>569</v>
      </c>
      <c r="D1346" s="2" t="str">
        <f t="shared" si="20"/>
        <v>Error?</v>
      </c>
    </row>
    <row r="1347" spans="1:4" x14ac:dyDescent="0.2">
      <c r="A1347" s="5">
        <v>1286</v>
      </c>
      <c r="B1347" s="1821">
        <f>'Expenditures 15-22'!E182</f>
        <v>530610</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530610</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530610</v>
      </c>
      <c r="C1353" s="2" t="s">
        <v>569</v>
      </c>
      <c r="D1353" s="2" t="str">
        <f t="shared" si="20"/>
        <v>Error?</v>
      </c>
    </row>
    <row r="1354" spans="1:4" x14ac:dyDescent="0.2">
      <c r="A1354" s="5">
        <v>1293</v>
      </c>
      <c r="B1354" s="1821">
        <f>'Expenditures 15-22'!F182</f>
        <v>93916</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93916</v>
      </c>
      <c r="C1358" s="2" t="s">
        <v>569</v>
      </c>
      <c r="D1358" s="2" t="str">
        <f t="shared" si="20"/>
        <v>Error?</v>
      </c>
    </row>
    <row r="1359" spans="1:4" x14ac:dyDescent="0.2">
      <c r="A1359" s="5">
        <v>1298</v>
      </c>
      <c r="B1359" s="1821">
        <f>'Expenditures 15-22'!F210</f>
        <v>93916</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1326292</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1326292</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1326292</v>
      </c>
      <c r="C1388" s="2" t="s">
        <v>569</v>
      </c>
      <c r="D1388" s="2" t="str">
        <f t="shared" si="20"/>
        <v>Error?</v>
      </c>
    </row>
    <row r="1389" spans="1:4" x14ac:dyDescent="0.2">
      <c r="A1389" s="5">
        <v>1328</v>
      </c>
      <c r="B1389" s="1821">
        <f>'Expenditures 15-22'!K211</f>
        <v>-32155</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0</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802</v>
      </c>
      <c r="D1407" s="2" t="str">
        <f t="shared" ref="D1407:D1470" si="21">IF(ISBLANK(B1407),"OK",IF(A1407-B1407=0,"OK","Error?"))</f>
        <v>Error?</v>
      </c>
    </row>
    <row r="1408" spans="1:4" x14ac:dyDescent="0.2">
      <c r="A1408" s="5">
        <v>1347</v>
      </c>
      <c r="B1408" s="1821">
        <f>'Expenditures 15-22'!D223</f>
        <v>21544</v>
      </c>
      <c r="D1408" s="2" t="str">
        <f t="shared" si="21"/>
        <v>Error?</v>
      </c>
    </row>
    <row r="1409" spans="1:4" x14ac:dyDescent="0.2">
      <c r="A1409" s="5">
        <v>1348</v>
      </c>
      <c r="B1409" s="1821">
        <f>'Expenditures 15-22'!D224</f>
        <v>2879</v>
      </c>
      <c r="D1409" s="2" t="str">
        <f t="shared" si="21"/>
        <v>Error?</v>
      </c>
    </row>
    <row r="1410" spans="1:4" x14ac:dyDescent="0.2">
      <c r="A1410" s="5">
        <v>1349</v>
      </c>
      <c r="B1410" s="1821">
        <f>'Expenditures 15-22'!D229</f>
        <v>291031</v>
      </c>
      <c r="C1410" s="2" t="s">
        <v>569</v>
      </c>
      <c r="D1410" s="2" t="str">
        <f t="shared" si="21"/>
        <v>Error?</v>
      </c>
    </row>
    <row r="1411" spans="1:4" x14ac:dyDescent="0.2">
      <c r="A1411" s="5">
        <v>1350</v>
      </c>
      <c r="B1411" s="1821">
        <f>'Expenditures 15-22'!D232</f>
        <v>4797</v>
      </c>
      <c r="D1411" s="2" t="str">
        <f t="shared" si="21"/>
        <v>Error?</v>
      </c>
    </row>
    <row r="1412" spans="1:4" x14ac:dyDescent="0.2">
      <c r="A1412" s="5">
        <v>1351</v>
      </c>
      <c r="B1412" s="1821">
        <f>'Expenditures 15-22'!D233</f>
        <v>13147</v>
      </c>
      <c r="D1412" s="2" t="str">
        <f t="shared" si="21"/>
        <v>Error?</v>
      </c>
    </row>
    <row r="1413" spans="1:4" x14ac:dyDescent="0.2">
      <c r="A1413" s="5">
        <v>1352</v>
      </c>
      <c r="B1413" s="1821">
        <f>'Expenditures 15-22'!D234</f>
        <v>14870</v>
      </c>
      <c r="D1413" s="2" t="str">
        <f t="shared" si="21"/>
        <v>Error?</v>
      </c>
    </row>
    <row r="1414" spans="1:4" x14ac:dyDescent="0.2">
      <c r="A1414" s="5">
        <v>1353</v>
      </c>
      <c r="B1414" s="1821">
        <f>'Expenditures 15-22'!D235</f>
        <v>3451</v>
      </c>
      <c r="D1414" s="2" t="str">
        <f t="shared" si="21"/>
        <v>Error?</v>
      </c>
    </row>
    <row r="1415" spans="1:4" x14ac:dyDescent="0.2">
      <c r="A1415" s="5">
        <v>1354</v>
      </c>
      <c r="B1415" s="1821">
        <f>'Expenditures 15-22'!D236</f>
        <v>0</v>
      </c>
      <c r="D1415" s="2" t="str">
        <f t="shared" si="21"/>
        <v>Error?</v>
      </c>
    </row>
    <row r="1416" spans="1:4" x14ac:dyDescent="0.2">
      <c r="A1416" s="5">
        <v>1355</v>
      </c>
      <c r="B1416" s="1821">
        <f>'Expenditures 15-22'!D237</f>
        <v>23852</v>
      </c>
      <c r="D1416" s="2" t="str">
        <f t="shared" si="21"/>
        <v>Error?</v>
      </c>
    </row>
    <row r="1417" spans="1:4" x14ac:dyDescent="0.2">
      <c r="A1417" s="5">
        <v>1356</v>
      </c>
      <c r="B1417" s="1821">
        <f>'Expenditures 15-22'!D238</f>
        <v>60117</v>
      </c>
      <c r="C1417" s="2" t="s">
        <v>569</v>
      </c>
      <c r="D1417" s="2" t="str">
        <f t="shared" si="21"/>
        <v>Error?</v>
      </c>
    </row>
    <row r="1418" spans="1:4" x14ac:dyDescent="0.2">
      <c r="A1418" s="5">
        <v>1357</v>
      </c>
      <c r="B1418" s="1821">
        <f>'Expenditures 15-22'!D240</f>
        <v>14403</v>
      </c>
      <c r="D1418" s="2" t="str">
        <f t="shared" si="21"/>
        <v>Error?</v>
      </c>
    </row>
    <row r="1419" spans="1:4" x14ac:dyDescent="0.2">
      <c r="A1419" s="5">
        <v>1358</v>
      </c>
      <c r="B1419" s="1821">
        <f>'Expenditures 15-22'!D241</f>
        <v>88880</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103283</v>
      </c>
      <c r="C1421" s="2" t="s">
        <v>569</v>
      </c>
      <c r="D1421" s="2" t="str">
        <f t="shared" si="21"/>
        <v>Error?</v>
      </c>
    </row>
    <row r="1422" spans="1:4" x14ac:dyDescent="0.2">
      <c r="A1422" s="5">
        <v>1361</v>
      </c>
      <c r="B1422" s="1821">
        <f>'Expenditures 15-22'!D245</f>
        <v>4231</v>
      </c>
      <c r="D1422" s="2" t="str">
        <f t="shared" si="21"/>
        <v>Error?</v>
      </c>
    </row>
    <row r="1423" spans="1:4" x14ac:dyDescent="0.2">
      <c r="A1423" s="5">
        <v>1362</v>
      </c>
      <c r="B1423" s="1821">
        <f>'Expenditures 15-22'!D246</f>
        <v>21504</v>
      </c>
      <c r="D1423" s="2" t="str">
        <f t="shared" si="21"/>
        <v>Error?</v>
      </c>
    </row>
    <row r="1424" spans="1:4" x14ac:dyDescent="0.2">
      <c r="A1424" s="5">
        <v>1363</v>
      </c>
      <c r="B1424" s="1821">
        <f>'Expenditures 15-22'!D257</f>
        <v>25735</v>
      </c>
      <c r="C1424" s="2" t="s">
        <v>569</v>
      </c>
      <c r="D1424" s="2" t="str">
        <f t="shared" si="21"/>
        <v>Error?</v>
      </c>
    </row>
    <row r="1425" spans="1:4" x14ac:dyDescent="0.2">
      <c r="A1425" s="5">
        <v>1364</v>
      </c>
      <c r="B1425" s="1821">
        <f>'Expenditures 15-22'!D259</f>
        <v>81912</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81912</v>
      </c>
      <c r="C1427" s="2" t="s">
        <v>569</v>
      </c>
      <c r="D1427" s="2" t="str">
        <f t="shared" si="21"/>
        <v>Error?</v>
      </c>
    </row>
    <row r="1428" spans="1:4" x14ac:dyDescent="0.2">
      <c r="A1428" s="5">
        <v>1367</v>
      </c>
      <c r="B1428" s="1821">
        <f>'Expenditures 15-22'!D263</f>
        <v>2730</v>
      </c>
      <c r="D1428" s="2" t="str">
        <f t="shared" si="21"/>
        <v>Error?</v>
      </c>
    </row>
    <row r="1429" spans="1:4" x14ac:dyDescent="0.2">
      <c r="A1429" s="5">
        <v>1368</v>
      </c>
      <c r="B1429" s="1821">
        <f>'Expenditures 15-22'!D264</f>
        <v>25829</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113441</v>
      </c>
      <c r="D1431" s="2" t="str">
        <f t="shared" si="21"/>
        <v>Error?</v>
      </c>
    </row>
    <row r="1432" spans="1:4" x14ac:dyDescent="0.2">
      <c r="A1432" s="5">
        <v>1371</v>
      </c>
      <c r="B1432" s="1821">
        <f>'Expenditures 15-22'!D267</f>
        <v>112128</v>
      </c>
      <c r="D1432" s="2" t="str">
        <f t="shared" si="21"/>
        <v>Error?</v>
      </c>
    </row>
    <row r="1433" spans="1:4" x14ac:dyDescent="0.2">
      <c r="A1433" s="5">
        <v>1372</v>
      </c>
      <c r="B1433" s="1821">
        <f>'Expenditures 15-22'!D268</f>
        <v>34761</v>
      </c>
      <c r="D1433" s="2" t="str">
        <f t="shared" si="21"/>
        <v>Error?</v>
      </c>
    </row>
    <row r="1434" spans="1:4" x14ac:dyDescent="0.2">
      <c r="A1434" s="5">
        <v>1373</v>
      </c>
      <c r="B1434" s="1821">
        <f>'Expenditures 15-22'!D269</f>
        <v>697</v>
      </c>
      <c r="D1434" s="2" t="str">
        <f t="shared" si="21"/>
        <v>Error?</v>
      </c>
    </row>
    <row r="1435" spans="1:4" x14ac:dyDescent="0.2">
      <c r="A1435" s="10">
        <v>1374</v>
      </c>
      <c r="B1435" s="1821"/>
      <c r="D1435" s="2" t="str">
        <f t="shared" si="21"/>
        <v>OK</v>
      </c>
    </row>
    <row r="1436" spans="1:4" x14ac:dyDescent="0.2">
      <c r="A1436" s="5">
        <v>1375</v>
      </c>
      <c r="B1436" s="1821">
        <f>'Expenditures 15-22'!D270</f>
        <v>289586</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0</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560633</v>
      </c>
      <c r="C1446" s="2" t="s">
        <v>569</v>
      </c>
      <c r="D1446" s="2" t="str">
        <f t="shared" si="21"/>
        <v>Error?</v>
      </c>
    </row>
    <row r="1447" spans="1:4" x14ac:dyDescent="0.2">
      <c r="A1447" s="5">
        <v>1386</v>
      </c>
      <c r="B1447" s="1821">
        <f>'Expenditures 15-22'!D280</f>
        <v>10459</v>
      </c>
      <c r="D1447" s="2" t="str">
        <f t="shared" si="21"/>
        <v>Error?</v>
      </c>
    </row>
    <row r="1448" spans="1:4" x14ac:dyDescent="0.2">
      <c r="A1448" s="5">
        <v>1387</v>
      </c>
      <c r="B1448" s="1821">
        <f>'Expenditures 15-22'!D295</f>
        <v>862123</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0</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802</v>
      </c>
      <c r="C1471" s="2" t="s">
        <v>569</v>
      </c>
      <c r="D1471" s="2" t="str">
        <f t="shared" ref="D1471:D1534" si="22">IF(ISBLANK(B1471),"OK",IF(A1471-B1471=0,"OK","Error?"))</f>
        <v>Error?</v>
      </c>
    </row>
    <row r="1472" spans="1:4" x14ac:dyDescent="0.2">
      <c r="A1472" s="5">
        <v>1411</v>
      </c>
      <c r="B1472" s="1821">
        <f>'Expenditures 15-22'!K223</f>
        <v>21544</v>
      </c>
      <c r="C1472" s="2" t="s">
        <v>569</v>
      </c>
      <c r="D1472" s="2" t="str">
        <f t="shared" si="22"/>
        <v>Error?</v>
      </c>
    </row>
    <row r="1473" spans="1:4" x14ac:dyDescent="0.2">
      <c r="A1473" s="5">
        <v>1412</v>
      </c>
      <c r="B1473" s="1821">
        <f>'Expenditures 15-22'!K224</f>
        <v>2879</v>
      </c>
      <c r="C1473" s="2" t="s">
        <v>569</v>
      </c>
      <c r="D1473" s="2" t="str">
        <f t="shared" si="22"/>
        <v>Error?</v>
      </c>
    </row>
    <row r="1474" spans="1:4" x14ac:dyDescent="0.2">
      <c r="A1474" s="5">
        <v>1413</v>
      </c>
      <c r="B1474" s="1821">
        <f>'Expenditures 15-22'!K229</f>
        <v>291031</v>
      </c>
      <c r="C1474" s="2" t="s">
        <v>569</v>
      </c>
      <c r="D1474" s="2" t="str">
        <f t="shared" si="22"/>
        <v>Error?</v>
      </c>
    </row>
    <row r="1475" spans="1:4" x14ac:dyDescent="0.2">
      <c r="A1475" s="5">
        <v>1414</v>
      </c>
      <c r="B1475" s="1821">
        <f>'Expenditures 15-22'!K232</f>
        <v>4797</v>
      </c>
      <c r="C1475" s="2" t="s">
        <v>569</v>
      </c>
      <c r="D1475" s="2" t="str">
        <f t="shared" si="22"/>
        <v>Error?</v>
      </c>
    </row>
    <row r="1476" spans="1:4" x14ac:dyDescent="0.2">
      <c r="A1476" s="5">
        <v>1415</v>
      </c>
      <c r="B1476" s="1821">
        <f>'Expenditures 15-22'!K233</f>
        <v>13147</v>
      </c>
      <c r="C1476" s="2" t="s">
        <v>569</v>
      </c>
      <c r="D1476" s="2" t="str">
        <f t="shared" si="22"/>
        <v>Error?</v>
      </c>
    </row>
    <row r="1477" spans="1:4" x14ac:dyDescent="0.2">
      <c r="A1477" s="5">
        <v>1416</v>
      </c>
      <c r="B1477" s="1821">
        <f>'Expenditures 15-22'!K234</f>
        <v>14870</v>
      </c>
      <c r="C1477" s="2" t="s">
        <v>569</v>
      </c>
      <c r="D1477" s="2" t="str">
        <f t="shared" si="22"/>
        <v>Error?</v>
      </c>
    </row>
    <row r="1478" spans="1:4" x14ac:dyDescent="0.2">
      <c r="A1478" s="5">
        <v>1417</v>
      </c>
      <c r="B1478" s="1821">
        <f>'Expenditures 15-22'!K235</f>
        <v>3451</v>
      </c>
      <c r="C1478" s="2" t="s">
        <v>569</v>
      </c>
      <c r="D1478" s="2" t="str">
        <f t="shared" si="22"/>
        <v>Error?</v>
      </c>
    </row>
    <row r="1479" spans="1:4" x14ac:dyDescent="0.2">
      <c r="A1479" s="5">
        <v>1418</v>
      </c>
      <c r="B1479" s="1821">
        <f>'Expenditures 15-22'!K236</f>
        <v>0</v>
      </c>
      <c r="C1479" s="2" t="s">
        <v>569</v>
      </c>
      <c r="D1479" s="2" t="str">
        <f t="shared" si="22"/>
        <v>Error?</v>
      </c>
    </row>
    <row r="1480" spans="1:4" x14ac:dyDescent="0.2">
      <c r="A1480" s="5">
        <v>1419</v>
      </c>
      <c r="B1480" s="1821">
        <f>'Expenditures 15-22'!K237</f>
        <v>23852</v>
      </c>
      <c r="C1480" s="2" t="s">
        <v>569</v>
      </c>
      <c r="D1480" s="2" t="str">
        <f t="shared" si="22"/>
        <v>Error?</v>
      </c>
    </row>
    <row r="1481" spans="1:4" x14ac:dyDescent="0.2">
      <c r="A1481" s="5">
        <v>1420</v>
      </c>
      <c r="B1481" s="1821">
        <f>'Expenditures 15-22'!K238</f>
        <v>60117</v>
      </c>
      <c r="C1481" s="2" t="s">
        <v>569</v>
      </c>
      <c r="D1481" s="2" t="str">
        <f t="shared" si="22"/>
        <v>Error?</v>
      </c>
    </row>
    <row r="1482" spans="1:4" x14ac:dyDescent="0.2">
      <c r="A1482" s="5">
        <v>1421</v>
      </c>
      <c r="B1482" s="1821">
        <f>'Expenditures 15-22'!K240</f>
        <v>14403</v>
      </c>
      <c r="C1482" s="2" t="s">
        <v>569</v>
      </c>
      <c r="D1482" s="2" t="str">
        <f t="shared" si="22"/>
        <v>Error?</v>
      </c>
    </row>
    <row r="1483" spans="1:4" x14ac:dyDescent="0.2">
      <c r="A1483" s="5">
        <v>1422</v>
      </c>
      <c r="B1483" s="1821">
        <f>'Expenditures 15-22'!K241</f>
        <v>88880</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103283</v>
      </c>
      <c r="C1485" s="2" t="s">
        <v>569</v>
      </c>
      <c r="D1485" s="2" t="str">
        <f t="shared" si="22"/>
        <v>Error?</v>
      </c>
    </row>
    <row r="1486" spans="1:4" x14ac:dyDescent="0.2">
      <c r="A1486" s="5">
        <v>1425</v>
      </c>
      <c r="B1486" s="1821">
        <f>'Expenditures 15-22'!K245</f>
        <v>4231</v>
      </c>
      <c r="C1486" s="2" t="s">
        <v>569</v>
      </c>
      <c r="D1486" s="2" t="str">
        <f t="shared" si="22"/>
        <v>Error?</v>
      </c>
    </row>
    <row r="1487" spans="1:4" x14ac:dyDescent="0.2">
      <c r="A1487" s="5">
        <v>1426</v>
      </c>
      <c r="B1487" s="1821">
        <f>'Expenditures 15-22'!K246</f>
        <v>21504</v>
      </c>
      <c r="C1487" s="2" t="s">
        <v>569</v>
      </c>
      <c r="D1487" s="2" t="str">
        <f t="shared" si="22"/>
        <v>Error?</v>
      </c>
    </row>
    <row r="1488" spans="1:4" x14ac:dyDescent="0.2">
      <c r="A1488" s="5">
        <v>1427</v>
      </c>
      <c r="B1488" s="1821">
        <f>'Expenditures 15-22'!K257</f>
        <v>25735</v>
      </c>
      <c r="C1488" s="2" t="s">
        <v>569</v>
      </c>
      <c r="D1488" s="2" t="str">
        <f t="shared" si="22"/>
        <v>Error?</v>
      </c>
    </row>
    <row r="1489" spans="1:4" x14ac:dyDescent="0.2">
      <c r="A1489" s="5">
        <v>1428</v>
      </c>
      <c r="B1489" s="1821">
        <f>'Expenditures 15-22'!K259</f>
        <v>81912</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81912</v>
      </c>
      <c r="C1491" s="2" t="s">
        <v>569</v>
      </c>
      <c r="D1491" s="2" t="str">
        <f t="shared" si="22"/>
        <v>Error?</v>
      </c>
    </row>
    <row r="1492" spans="1:4" x14ac:dyDescent="0.2">
      <c r="A1492" s="5">
        <v>1431</v>
      </c>
      <c r="B1492" s="1821">
        <f>'Expenditures 15-22'!K263</f>
        <v>2730</v>
      </c>
      <c r="C1492" s="2" t="s">
        <v>569</v>
      </c>
      <c r="D1492" s="2" t="str">
        <f t="shared" si="22"/>
        <v>Error?</v>
      </c>
    </row>
    <row r="1493" spans="1:4" x14ac:dyDescent="0.2">
      <c r="A1493" s="5">
        <v>1432</v>
      </c>
      <c r="B1493" s="1821">
        <f>'Expenditures 15-22'!K264</f>
        <v>25829</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113441</v>
      </c>
      <c r="C1495" s="2" t="s">
        <v>569</v>
      </c>
      <c r="D1495" s="2" t="str">
        <f t="shared" si="22"/>
        <v>Error?</v>
      </c>
    </row>
    <row r="1496" spans="1:4" x14ac:dyDescent="0.2">
      <c r="A1496" s="5">
        <v>1435</v>
      </c>
      <c r="B1496" s="1821">
        <f>'Expenditures 15-22'!K267</f>
        <v>112128</v>
      </c>
      <c r="C1496" s="2" t="s">
        <v>569</v>
      </c>
      <c r="D1496" s="2" t="str">
        <f t="shared" si="22"/>
        <v>Error?</v>
      </c>
    </row>
    <row r="1497" spans="1:4" x14ac:dyDescent="0.2">
      <c r="A1497" s="5">
        <v>1436</v>
      </c>
      <c r="B1497" s="1821">
        <f>'Expenditures 15-22'!K268</f>
        <v>34761</v>
      </c>
      <c r="C1497" s="2" t="s">
        <v>569</v>
      </c>
      <c r="D1497" s="2" t="str">
        <f t="shared" si="22"/>
        <v>Error?</v>
      </c>
    </row>
    <row r="1498" spans="1:4" x14ac:dyDescent="0.2">
      <c r="A1498" s="5">
        <v>1437</v>
      </c>
      <c r="B1498" s="1821">
        <f>'Expenditures 15-22'!K269</f>
        <v>697</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289586</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0</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560633</v>
      </c>
      <c r="C1510" s="2" t="s">
        <v>569</v>
      </c>
      <c r="D1510" s="2" t="str">
        <f t="shared" si="22"/>
        <v>Error?</v>
      </c>
    </row>
    <row r="1511" spans="1:4" x14ac:dyDescent="0.2">
      <c r="A1511" s="5">
        <v>1450</v>
      </c>
      <c r="B1511" s="1821">
        <f>'Expenditures 15-22'!K280</f>
        <v>10459</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862123</v>
      </c>
      <c r="C1517" s="2" t="s">
        <v>569</v>
      </c>
      <c r="D1517" s="2" t="str">
        <f t="shared" si="22"/>
        <v>Error?</v>
      </c>
    </row>
    <row r="1518" spans="1:4" x14ac:dyDescent="0.2">
      <c r="A1518" s="5">
        <v>1457</v>
      </c>
      <c r="B1518" s="1821">
        <f>'Expenditures 15-22'!K296</f>
        <v>40314</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943538</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943538</v>
      </c>
      <c r="C1535" s="2" t="s">
        <v>569</v>
      </c>
      <c r="D1535" s="2" t="str">
        <f t="shared" ref="D1535:D1598" si="23">IF(ISBLANK(B1535),"OK",IF(A1535-B1535=0,"OK","Error?"))</f>
        <v>Error?</v>
      </c>
    </row>
    <row r="1536" spans="1:4" x14ac:dyDescent="0.2">
      <c r="A1536" s="5">
        <v>1475</v>
      </c>
      <c r="B1536" s="1821">
        <f>'Expenditures 15-22'!E312</f>
        <v>943538</v>
      </c>
      <c r="C1536" s="2" t="s">
        <v>569</v>
      </c>
      <c r="D1536" s="2" t="str">
        <f t="shared" si="23"/>
        <v>Error?</v>
      </c>
    </row>
    <row r="1537" spans="1:4" x14ac:dyDescent="0.2">
      <c r="A1537" s="5">
        <v>1476</v>
      </c>
      <c r="B1537" s="1821">
        <f>'Expenditures 15-22'!F301</f>
        <v>7011</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7011</v>
      </c>
      <c r="C1541" s="2" t="s">
        <v>569</v>
      </c>
      <c r="D1541" s="2" t="str">
        <f t="shared" si="23"/>
        <v>Error?</v>
      </c>
    </row>
    <row r="1542" spans="1:4" x14ac:dyDescent="0.2">
      <c r="A1542" s="5">
        <v>1481</v>
      </c>
      <c r="B1542" s="1821">
        <f>'Expenditures 15-22'!F312</f>
        <v>7011</v>
      </c>
      <c r="C1542" s="2" t="s">
        <v>569</v>
      </c>
      <c r="D1542" s="2" t="str">
        <f t="shared" si="23"/>
        <v>Error?</v>
      </c>
    </row>
    <row r="1543" spans="1:4" x14ac:dyDescent="0.2">
      <c r="A1543" s="5">
        <v>1482</v>
      </c>
      <c r="B1543" s="1821">
        <f>'Expenditures 15-22'!G301</f>
        <v>17010475</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17010475</v>
      </c>
      <c r="C1547" s="2" t="s">
        <v>569</v>
      </c>
      <c r="D1547" s="2" t="str">
        <f t="shared" si="23"/>
        <v>Error?</v>
      </c>
    </row>
    <row r="1548" spans="1:4" x14ac:dyDescent="0.2">
      <c r="A1548" s="5">
        <v>1487</v>
      </c>
      <c r="B1548" s="1821">
        <f>'Expenditures 15-22'!G312</f>
        <v>17010475</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17963069</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17963069</v>
      </c>
      <c r="C1559" s="2" t="s">
        <v>569</v>
      </c>
      <c r="D1559" s="2" t="str">
        <f t="shared" si="23"/>
        <v>Error?</v>
      </c>
    </row>
    <row r="1560" spans="1:4" x14ac:dyDescent="0.2">
      <c r="A1560" s="5">
        <v>1499</v>
      </c>
      <c r="B1560" s="1821">
        <f>'Expenditures 15-22'!K312</f>
        <v>17963069</v>
      </c>
      <c r="C1560" s="2" t="s">
        <v>569</v>
      </c>
      <c r="D1560" s="2" t="str">
        <f t="shared" si="23"/>
        <v>Error?</v>
      </c>
    </row>
    <row r="1561" spans="1:4" x14ac:dyDescent="0.2">
      <c r="A1561" s="5">
        <v>1500</v>
      </c>
      <c r="B1561" s="1821">
        <f>'Expenditures 15-22'!K313</f>
        <v>-17095363</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18878389</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21196129</v>
      </c>
      <c r="C1630" s="2" t="s">
        <v>569</v>
      </c>
      <c r="D1630" s="2" t="str">
        <f t="shared" si="24"/>
        <v>Error?</v>
      </c>
    </row>
    <row r="1631" spans="1:4" x14ac:dyDescent="0.2">
      <c r="A1631" s="5">
        <v>1570</v>
      </c>
      <c r="B1631" s="1821">
        <f>'Acct Summary 7-8'!D79</f>
        <v>1786217</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905128</v>
      </c>
      <c r="C1644" s="2" t="s">
        <v>569</v>
      </c>
      <c r="D1644" s="2" t="str">
        <f t="shared" si="24"/>
        <v>Error?</v>
      </c>
    </row>
    <row r="1645" spans="1:4" x14ac:dyDescent="0.2">
      <c r="A1645" s="5">
        <v>1584</v>
      </c>
      <c r="B1645" s="1821">
        <f>'Acct Summary 7-8'!E79</f>
        <v>4121205</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1732563</v>
      </c>
      <c r="C1658" s="2" t="s">
        <v>569</v>
      </c>
      <c r="D1658" s="2" t="str">
        <f t="shared" si="24"/>
        <v>Error?</v>
      </c>
    </row>
    <row r="1659" spans="1:4" x14ac:dyDescent="0.2">
      <c r="A1659" s="5">
        <v>1598</v>
      </c>
      <c r="B1659" s="1821">
        <f>'Acct Summary 7-8'!F79</f>
        <v>554040</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521885</v>
      </c>
      <c r="C1672" s="2" t="s">
        <v>569</v>
      </c>
      <c r="D1672" s="2" t="str">
        <f t="shared" si="25"/>
        <v>Error?</v>
      </c>
    </row>
    <row r="1673" spans="1:4" x14ac:dyDescent="0.2">
      <c r="A1673" s="5">
        <v>1612</v>
      </c>
      <c r="B1673" s="1821">
        <f>'Acct Summary 7-8'!G79</f>
        <v>394603</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434917</v>
      </c>
      <c r="C1686" s="2" t="s">
        <v>569</v>
      </c>
      <c r="D1686" s="2" t="str">
        <f t="shared" si="25"/>
        <v>Error?</v>
      </c>
    </row>
    <row r="1687" spans="1:4" x14ac:dyDescent="0.2">
      <c r="A1687" s="5">
        <v>1626</v>
      </c>
      <c r="B1687" s="1821">
        <f>'Acct Summary 7-8'!H79</f>
        <v>43096063</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26000700</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18746920</v>
      </c>
      <c r="C1744" s="2" t="s">
        <v>569</v>
      </c>
      <c r="D1744" s="2" t="str">
        <f t="shared" si="26"/>
        <v>Error?</v>
      </c>
    </row>
    <row r="1745" spans="1:5" x14ac:dyDescent="0.2">
      <c r="A1745" s="5">
        <v>1684</v>
      </c>
      <c r="B1745" s="1821">
        <f>'Tax Sched 23'!B5</f>
        <v>2751318</v>
      </c>
      <c r="C1745" s="2" t="s">
        <v>569</v>
      </c>
      <c r="D1745" s="2" t="str">
        <f t="shared" si="26"/>
        <v>Error?</v>
      </c>
    </row>
    <row r="1746" spans="1:5" x14ac:dyDescent="0.2">
      <c r="A1746" s="5">
        <v>1685</v>
      </c>
      <c r="B1746" s="1821">
        <f>'Tax Sched 23'!B6</f>
        <v>3834320</v>
      </c>
      <c r="C1746" s="2" t="s">
        <v>569</v>
      </c>
      <c r="D1746" s="2" t="str">
        <f t="shared" si="26"/>
        <v>Error?</v>
      </c>
    </row>
    <row r="1747" spans="1:5" x14ac:dyDescent="0.2">
      <c r="A1747" s="5">
        <v>1686</v>
      </c>
      <c r="B1747" s="1821">
        <f>'Tax Sched 23'!B7</f>
        <v>506475</v>
      </c>
      <c r="C1747" s="2" t="s">
        <v>569</v>
      </c>
      <c r="D1747" s="2" t="str">
        <f t="shared" si="26"/>
        <v>Error?</v>
      </c>
    </row>
    <row r="1748" spans="1:5" x14ac:dyDescent="0.2">
      <c r="A1748" s="5">
        <v>1687</v>
      </c>
      <c r="B1748" s="1821">
        <f>'Tax Sched 23'!B8</f>
        <v>361533</v>
      </c>
      <c r="C1748" s="2" t="s">
        <v>569</v>
      </c>
      <c r="D1748" s="2" t="str">
        <f t="shared" si="26"/>
        <v>Error?</v>
      </c>
    </row>
    <row r="1749" spans="1:5" x14ac:dyDescent="0.2">
      <c r="A1749" s="5">
        <v>1688</v>
      </c>
      <c r="B1749" s="1821">
        <f>'Tax Sched 23'!B10</f>
        <v>110432</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125822</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256078</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27126638</v>
      </c>
      <c r="C1759" s="2" t="s">
        <v>569</v>
      </c>
      <c r="D1759" s="2" t="str">
        <f t="shared" si="26"/>
        <v>Error?</v>
      </c>
    </row>
    <row r="1760" spans="1:5" x14ac:dyDescent="0.2">
      <c r="A1760" s="5">
        <v>1699</v>
      </c>
      <c r="B1760" s="1821">
        <f>'Tax Sched 23'!D4</f>
        <v>9535404</v>
      </c>
      <c r="C1760" s="2" t="s">
        <v>569</v>
      </c>
      <c r="D1760" s="2" t="str">
        <f t="shared" si="26"/>
        <v>Error?</v>
      </c>
    </row>
    <row r="1761" spans="1:7" x14ac:dyDescent="0.2">
      <c r="A1761" s="5">
        <v>1700</v>
      </c>
      <c r="B1761" s="1821">
        <f>'Tax Sched 23'!D5</f>
        <v>1255361</v>
      </c>
      <c r="C1761" s="2" t="s">
        <v>569</v>
      </c>
      <c r="D1761" s="2" t="str">
        <f t="shared" si="26"/>
        <v>Error?</v>
      </c>
    </row>
    <row r="1762" spans="1:7" s="8" customFormat="1" x14ac:dyDescent="0.2">
      <c r="A1762" s="5">
        <v>1701</v>
      </c>
      <c r="B1762" s="1821">
        <f>'Tax Sched 23'!D6</f>
        <v>2305898</v>
      </c>
      <c r="C1762" s="2" t="s">
        <v>569</v>
      </c>
      <c r="D1762" s="2" t="str">
        <f t="shared" si="26"/>
        <v>Error?</v>
      </c>
      <c r="E1762" s="9"/>
      <c r="G1762"/>
    </row>
    <row r="1763" spans="1:7" x14ac:dyDescent="0.2">
      <c r="A1763" s="5">
        <v>1702</v>
      </c>
      <c r="B1763" s="1821">
        <f>'Tax Sched 23'!D7</f>
        <v>254429</v>
      </c>
      <c r="C1763" s="2" t="s">
        <v>569</v>
      </c>
      <c r="D1763" s="2" t="str">
        <f t="shared" si="26"/>
        <v>Error?</v>
      </c>
    </row>
    <row r="1764" spans="1:7" x14ac:dyDescent="0.2">
      <c r="A1764" s="5">
        <v>1703</v>
      </c>
      <c r="B1764" s="1821">
        <f>'Tax Sched 23'!D8</f>
        <v>181614</v>
      </c>
      <c r="C1764" s="2" t="s">
        <v>569</v>
      </c>
      <c r="D1764" s="2" t="str">
        <f t="shared" si="26"/>
        <v>Error?</v>
      </c>
    </row>
    <row r="1765" spans="1:7" x14ac:dyDescent="0.2">
      <c r="A1765" s="5">
        <v>1704</v>
      </c>
      <c r="B1765" s="1821">
        <f>'Tax Sched 23'!D10</f>
        <v>55480</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63212</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128637</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13997927</v>
      </c>
      <c r="C1775" s="2" t="s">
        <v>569</v>
      </c>
      <c r="D1775" s="2" t="str">
        <f t="shared" si="26"/>
        <v>Error?</v>
      </c>
    </row>
    <row r="1776" spans="1:7" x14ac:dyDescent="0.2">
      <c r="A1776" s="5">
        <v>1715</v>
      </c>
      <c r="B1776" s="1821">
        <f>'Tax Sched 23'!C4</f>
        <v>9211516</v>
      </c>
      <c r="D1776" s="2" t="str">
        <f t="shared" si="26"/>
        <v>Error?</v>
      </c>
    </row>
    <row r="1777" spans="1:4" x14ac:dyDescent="0.2">
      <c r="A1777" s="5">
        <v>1716</v>
      </c>
      <c r="B1777" s="1821">
        <f>'Tax Sched 23'!C5</f>
        <v>1495957</v>
      </c>
      <c r="D1777" s="2" t="str">
        <f t="shared" si="26"/>
        <v>Error?</v>
      </c>
    </row>
    <row r="1778" spans="1:4" x14ac:dyDescent="0.2">
      <c r="A1778" s="5">
        <v>1717</v>
      </c>
      <c r="B1778" s="1821">
        <f>'Tax Sched 23'!C6</f>
        <v>1528422</v>
      </c>
      <c r="D1778" s="2" t="str">
        <f t="shared" si="26"/>
        <v>Error?</v>
      </c>
    </row>
    <row r="1779" spans="1:4" x14ac:dyDescent="0.2">
      <c r="A1779" s="5">
        <v>1718</v>
      </c>
      <c r="B1779" s="1821">
        <f>'Tax Sched 23'!C7</f>
        <v>252046</v>
      </c>
      <c r="D1779" s="2" t="str">
        <f t="shared" si="26"/>
        <v>Error?</v>
      </c>
    </row>
    <row r="1780" spans="1:4" x14ac:dyDescent="0.2">
      <c r="A1780" s="5">
        <v>1719</v>
      </c>
      <c r="B1780" s="1821">
        <f>'Tax Sched 23'!C8</f>
        <v>179919</v>
      </c>
      <c r="D1780" s="2" t="str">
        <f t="shared" si="26"/>
        <v>Error?</v>
      </c>
    </row>
    <row r="1781" spans="1:4" x14ac:dyDescent="0.2">
      <c r="A1781" s="5">
        <v>1720</v>
      </c>
      <c r="B1781" s="1821">
        <f>'Tax Sched 23'!C10</f>
        <v>54952</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62610</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127441</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13128711</v>
      </c>
      <c r="C1791" s="2" t="s">
        <v>569</v>
      </c>
      <c r="D1791" s="2" t="str">
        <f t="shared" ref="D1791:D1854" si="27">IF(ISBLANK(B1791),"OK",IF(A1791-B1791=0,"OK","Error?"))</f>
        <v>Error?</v>
      </c>
    </row>
    <row r="1792" spans="1:4" x14ac:dyDescent="0.2">
      <c r="A1792" s="5">
        <v>1731</v>
      </c>
      <c r="B1792" s="1821">
        <f>'Tax Sched 23'!F4</f>
        <v>10422908</v>
      </c>
      <c r="C1792" s="2" t="s">
        <v>569</v>
      </c>
      <c r="D1792" s="2" t="str">
        <f t="shared" si="27"/>
        <v>Error?</v>
      </c>
    </row>
    <row r="1793" spans="1:4" x14ac:dyDescent="0.2">
      <c r="A1793" s="5">
        <v>1732</v>
      </c>
      <c r="B1793" s="1821">
        <f>'Tax Sched 23'!F5</f>
        <v>1692687</v>
      </c>
      <c r="C1793" s="2" t="s">
        <v>569</v>
      </c>
      <c r="D1793" s="2" t="str">
        <f t="shared" si="27"/>
        <v>Error?</v>
      </c>
    </row>
    <row r="1794" spans="1:4" x14ac:dyDescent="0.2">
      <c r="A1794" s="5">
        <v>1733</v>
      </c>
      <c r="B1794" s="1821">
        <f>'Tax Sched 23'!F6</f>
        <v>1729424</v>
      </c>
      <c r="C1794" s="2" t="s">
        <v>569</v>
      </c>
      <c r="D1794" s="2" t="str">
        <f t="shared" si="27"/>
        <v>Error?</v>
      </c>
    </row>
    <row r="1795" spans="1:4" x14ac:dyDescent="0.2">
      <c r="A1795" s="5">
        <v>1734</v>
      </c>
      <c r="B1795" s="1821">
        <f>'Tax Sched 23'!F7</f>
        <v>285192</v>
      </c>
      <c r="C1795" s="2" t="s">
        <v>569</v>
      </c>
      <c r="D1795" s="2" t="str">
        <f t="shared" si="27"/>
        <v>Error?</v>
      </c>
    </row>
    <row r="1796" spans="1:4" x14ac:dyDescent="0.2">
      <c r="A1796" s="5">
        <v>1735</v>
      </c>
      <c r="B1796" s="1821">
        <f>'Tax Sched 23'!F8</f>
        <v>203580</v>
      </c>
      <c r="C1796" s="2" t="s">
        <v>569</v>
      </c>
      <c r="D1796" s="2" t="str">
        <f t="shared" si="27"/>
        <v>Error?</v>
      </c>
    </row>
    <row r="1797" spans="1:4" x14ac:dyDescent="0.2">
      <c r="A1797" s="5">
        <v>1736</v>
      </c>
      <c r="B1797" s="1821">
        <f>'Tax Sched 23'!F10</f>
        <v>62179</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70843</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144200</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14855247</v>
      </c>
      <c r="C1807" s="2" t="s">
        <v>569</v>
      </c>
      <c r="D1807" s="2" t="str">
        <f t="shared" si="27"/>
        <v>Error?</v>
      </c>
    </row>
    <row r="1808" spans="1:4" x14ac:dyDescent="0.2">
      <c r="A1808" s="5">
        <v>1747</v>
      </c>
      <c r="B1808" s="1821">
        <f>'Tax Sched 23'!E4</f>
        <v>19634424</v>
      </c>
      <c r="D1808" s="2" t="str">
        <f t="shared" si="27"/>
        <v>Error?</v>
      </c>
    </row>
    <row r="1809" spans="1:4" x14ac:dyDescent="0.2">
      <c r="A1809" s="5">
        <v>1748</v>
      </c>
      <c r="B1809" s="1821">
        <f>'Tax Sched 23'!E5</f>
        <v>3188644</v>
      </c>
      <c r="D1809" s="2" t="str">
        <f t="shared" si="27"/>
        <v>Error?</v>
      </c>
    </row>
    <row r="1810" spans="1:4" x14ac:dyDescent="0.2">
      <c r="A1810" s="5">
        <v>1749</v>
      </c>
      <c r="B1810" s="1821">
        <f>'Tax Sched 23'!E6</f>
        <v>3257846</v>
      </c>
      <c r="D1810" s="2" t="str">
        <f t="shared" si="27"/>
        <v>Error?</v>
      </c>
    </row>
    <row r="1811" spans="1:4" x14ac:dyDescent="0.2">
      <c r="A1811" s="5">
        <v>1750</v>
      </c>
      <c r="B1811" s="1821">
        <f>'Tax Sched 23'!E7</f>
        <v>537238</v>
      </c>
      <c r="D1811" s="2" t="str">
        <f t="shared" si="27"/>
        <v>Error?</v>
      </c>
    </row>
    <row r="1812" spans="1:4" x14ac:dyDescent="0.2">
      <c r="A1812" s="5">
        <v>1751</v>
      </c>
      <c r="B1812" s="1821">
        <f>'Tax Sched 23'!E8</f>
        <v>383499</v>
      </c>
      <c r="D1812" s="2" t="str">
        <f t="shared" si="27"/>
        <v>Error?</v>
      </c>
    </row>
    <row r="1813" spans="1:4" x14ac:dyDescent="0.2">
      <c r="A1813" s="5">
        <v>1752</v>
      </c>
      <c r="B1813" s="1821">
        <f>'Tax Sched 23'!E10</f>
        <v>117131</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133453</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271641</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27983958</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47890000</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256078</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256078</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256078</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3150000</v>
      </c>
      <c r="D2008" s="2" t="str">
        <f t="shared" si="30"/>
        <v>Error?</v>
      </c>
    </row>
    <row r="2009" spans="1:4" x14ac:dyDescent="0.2">
      <c r="A2009" s="5">
        <v>1948</v>
      </c>
      <c r="B2009" s="1821">
        <f>'Cap Outlay Deprec 26'!C8</f>
        <v>29456245</v>
      </c>
      <c r="D2009" s="2" t="str">
        <f t="shared" si="30"/>
        <v>Error?</v>
      </c>
    </row>
    <row r="2010" spans="1:4" x14ac:dyDescent="0.2">
      <c r="A2010" s="5">
        <v>1949</v>
      </c>
      <c r="B2010" s="1821">
        <f>'Cap Outlay Deprec 26'!C10</f>
        <v>4107233</v>
      </c>
      <c r="D2010" s="2" t="str">
        <f t="shared" si="30"/>
        <v>Error?</v>
      </c>
    </row>
    <row r="2011" spans="1:4" x14ac:dyDescent="0.2">
      <c r="A2011" s="5">
        <v>1950</v>
      </c>
      <c r="B2011" s="1821">
        <f>'Cap Outlay Deprec 26'!C12</f>
        <v>1606616</v>
      </c>
      <c r="D2011" s="2" t="str">
        <f t="shared" si="30"/>
        <v>Error?</v>
      </c>
    </row>
    <row r="2012" spans="1:4" x14ac:dyDescent="0.2">
      <c r="A2012" s="5">
        <v>1951</v>
      </c>
      <c r="B2012" s="1821">
        <f>'Cap Outlay Deprec 26'!C13</f>
        <v>0</v>
      </c>
      <c r="D2012" s="2" t="str">
        <f t="shared" si="30"/>
        <v>Error?</v>
      </c>
    </row>
    <row r="2013" spans="1:4" x14ac:dyDescent="0.2">
      <c r="A2013" s="5">
        <v>1952</v>
      </c>
      <c r="B2013" s="1821">
        <f>'Cap Outlay Deprec 26'!C16</f>
        <v>40215498</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9491638</v>
      </c>
      <c r="D2015" s="2" t="str">
        <f t="shared" si="30"/>
        <v>Error?</v>
      </c>
    </row>
    <row r="2016" spans="1:4" x14ac:dyDescent="0.2">
      <c r="A2016" s="5">
        <v>1955</v>
      </c>
      <c r="B2016" s="1821">
        <f>'Cap Outlay Deprec 26'!D10</f>
        <v>0</v>
      </c>
      <c r="D2016" s="2" t="str">
        <f t="shared" si="30"/>
        <v>Error?</v>
      </c>
    </row>
    <row r="2017" spans="1:4" x14ac:dyDescent="0.2">
      <c r="A2017" s="5">
        <v>1956</v>
      </c>
      <c r="B2017" s="1821">
        <f>'Cap Outlay Deprec 26'!D12</f>
        <v>267910</v>
      </c>
      <c r="D2017" s="2" t="str">
        <f t="shared" si="30"/>
        <v>Error?</v>
      </c>
    </row>
    <row r="2018" spans="1:4" x14ac:dyDescent="0.2">
      <c r="A2018" s="5">
        <v>1957</v>
      </c>
      <c r="B2018" s="1821">
        <f>'Cap Outlay Deprec 26'!D13</f>
        <v>0</v>
      </c>
      <c r="D2018" s="2" t="str">
        <f t="shared" si="30"/>
        <v>Error?</v>
      </c>
    </row>
    <row r="2019" spans="1:4" x14ac:dyDescent="0.2">
      <c r="A2019" s="5">
        <v>1958</v>
      </c>
      <c r="B2019" s="1821">
        <f>'Cap Outlay Deprec 26'!D16</f>
        <v>19237118</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442500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141503</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1531195</v>
      </c>
      <c r="C2025" s="2" t="s">
        <v>569</v>
      </c>
      <c r="D2025" s="2" t="str">
        <f t="shared" si="30"/>
        <v>Error?</v>
      </c>
    </row>
    <row r="2026" spans="1:4" x14ac:dyDescent="0.2">
      <c r="A2026" s="5">
        <v>1965</v>
      </c>
      <c r="B2026" s="1821">
        <f>'Cap Outlay Deprec 26'!F5</f>
        <v>3150000</v>
      </c>
      <c r="C2026" s="2" t="s">
        <v>569</v>
      </c>
      <c r="D2026" s="2" t="str">
        <f t="shared" si="30"/>
        <v>Error?</v>
      </c>
    </row>
    <row r="2027" spans="1:4" x14ac:dyDescent="0.2">
      <c r="A2027" s="5">
        <v>1966</v>
      </c>
      <c r="B2027" s="1821">
        <f>'Cap Outlay Deprec 26'!F8</f>
        <v>38505383</v>
      </c>
      <c r="C2027" s="2" t="s">
        <v>569</v>
      </c>
      <c r="D2027" s="2" t="str">
        <f t="shared" si="30"/>
        <v>Error?</v>
      </c>
    </row>
    <row r="2028" spans="1:4" x14ac:dyDescent="0.2">
      <c r="A2028" s="5">
        <v>1967</v>
      </c>
      <c r="B2028" s="1821">
        <f>'Cap Outlay Deprec 26'!F10</f>
        <v>4107233</v>
      </c>
      <c r="C2028" s="2" t="s">
        <v>569</v>
      </c>
      <c r="D2028" s="2" t="str">
        <f t="shared" si="30"/>
        <v>Error?</v>
      </c>
    </row>
    <row r="2029" spans="1:4" x14ac:dyDescent="0.2">
      <c r="A2029" s="5">
        <v>1968</v>
      </c>
      <c r="B2029" s="1821">
        <f>'Cap Outlay Deprec 26'!F12</f>
        <v>1733023</v>
      </c>
      <c r="C2029" s="2" t="s">
        <v>569</v>
      </c>
      <c r="D2029" s="2" t="str">
        <f t="shared" si="30"/>
        <v>Error?</v>
      </c>
    </row>
    <row r="2030" spans="1:4" x14ac:dyDescent="0.2">
      <c r="A2030" s="5">
        <v>1969</v>
      </c>
      <c r="B2030" s="1821">
        <f>'Cap Outlay Deprec 26'!F13</f>
        <v>0</v>
      </c>
      <c r="C2030" s="2" t="s">
        <v>569</v>
      </c>
      <c r="D2030" s="2" t="str">
        <f t="shared" si="30"/>
        <v>Error?</v>
      </c>
    </row>
    <row r="2031" spans="1:4" x14ac:dyDescent="0.2">
      <c r="A2031" s="5">
        <v>1970</v>
      </c>
      <c r="B2031" s="1821">
        <f>'Cap Outlay Deprec 26'!F16</f>
        <v>57921421</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12332947</v>
      </c>
      <c r="D2033" s="2" t="str">
        <f t="shared" si="30"/>
        <v>Error?</v>
      </c>
    </row>
    <row r="2034" spans="1:4" x14ac:dyDescent="0.2">
      <c r="A2034" s="5">
        <v>1973</v>
      </c>
      <c r="B2034" s="1821">
        <f>'Cap Outlay Deprec 26'!H10</f>
        <v>2710367</v>
      </c>
      <c r="D2034" s="2" t="str">
        <f t="shared" si="30"/>
        <v>Error?</v>
      </c>
    </row>
    <row r="2035" spans="1:4" x14ac:dyDescent="0.2">
      <c r="A2035" s="5">
        <v>1974</v>
      </c>
      <c r="B2035" s="1821">
        <f>'Cap Outlay Deprec 26'!H12</f>
        <v>1009561</v>
      </c>
      <c r="D2035" s="2" t="str">
        <f t="shared" si="30"/>
        <v>Error?</v>
      </c>
    </row>
    <row r="2036" spans="1:4" x14ac:dyDescent="0.2">
      <c r="A2036" s="5">
        <v>1975</v>
      </c>
      <c r="B2036" s="1821">
        <f>'Cap Outlay Deprec 26'!H13</f>
        <v>0</v>
      </c>
      <c r="D2036" s="2" t="str">
        <f t="shared" si="30"/>
        <v>Error?</v>
      </c>
    </row>
    <row r="2037" spans="1:4" x14ac:dyDescent="0.2">
      <c r="A2037" s="5">
        <v>1976</v>
      </c>
      <c r="B2037" s="1821">
        <f>'Cap Outlay Deprec 26'!H16</f>
        <v>16052875</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611641</v>
      </c>
      <c r="D2039" s="2" t="str">
        <f t="shared" si="30"/>
        <v>Error?</v>
      </c>
    </row>
    <row r="2040" spans="1:4" x14ac:dyDescent="0.2">
      <c r="A2040" s="5">
        <v>1979</v>
      </c>
      <c r="B2040" s="1821">
        <f>'Cap Outlay Deprec 26'!I10</f>
        <v>110095</v>
      </c>
      <c r="D2040" s="2" t="str">
        <f t="shared" si="30"/>
        <v>Error?</v>
      </c>
    </row>
    <row r="2041" spans="1:4" x14ac:dyDescent="0.2">
      <c r="A2041" s="5">
        <v>1980</v>
      </c>
      <c r="B2041" s="1821">
        <f>'Cap Outlay Deprec 26'!I12</f>
        <v>104074</v>
      </c>
      <c r="D2041" s="2" t="str">
        <f t="shared" si="30"/>
        <v>Error?</v>
      </c>
    </row>
    <row r="2042" spans="1:4" x14ac:dyDescent="0.2">
      <c r="A2042" s="5">
        <v>1981</v>
      </c>
      <c r="B2042" s="1821">
        <f>'Cap Outlay Deprec 26'!I13</f>
        <v>0</v>
      </c>
      <c r="D2042" s="2" t="str">
        <f t="shared" si="30"/>
        <v>Error?</v>
      </c>
    </row>
    <row r="2043" spans="1:4" x14ac:dyDescent="0.2">
      <c r="A2043" s="5">
        <v>1982</v>
      </c>
      <c r="B2043" s="1821">
        <f>'Cap Outlay Deprec 26'!I16</f>
        <v>825810</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191070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113542</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304612</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12753518</v>
      </c>
      <c r="C2051" s="2" t="s">
        <v>569</v>
      </c>
      <c r="D2051" s="2" t="str">
        <f t="shared" si="31"/>
        <v>Error?</v>
      </c>
    </row>
    <row r="2052" spans="1:4" x14ac:dyDescent="0.2">
      <c r="A2052" s="5">
        <v>1991</v>
      </c>
      <c r="B2052" s="1821">
        <f>'Cap Outlay Deprec 26'!K10</f>
        <v>2820462</v>
      </c>
      <c r="C2052" s="2" t="s">
        <v>569</v>
      </c>
      <c r="D2052" s="2" t="str">
        <f t="shared" si="31"/>
        <v>Error?</v>
      </c>
    </row>
    <row r="2053" spans="1:4" x14ac:dyDescent="0.2">
      <c r="A2053" s="5">
        <v>1992</v>
      </c>
      <c r="B2053" s="1821">
        <f>'Cap Outlay Deprec 26'!K12</f>
        <v>1000093</v>
      </c>
      <c r="C2053" s="2" t="s">
        <v>569</v>
      </c>
      <c r="D2053" s="2" t="str">
        <f t="shared" si="31"/>
        <v>Error?</v>
      </c>
    </row>
    <row r="2054" spans="1:4" x14ac:dyDescent="0.2">
      <c r="A2054" s="5">
        <v>1993</v>
      </c>
      <c r="B2054" s="1821">
        <f>'Cap Outlay Deprec 26'!K13</f>
        <v>0</v>
      </c>
      <c r="C2054" s="2" t="s">
        <v>569</v>
      </c>
      <c r="D2054" s="2" t="str">
        <f t="shared" si="31"/>
        <v>Error?</v>
      </c>
    </row>
    <row r="2055" spans="1:4" x14ac:dyDescent="0.2">
      <c r="A2055" s="5">
        <v>1994</v>
      </c>
      <c r="B2055" s="1821">
        <f>'Cap Outlay Deprec 26'!K16</f>
        <v>16574073</v>
      </c>
      <c r="C2055" s="2" t="s">
        <v>569</v>
      </c>
      <c r="D2055" s="2" t="str">
        <f t="shared" si="31"/>
        <v>Error?</v>
      </c>
    </row>
    <row r="2056" spans="1:4" x14ac:dyDescent="0.2">
      <c r="A2056" s="5">
        <v>1995</v>
      </c>
      <c r="B2056" s="1821">
        <f>'Cap Outlay Deprec 26'!L5</f>
        <v>3150000</v>
      </c>
      <c r="C2056" s="2" t="s">
        <v>569</v>
      </c>
      <c r="D2056" s="2" t="str">
        <f t="shared" si="31"/>
        <v>Error?</v>
      </c>
    </row>
    <row r="2057" spans="1:4" x14ac:dyDescent="0.2">
      <c r="A2057" s="5">
        <v>1996</v>
      </c>
      <c r="B2057" s="1821">
        <f>'Cap Outlay Deprec 26'!L8</f>
        <v>25751865</v>
      </c>
      <c r="C2057" s="2" t="s">
        <v>569</v>
      </c>
      <c r="D2057" s="2" t="str">
        <f t="shared" si="31"/>
        <v>Error?</v>
      </c>
    </row>
    <row r="2058" spans="1:4" x14ac:dyDescent="0.2">
      <c r="A2058" s="5">
        <v>1997</v>
      </c>
      <c r="B2058" s="1821">
        <f>'Cap Outlay Deprec 26'!L10</f>
        <v>1286771</v>
      </c>
      <c r="C2058" s="2" t="s">
        <v>569</v>
      </c>
      <c r="D2058" s="2" t="str">
        <f t="shared" si="31"/>
        <v>Error?</v>
      </c>
    </row>
    <row r="2059" spans="1:4" x14ac:dyDescent="0.2">
      <c r="A2059" s="5">
        <v>1998</v>
      </c>
      <c r="B2059" s="1821">
        <f>'Cap Outlay Deprec 26'!L12</f>
        <v>732930</v>
      </c>
      <c r="C2059" s="2" t="s">
        <v>569</v>
      </c>
      <c r="D2059" s="2" t="str">
        <f t="shared" si="31"/>
        <v>Error?</v>
      </c>
    </row>
    <row r="2060" spans="1:4" x14ac:dyDescent="0.2">
      <c r="A2060" s="5">
        <v>1999</v>
      </c>
      <c r="B2060" s="1821">
        <f>'Cap Outlay Deprec 26'!L13</f>
        <v>0</v>
      </c>
      <c r="C2060" s="2" t="s">
        <v>569</v>
      </c>
      <c r="D2060" s="2" t="str">
        <f t="shared" si="31"/>
        <v>Error?</v>
      </c>
    </row>
    <row r="2061" spans="1:4" x14ac:dyDescent="0.2">
      <c r="A2061" s="5">
        <v>2000</v>
      </c>
      <c r="B2061" s="1821">
        <f>'Cap Outlay Deprec 26'!L16</f>
        <v>41347348</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478740</v>
      </c>
      <c r="C2088" s="2" t="s">
        <v>569</v>
      </c>
      <c r="D2088" s="2" t="str">
        <f t="shared" si="31"/>
        <v>Error?</v>
      </c>
    </row>
    <row r="2089" spans="1:4" x14ac:dyDescent="0.2">
      <c r="A2089" s="5">
        <v>2028</v>
      </c>
      <c r="B2089" s="1821">
        <f>'Expenditures 15-22'!K92</f>
        <v>231603</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334775</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251513</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20967625</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6380948</v>
      </c>
      <c r="C2553" s="2" t="s">
        <v>569</v>
      </c>
      <c r="D2553" s="2" t="str">
        <f t="shared" si="38"/>
        <v>Error?</v>
      </c>
    </row>
    <row r="2554" spans="1:4" x14ac:dyDescent="0.2">
      <c r="A2554" s="5">
        <v>2493</v>
      </c>
      <c r="B2554" s="1821">
        <f>'Acct Summary 7-8'!C7</f>
        <v>1572717</v>
      </c>
      <c r="C2554" s="2" t="s">
        <v>569</v>
      </c>
      <c r="D2554" s="2" t="str">
        <f t="shared" si="38"/>
        <v>Error?</v>
      </c>
    </row>
    <row r="2555" spans="1:4" x14ac:dyDescent="0.2">
      <c r="A2555" s="5">
        <v>2494</v>
      </c>
      <c r="B2555" s="1821">
        <f>'Acct Summary 7-8'!C8</f>
        <v>28921290</v>
      </c>
      <c r="C2555" s="2" t="s">
        <v>569</v>
      </c>
      <c r="D2555" s="2" t="str">
        <f t="shared" si="38"/>
        <v>Error?</v>
      </c>
    </row>
    <row r="2556" spans="1:4" x14ac:dyDescent="0.2">
      <c r="A2556" s="5">
        <v>2495</v>
      </c>
      <c r="B2556" s="1821">
        <f>'Acct Summary 7-8'!C12</f>
        <v>17886463</v>
      </c>
      <c r="C2556" s="2" t="s">
        <v>569</v>
      </c>
      <c r="D2556" s="2" t="str">
        <f t="shared" si="38"/>
        <v>Error?</v>
      </c>
    </row>
    <row r="2557" spans="1:4" x14ac:dyDescent="0.2">
      <c r="A2557" s="5">
        <v>2496</v>
      </c>
      <c r="B2557" s="1821">
        <f>'Acct Summary 7-8'!C13</f>
        <v>7833277</v>
      </c>
      <c r="C2557" s="2" t="s">
        <v>569</v>
      </c>
      <c r="D2557" s="2" t="str">
        <f t="shared" si="38"/>
        <v>Error?</v>
      </c>
    </row>
    <row r="2558" spans="1:4" x14ac:dyDescent="0.2">
      <c r="A2558" s="5">
        <v>2497</v>
      </c>
      <c r="B2558" s="1821">
        <f>'Acct Summary 7-8'!C14</f>
        <v>173467</v>
      </c>
      <c r="C2558" s="2" t="s">
        <v>569</v>
      </c>
      <c r="D2558" s="2" t="str">
        <f t="shared" si="38"/>
        <v>Error?</v>
      </c>
    </row>
    <row r="2559" spans="1:4" x14ac:dyDescent="0.2">
      <c r="A2559" s="5">
        <v>2498</v>
      </c>
      <c r="B2559" s="1821">
        <f>'Acct Summary 7-8'!C15</f>
        <v>710343</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26603550</v>
      </c>
      <c r="C2561" s="2" t="s">
        <v>569</v>
      </c>
      <c r="D2561" s="2" t="str">
        <f t="shared" si="39"/>
        <v>Error?</v>
      </c>
    </row>
    <row r="2562" spans="1:4" x14ac:dyDescent="0.2">
      <c r="A2562" s="5">
        <v>2501</v>
      </c>
      <c r="B2562" s="1821">
        <f>'Acct Summary 7-8'!C20</f>
        <v>2317740</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2989211</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50000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3039211</v>
      </c>
      <c r="C2568" s="2" t="s">
        <v>569</v>
      </c>
      <c r="D2568" s="2" t="str">
        <f t="shared" si="39"/>
        <v>Error?</v>
      </c>
    </row>
    <row r="2569" spans="1:4" x14ac:dyDescent="0.2">
      <c r="A2569" s="5">
        <v>2508</v>
      </c>
      <c r="B2569" s="1821">
        <f>'Acct Summary 7-8'!D13</f>
        <v>3920300</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3920300</v>
      </c>
      <c r="C2573" s="2" t="s">
        <v>569</v>
      </c>
      <c r="D2573" s="2" t="str">
        <f t="shared" si="39"/>
        <v>Error?</v>
      </c>
    </row>
    <row r="2574" spans="1:4" x14ac:dyDescent="0.2">
      <c r="A2574" s="5">
        <v>2513</v>
      </c>
      <c r="B2574" s="1821">
        <f>'Acct Summary 7-8'!D20</f>
        <v>-881089</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528778</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765359</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1294137</v>
      </c>
      <c r="C2595" s="2" t="s">
        <v>569</v>
      </c>
      <c r="D2595" s="2" t="str">
        <f t="shared" si="39"/>
        <v>Error?</v>
      </c>
    </row>
    <row r="2596" spans="1:4" x14ac:dyDescent="0.2">
      <c r="A2596" s="5">
        <v>2535</v>
      </c>
      <c r="B2596" s="1821">
        <f>'Acct Summary 7-8'!F13</f>
        <v>1326292</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1326292</v>
      </c>
      <c r="C2600" s="2" t="s">
        <v>569</v>
      </c>
      <c r="D2600" s="2" t="str">
        <f t="shared" si="39"/>
        <v>Error?</v>
      </c>
    </row>
    <row r="2601" spans="1:4" x14ac:dyDescent="0.2">
      <c r="A2601" s="5">
        <v>2540</v>
      </c>
      <c r="B2601" s="1821">
        <f>'Acct Summary 7-8'!F20</f>
        <v>-32155</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902437</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902437</v>
      </c>
      <c r="C2606" s="2" t="s">
        <v>569</v>
      </c>
      <c r="D2606" s="2" t="str">
        <f t="shared" si="39"/>
        <v>Error?</v>
      </c>
    </row>
    <row r="2607" spans="1:4" x14ac:dyDescent="0.2">
      <c r="A2607" s="5">
        <v>2546</v>
      </c>
      <c r="B2607" s="1821">
        <f>'Acct Summary 7-8'!G12</f>
        <v>291031</v>
      </c>
      <c r="C2607" s="2" t="s">
        <v>569</v>
      </c>
      <c r="D2607" s="2" t="str">
        <f t="shared" si="39"/>
        <v>Error?</v>
      </c>
    </row>
    <row r="2608" spans="1:4" x14ac:dyDescent="0.2">
      <c r="A2608" s="5">
        <v>2547</v>
      </c>
      <c r="B2608" s="1821">
        <f>'Acct Summary 7-8'!G13</f>
        <v>560633</v>
      </c>
      <c r="C2608" s="2" t="s">
        <v>569</v>
      </c>
      <c r="D2608" s="2" t="str">
        <f t="shared" si="39"/>
        <v>Error?</v>
      </c>
    </row>
    <row r="2609" spans="1:4" x14ac:dyDescent="0.2">
      <c r="A2609" s="5">
        <v>2548</v>
      </c>
      <c r="B2609" s="1821">
        <f>'Acct Summary 7-8'!G14</f>
        <v>10459</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862123</v>
      </c>
      <c r="C2612" s="2" t="s">
        <v>569</v>
      </c>
      <c r="D2612" s="2" t="str">
        <f t="shared" si="39"/>
        <v>Error?</v>
      </c>
    </row>
    <row r="2613" spans="1:4" x14ac:dyDescent="0.2">
      <c r="A2613" s="5">
        <v>2552</v>
      </c>
      <c r="B2613" s="1821">
        <f>'Acct Summary 7-8'!G20</f>
        <v>40314</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3889141</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3889141</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6277783</v>
      </c>
      <c r="C2634" s="2" t="s">
        <v>569</v>
      </c>
      <c r="D2634" s="2" t="str">
        <f t="shared" si="40"/>
        <v>Error?</v>
      </c>
    </row>
    <row r="2635" spans="1:4" x14ac:dyDescent="0.2">
      <c r="A2635" s="5">
        <v>2574</v>
      </c>
      <c r="B2635" s="1821">
        <f>'Acct Summary 7-8'!E17</f>
        <v>6277783</v>
      </c>
      <c r="C2635" s="2" t="s">
        <v>569</v>
      </c>
      <c r="D2635" s="2" t="str">
        <f t="shared" si="40"/>
        <v>Error?</v>
      </c>
    </row>
    <row r="2636" spans="1:4" x14ac:dyDescent="0.2">
      <c r="A2636" s="5">
        <v>2575</v>
      </c>
      <c r="B2636" s="1821">
        <f>'Acct Summary 7-8'!E20</f>
        <v>-2388642</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867706</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867706</v>
      </c>
      <c r="C2658" s="2" t="s">
        <v>569</v>
      </c>
      <c r="D2658" s="2" t="str">
        <f t="shared" si="40"/>
        <v>Error?</v>
      </c>
    </row>
    <row r="2659" spans="1:4" x14ac:dyDescent="0.2">
      <c r="A2659" s="5">
        <v>2598</v>
      </c>
      <c r="B2659" s="1821">
        <f>'Acct Summary 7-8'!H13</f>
        <v>17963069</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17963069</v>
      </c>
      <c r="C2661" s="2" t="s">
        <v>569</v>
      </c>
      <c r="D2661" s="2" t="str">
        <f t="shared" si="40"/>
        <v>Error?</v>
      </c>
    </row>
    <row r="2662" spans="1:4" x14ac:dyDescent="0.2">
      <c r="A2662" s="5">
        <v>2601</v>
      </c>
      <c r="B2662" s="1821">
        <f>'Acct Summary 7-8'!H20</f>
        <v>-17095363</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0</v>
      </c>
      <c r="D2718" s="2" t="str">
        <f t="shared" si="41"/>
        <v>Error?</v>
      </c>
    </row>
    <row r="2719" spans="1:4" x14ac:dyDescent="0.2">
      <c r="A2719" s="5">
        <v>2658</v>
      </c>
      <c r="B2719" s="1821">
        <f>'Expenditures 15-22'!D51</f>
        <v>0</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0</v>
      </c>
      <c r="C2724" s="2" t="s">
        <v>569</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1991</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478740</v>
      </c>
      <c r="C2789" s="2" t="s">
        <v>569</v>
      </c>
      <c r="D2789" s="2" t="str">
        <f t="shared" si="42"/>
        <v>Error?</v>
      </c>
    </row>
    <row r="2790" spans="1:4" x14ac:dyDescent="0.2">
      <c r="A2790" s="5">
        <v>2729</v>
      </c>
      <c r="B2790" s="1821">
        <f>'Expenditures 15-22'!E102</f>
        <v>478740</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10425782</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297543</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914601</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70000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291440</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914601</v>
      </c>
      <c r="D2912" s="2" t="str">
        <f t="shared" si="44"/>
        <v>Error?</v>
      </c>
    </row>
    <row r="2913" spans="1:4" x14ac:dyDescent="0.2">
      <c r="A2913" s="5">
        <v>2852</v>
      </c>
      <c r="B2913" s="1821">
        <f>'Assets-Liab 5-6'!I41</f>
        <v>914601</v>
      </c>
      <c r="C2913" s="2" t="s">
        <v>569</v>
      </c>
      <c r="D2913" s="2" t="str">
        <f t="shared" si="44"/>
        <v>Error?</v>
      </c>
    </row>
    <row r="2914" spans="1:4" x14ac:dyDescent="0.2">
      <c r="A2914" s="5">
        <v>2853</v>
      </c>
      <c r="B2914" s="1821">
        <f>'Assets-Liab 5-6'!L33</f>
        <v>291440</v>
      </c>
      <c r="D2914" s="2" t="str">
        <f t="shared" si="44"/>
        <v>Error?</v>
      </c>
    </row>
    <row r="2915" spans="1:4" x14ac:dyDescent="0.2">
      <c r="A2915" s="10">
        <v>2854</v>
      </c>
      <c r="B2915" s="1821"/>
      <c r="D2915" s="2" t="str">
        <f t="shared" si="44"/>
        <v>OK</v>
      </c>
    </row>
    <row r="2916" spans="1:4" x14ac:dyDescent="0.2">
      <c r="A2916" s="5">
        <v>2855</v>
      </c>
      <c r="B2916" s="1821">
        <f>'Assets-Liab 5-6'!L34</f>
        <v>291440</v>
      </c>
      <c r="C2916" s="2" t="s">
        <v>569</v>
      </c>
      <c r="D2916" s="2" t="str">
        <f t="shared" si="44"/>
        <v>Error?</v>
      </c>
    </row>
    <row r="2917" spans="1:4" x14ac:dyDescent="0.2">
      <c r="A2917" s="5">
        <v>2856</v>
      </c>
      <c r="B2917" s="1821">
        <f>'Assets-Liab 5-6'!L41</f>
        <v>291440</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478740</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478740</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1991</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214060</v>
      </c>
      <c r="D3055" s="2" t="str">
        <f t="shared" si="46"/>
        <v>Error?</v>
      </c>
    </row>
    <row r="3056" spans="1:4" x14ac:dyDescent="0.2">
      <c r="A3056" s="5">
        <v>2995</v>
      </c>
      <c r="B3056" s="1821">
        <f>'Expenditures 15-22'!D10</f>
        <v>53540</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1205</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268805</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10001</v>
      </c>
      <c r="D3064" s="2" t="str">
        <f t="shared" si="46"/>
        <v>Error?</v>
      </c>
    </row>
    <row r="3065" spans="1:4" x14ac:dyDescent="0.2">
      <c r="A3065" s="5">
        <v>3004</v>
      </c>
      <c r="B3065" s="1821">
        <f>'Expenditures 15-22'!K219</f>
        <v>10001</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111596</v>
      </c>
      <c r="C3225" s="2" t="s">
        <v>569</v>
      </c>
      <c r="D3225" s="2" t="str">
        <f t="shared" si="49"/>
        <v>Error?</v>
      </c>
    </row>
    <row r="3226" spans="1:4" x14ac:dyDescent="0.2">
      <c r="A3226" s="5">
        <v>3165</v>
      </c>
      <c r="B3226" s="1821">
        <f>'Acct Summary 7-8'!I8</f>
        <v>111596</v>
      </c>
      <c r="C3226" s="2" t="s">
        <v>569</v>
      </c>
      <c r="D3226" s="2" t="str">
        <f t="shared" si="49"/>
        <v>Error?</v>
      </c>
    </row>
    <row r="3227" spans="1:4" x14ac:dyDescent="0.2">
      <c r="A3227" s="5">
        <v>3166</v>
      </c>
      <c r="B3227" s="1821">
        <f>'Acct Summary 7-8'!I20</f>
        <v>111596</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0</v>
      </c>
      <c r="C3231" s="2" t="s">
        <v>569</v>
      </c>
      <c r="D3231" s="2" t="str">
        <f t="shared" si="49"/>
        <v>Error?</v>
      </c>
    </row>
    <row r="3232" spans="1:4" x14ac:dyDescent="0.2">
      <c r="A3232" s="5">
        <v>3171</v>
      </c>
      <c r="B3232" s="1821">
        <f>'Acct Summary 7-8'!C77</f>
        <v>0</v>
      </c>
      <c r="C3232" s="2" t="s">
        <v>569</v>
      </c>
      <c r="D3232" s="2" t="str">
        <f t="shared" si="49"/>
        <v>Error?</v>
      </c>
    </row>
    <row r="3233" spans="1:4" x14ac:dyDescent="0.2">
      <c r="A3233" s="5">
        <v>3172</v>
      </c>
      <c r="B3233" s="1821">
        <f>'Acct Summary 7-8'!C78</f>
        <v>2317740</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0</v>
      </c>
      <c r="C3237" s="2" t="s">
        <v>569</v>
      </c>
      <c r="D3237" s="2" t="str">
        <f t="shared" si="49"/>
        <v>Error?</v>
      </c>
    </row>
    <row r="3238" spans="1:4" x14ac:dyDescent="0.2">
      <c r="A3238" s="5">
        <v>3177</v>
      </c>
      <c r="B3238" s="1821">
        <f>'Acct Summary 7-8'!D77</f>
        <v>0</v>
      </c>
      <c r="C3238" s="2" t="s">
        <v>569</v>
      </c>
      <c r="D3238" s="2" t="str">
        <f t="shared" si="49"/>
        <v>Error?</v>
      </c>
    </row>
    <row r="3239" spans="1:4" x14ac:dyDescent="0.2">
      <c r="A3239" s="5">
        <v>3178</v>
      </c>
      <c r="B3239" s="1821">
        <f>'Acct Summary 7-8'!D78</f>
        <v>-881089</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-32155</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40314</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0</v>
      </c>
      <c r="C3277" s="2" t="s">
        <v>569</v>
      </c>
      <c r="D3277" s="2" t="str">
        <f t="shared" si="50"/>
        <v>Error?</v>
      </c>
    </row>
    <row r="3278" spans="1:4" x14ac:dyDescent="0.2">
      <c r="A3278" s="5">
        <v>3217</v>
      </c>
      <c r="B3278" s="1821">
        <f>'Acct Summary 7-8'!E78</f>
        <v>-2388642</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0</v>
      </c>
      <c r="C3299" s="2" t="s">
        <v>569</v>
      </c>
      <c r="D3299" s="2" t="str">
        <f t="shared" si="50"/>
        <v>Error?</v>
      </c>
    </row>
    <row r="3300" spans="1:4" x14ac:dyDescent="0.2">
      <c r="A3300" s="5">
        <v>3239</v>
      </c>
      <c r="B3300" s="1821">
        <f>'Acct Summary 7-8'!H78</f>
        <v>-17095363</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111596</v>
      </c>
      <c r="C3320" s="2" t="s">
        <v>569</v>
      </c>
      <c r="D3320" s="2" t="str">
        <f t="shared" si="50"/>
        <v>Error?</v>
      </c>
    </row>
    <row r="3321" spans="1:4" x14ac:dyDescent="0.2">
      <c r="A3321" s="5">
        <v>3260</v>
      </c>
      <c r="B3321" s="1821">
        <f>'Acct Summary 7-8'!I79</f>
        <v>803005</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914601</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2484114</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455726</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23037</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66071</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5621</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3050615</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153380</v>
      </c>
      <c r="D3387" s="2" t="str">
        <f t="shared" si="51"/>
        <v>Error?</v>
      </c>
    </row>
    <row r="3388" spans="1:4" x14ac:dyDescent="0.2">
      <c r="A3388" s="5">
        <v>3327</v>
      </c>
      <c r="B3388" s="1821">
        <f>'Expenditures 15-22'!D217</f>
        <v>98582</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153380</v>
      </c>
      <c r="C3390" s="2" t="s">
        <v>569</v>
      </c>
      <c r="D3390" s="2" t="str">
        <f t="shared" si="51"/>
        <v>Error?</v>
      </c>
    </row>
    <row r="3391" spans="1:4" x14ac:dyDescent="0.2">
      <c r="A3391" s="5">
        <v>3330</v>
      </c>
      <c r="B3391" s="1821">
        <f>'Expenditures 15-22'!K217</f>
        <v>98582</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14188520</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591042</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1138971</v>
      </c>
      <c r="D3417" s="2" t="str">
        <f t="shared" si="52"/>
        <v>Error?</v>
      </c>
    </row>
    <row r="3418" spans="1:4" x14ac:dyDescent="0.2">
      <c r="A3418" s="10">
        <v>3357</v>
      </c>
      <c r="B3418" s="1821"/>
      <c r="D3418" s="2" t="str">
        <f t="shared" si="52"/>
        <v>OK</v>
      </c>
    </row>
    <row r="3419" spans="1:4" x14ac:dyDescent="0.2">
      <c r="A3419" s="5">
        <v>3358</v>
      </c>
      <c r="B3419" s="1821">
        <f>'Assets-Liab 5-6'!F4</f>
        <v>399501</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297401</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17027420</v>
      </c>
      <c r="D3425" s="2" t="str">
        <f t="shared" si="52"/>
        <v>Error?</v>
      </c>
    </row>
    <row r="3426" spans="1:4" x14ac:dyDescent="0.2">
      <c r="A3426" s="10">
        <v>3365</v>
      </c>
      <c r="B3426" s="1821"/>
      <c r="D3426" s="2" t="str">
        <f t="shared" si="52"/>
        <v>OK</v>
      </c>
    </row>
    <row r="3427" spans="1:4" x14ac:dyDescent="0.2">
      <c r="A3427" s="5">
        <v>3366</v>
      </c>
      <c r="B3427" s="1821">
        <f>'Assets-Liab 5-6'!I4</f>
        <v>617058</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221440</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433740</v>
      </c>
      <c r="C3446" s="2" t="s">
        <v>569</v>
      </c>
      <c r="D3446" s="2" t="str">
        <f t="shared" si="52"/>
        <v>Error?</v>
      </c>
    </row>
    <row r="3447" spans="1:4" x14ac:dyDescent="0.2">
      <c r="A3447" s="5">
        <v>3386</v>
      </c>
      <c r="B3447" s="1821">
        <f>'Tax Sched 23'!D16</f>
        <v>217892</v>
      </c>
      <c r="C3447" s="2" t="s">
        <v>569</v>
      </c>
      <c r="D3447" s="2" t="str">
        <f t="shared" si="52"/>
        <v>Error?</v>
      </c>
    </row>
    <row r="3448" spans="1:4" x14ac:dyDescent="0.2">
      <c r="A3448" s="5">
        <v>3387</v>
      </c>
      <c r="B3448" s="1821">
        <f>'Tax Sched 23'!C16</f>
        <v>215848</v>
      </c>
      <c r="D3448" s="2" t="str">
        <f t="shared" si="52"/>
        <v>Error?</v>
      </c>
    </row>
    <row r="3449" spans="1:4" x14ac:dyDescent="0.2">
      <c r="A3449" s="5">
        <v>3388</v>
      </c>
      <c r="B3449" s="1821">
        <f>'Tax Sched 23'!F16</f>
        <v>244234</v>
      </c>
      <c r="C3449" s="2" t="s">
        <v>569</v>
      </c>
      <c r="D3449" s="2" t="str">
        <f t="shared" si="52"/>
        <v>Error?</v>
      </c>
    </row>
    <row r="3450" spans="1:4" x14ac:dyDescent="0.2">
      <c r="A3450" s="5">
        <v>3389</v>
      </c>
      <c r="B3450" s="1821">
        <f>'Tax Sched 23'!E16</f>
        <v>460082</v>
      </c>
      <c r="D3450" s="2" t="str">
        <f t="shared" si="52"/>
        <v>Error?</v>
      </c>
    </row>
    <row r="3451" spans="1:4" x14ac:dyDescent="0.2">
      <c r="A3451" s="5">
        <v>3390</v>
      </c>
      <c r="B3451" s="1821">
        <f>'Cap Outlay Deprec 26'!C15</f>
        <v>1895404</v>
      </c>
      <c r="D3451" s="2" t="str">
        <f t="shared" si="52"/>
        <v>Error?</v>
      </c>
    </row>
    <row r="3452" spans="1:4" x14ac:dyDescent="0.2">
      <c r="A3452" s="5">
        <v>3391</v>
      </c>
      <c r="B3452" s="1821">
        <f>'Cap Outlay Deprec 26'!D15</f>
        <v>9477570</v>
      </c>
      <c r="D3452" s="2" t="str">
        <f t="shared" si="52"/>
        <v>Error?</v>
      </c>
    </row>
    <row r="3453" spans="1:4" x14ac:dyDescent="0.2">
      <c r="A3453" s="5">
        <v>3392</v>
      </c>
      <c r="B3453" s="1821">
        <f>'Cap Outlay Deprec 26'!E15</f>
        <v>947192</v>
      </c>
      <c r="D3453" s="2" t="str">
        <f t="shared" si="52"/>
        <v>Error?</v>
      </c>
    </row>
    <row r="3454" spans="1:4" x14ac:dyDescent="0.2">
      <c r="A3454" s="5">
        <v>3393</v>
      </c>
      <c r="B3454" s="1821">
        <f>'Cap Outlay Deprec 26'!F15</f>
        <v>10425782</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10425782</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1991</v>
      </c>
      <c r="E3521" s="4" t="s">
        <v>134</v>
      </c>
    </row>
    <row r="3522" spans="1:5" x14ac:dyDescent="0.2">
      <c r="A3522" s="10">
        <v>3461</v>
      </c>
      <c r="B3522" s="1821"/>
      <c r="D3522" s="4" t="s">
        <v>1991</v>
      </c>
      <c r="E3522" s="4" t="s">
        <v>134</v>
      </c>
    </row>
    <row r="3523" spans="1:5" x14ac:dyDescent="0.2">
      <c r="A3523" s="10">
        <v>3462</v>
      </c>
      <c r="B3523" s="1821"/>
      <c r="D3523" s="4" t="s">
        <v>1991</v>
      </c>
      <c r="E3523" s="4" t="s">
        <v>134</v>
      </c>
    </row>
    <row r="3524" spans="1:5" x14ac:dyDescent="0.2">
      <c r="A3524" s="10">
        <v>3463</v>
      </c>
      <c r="B3524" s="1821"/>
      <c r="D3524" s="4" t="s">
        <v>1991</v>
      </c>
      <c r="E3524" s="4" t="s">
        <v>134</v>
      </c>
    </row>
    <row r="3525" spans="1:5" x14ac:dyDescent="0.2">
      <c r="A3525" s="10">
        <v>3464</v>
      </c>
      <c r="B3525" s="1821"/>
      <c r="D3525" s="4" t="s">
        <v>1991</v>
      </c>
      <c r="E3525" s="4" t="s">
        <v>134</v>
      </c>
    </row>
    <row r="3526" spans="1:5" x14ac:dyDescent="0.2">
      <c r="A3526" s="10">
        <v>3465</v>
      </c>
      <c r="B3526" s="1821"/>
      <c r="D3526" s="4" t="s">
        <v>1991</v>
      </c>
      <c r="E3526" s="4" t="s">
        <v>134</v>
      </c>
    </row>
    <row r="3527" spans="1:5" x14ac:dyDescent="0.2">
      <c r="A3527" s="10">
        <v>3466</v>
      </c>
      <c r="B3527" s="1821"/>
      <c r="D3527" s="4" t="s">
        <v>1991</v>
      </c>
      <c r="E3527" s="4" t="s">
        <v>134</v>
      </c>
    </row>
    <row r="3528" spans="1:5" x14ac:dyDescent="0.2">
      <c r="A3528" s="10">
        <v>3467</v>
      </c>
      <c r="B3528" s="1821"/>
      <c r="D3528" s="4" t="s">
        <v>1991</v>
      </c>
      <c r="E3528" s="4" t="s">
        <v>134</v>
      </c>
    </row>
    <row r="3529" spans="1:5" x14ac:dyDescent="0.2">
      <c r="A3529" s="10">
        <v>3468</v>
      </c>
      <c r="B3529" s="1821"/>
      <c r="D3529" s="4" t="s">
        <v>1991</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0</v>
      </c>
      <c r="C3588" s="2" t="s">
        <v>569</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0</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12562047</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41483337</v>
      </c>
      <c r="C4122" s="2" t="s">
        <v>569</v>
      </c>
      <c r="D4122" s="2" t="str">
        <f t="shared" si="63"/>
        <v>Error?</v>
      </c>
    </row>
    <row r="4123" spans="1:4" x14ac:dyDescent="0.2">
      <c r="A4123" s="5">
        <v>4062</v>
      </c>
      <c r="B4123" s="1821">
        <f>'Acct Summary 7-8'!D10</f>
        <v>3039211</v>
      </c>
      <c r="C4123" s="2" t="s">
        <v>569</v>
      </c>
      <c r="D4123" s="2" t="str">
        <f t="shared" si="63"/>
        <v>Error?</v>
      </c>
    </row>
    <row r="4124" spans="1:4" x14ac:dyDescent="0.2">
      <c r="A4124" s="5">
        <v>4063</v>
      </c>
      <c r="B4124" s="1821">
        <f>'Acct Summary 7-8'!E10</f>
        <v>3889141</v>
      </c>
      <c r="C4124" s="2" t="s">
        <v>569</v>
      </c>
      <c r="D4124" s="2" t="str">
        <f t="shared" si="63"/>
        <v>Error?</v>
      </c>
    </row>
    <row r="4125" spans="1:4" x14ac:dyDescent="0.2">
      <c r="A4125" s="5">
        <v>4064</v>
      </c>
      <c r="B4125" s="1821">
        <f>'Acct Summary 7-8'!F10</f>
        <v>1294137</v>
      </c>
      <c r="C4125" s="2" t="s">
        <v>569</v>
      </c>
      <c r="D4125" s="2" t="str">
        <f t="shared" si="63"/>
        <v>Error?</v>
      </c>
    </row>
    <row r="4126" spans="1:4" x14ac:dyDescent="0.2">
      <c r="A4126" s="5">
        <v>4065</v>
      </c>
      <c r="B4126" s="1821">
        <f>'Acct Summary 7-8'!G10</f>
        <v>902437</v>
      </c>
      <c r="C4126" s="2" t="s">
        <v>569</v>
      </c>
      <c r="D4126" s="2" t="str">
        <f t="shared" si="63"/>
        <v>Error?</v>
      </c>
    </row>
    <row r="4127" spans="1:4" x14ac:dyDescent="0.2">
      <c r="A4127" s="5">
        <v>4066</v>
      </c>
      <c r="B4127" s="1821">
        <f>'Acct Summary 7-8'!H10</f>
        <v>867706</v>
      </c>
      <c r="C4127" s="2" t="s">
        <v>569</v>
      </c>
      <c r="D4127" s="2" t="str">
        <f t="shared" si="63"/>
        <v>Error?</v>
      </c>
    </row>
    <row r="4128" spans="1:4" x14ac:dyDescent="0.2">
      <c r="A4128" s="5">
        <v>4067</v>
      </c>
      <c r="B4128" s="1821">
        <f>'Acct Summary 7-8'!I10</f>
        <v>111596</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12562047</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39165597</v>
      </c>
      <c r="C4136" s="2" t="s">
        <v>569</v>
      </c>
      <c r="D4136" s="2" t="str">
        <f t="shared" si="63"/>
        <v>Error?</v>
      </c>
    </row>
    <row r="4137" spans="1:4" x14ac:dyDescent="0.2">
      <c r="A4137" s="5">
        <v>4076</v>
      </c>
      <c r="B4137" s="1821">
        <f>'Acct Summary 7-8'!D19</f>
        <v>3920300</v>
      </c>
      <c r="C4137" s="2" t="s">
        <v>569</v>
      </c>
      <c r="D4137" s="2" t="str">
        <f t="shared" si="63"/>
        <v>Error?</v>
      </c>
    </row>
    <row r="4138" spans="1:4" x14ac:dyDescent="0.2">
      <c r="A4138" s="5">
        <v>4077</v>
      </c>
      <c r="B4138" s="1821">
        <f>'Acct Summary 7-8'!E19</f>
        <v>6277783</v>
      </c>
      <c r="C4138" s="2" t="s">
        <v>569</v>
      </c>
      <c r="D4138" s="2" t="str">
        <f t="shared" si="63"/>
        <v>Error?</v>
      </c>
    </row>
    <row r="4139" spans="1:4" x14ac:dyDescent="0.2">
      <c r="A4139" s="5">
        <v>4078</v>
      </c>
      <c r="B4139" s="1821">
        <f>'Acct Summary 7-8'!F19</f>
        <v>1326292</v>
      </c>
      <c r="C4139" s="2" t="s">
        <v>569</v>
      </c>
      <c r="D4139" s="2" t="str">
        <f t="shared" si="63"/>
        <v>Error?</v>
      </c>
    </row>
    <row r="4140" spans="1:4" x14ac:dyDescent="0.2">
      <c r="A4140" s="5">
        <v>4079</v>
      </c>
      <c r="B4140" s="1821">
        <f>'Acct Summary 7-8'!G19</f>
        <v>862123</v>
      </c>
      <c r="C4140" s="2" t="s">
        <v>569</v>
      </c>
      <c r="D4140" s="2" t="str">
        <f t="shared" si="63"/>
        <v>Error?</v>
      </c>
    </row>
    <row r="4141" spans="1:4" x14ac:dyDescent="0.2">
      <c r="A4141" s="5">
        <v>4080</v>
      </c>
      <c r="B4141" s="1821">
        <f>'Acct Summary 7-8'!H19</f>
        <v>17963069</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43225000</v>
      </c>
      <c r="C4171" s="2" t="s">
        <v>569</v>
      </c>
      <c r="D4171" s="2" t="str">
        <f t="shared" si="64"/>
        <v>Error?</v>
      </c>
    </row>
    <row r="4172" spans="1:4" x14ac:dyDescent="0.2">
      <c r="A4172" s="5">
        <v>4111</v>
      </c>
      <c r="B4172" s="1821">
        <f>'Short-Term Long-Term Debt 24'!J49</f>
        <v>41492437</v>
      </c>
      <c r="C4172" s="2" t="s">
        <v>569</v>
      </c>
      <c r="D4172" s="2" t="str">
        <f t="shared" si="64"/>
        <v>Error?</v>
      </c>
    </row>
    <row r="4173" spans="1:4" x14ac:dyDescent="0.2">
      <c r="A4173" s="5">
        <v>4112</v>
      </c>
      <c r="B4173" s="1821">
        <f>'Short-Term Long-Term Debt 24'!H49</f>
        <v>4665000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1893</v>
      </c>
    </row>
    <row r="4236" spans="1:5" x14ac:dyDescent="0.2">
      <c r="A4236" s="10">
        <v>4175</v>
      </c>
      <c r="B4236" s="1821"/>
      <c r="D4236" s="2" t="str">
        <f t="shared" si="65"/>
        <v>OK</v>
      </c>
      <c r="E4236" s="4" t="s">
        <v>1893</v>
      </c>
    </row>
    <row r="4237" spans="1:5" x14ac:dyDescent="0.2">
      <c r="A4237" s="10">
        <v>4176</v>
      </c>
      <c r="B4237" s="1821"/>
      <c r="D4237" s="2" t="str">
        <f t="shared" si="65"/>
        <v>OK</v>
      </c>
      <c r="E4237" s="4" t="s">
        <v>1893</v>
      </c>
    </row>
    <row r="4238" spans="1:5" x14ac:dyDescent="0.2">
      <c r="A4238" s="10">
        <v>4177</v>
      </c>
      <c r="B4238" s="1821"/>
      <c r="D4238" s="2" t="str">
        <f t="shared" si="65"/>
        <v>OK</v>
      </c>
      <c r="E4238" s="4" t="s">
        <v>1893</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1679.3</v>
      </c>
      <c r="C4265" s="2" t="s">
        <v>569</v>
      </c>
      <c r="D4265" s="2" t="str">
        <f t="shared" si="65"/>
        <v>Error?</v>
      </c>
      <c r="E4265" s="125"/>
    </row>
    <row r="4266" spans="1:5" x14ac:dyDescent="0.2">
      <c r="A4266" s="12">
        <v>4205</v>
      </c>
      <c r="B4266" s="1821">
        <f>('FP Info 3'!F10)*100000</f>
        <v>272.7</v>
      </c>
      <c r="C4266" s="2" t="s">
        <v>569</v>
      </c>
      <c r="D4266" s="2" t="str">
        <f t="shared" si="65"/>
        <v>Error?</v>
      </c>
      <c r="E4266" s="125"/>
    </row>
    <row r="4267" spans="1:5" x14ac:dyDescent="0.2">
      <c r="A4267" s="12">
        <v>4206</v>
      </c>
      <c r="B4267" s="1821">
        <f>('FP Info 3'!H10)*100000</f>
        <v>45.9</v>
      </c>
      <c r="C4267" s="2" t="s">
        <v>569</v>
      </c>
      <c r="D4267" s="2" t="str">
        <f t="shared" si="65"/>
        <v>Error?</v>
      </c>
      <c r="E4267" s="125"/>
    </row>
    <row r="4268" spans="1:5" x14ac:dyDescent="0.2">
      <c r="A4268" s="12">
        <v>4207</v>
      </c>
      <c r="B4268" s="1821">
        <f>('FP Info 3'!J10)*100000</f>
        <v>1998.0000000000002</v>
      </c>
      <c r="C4268" s="2" t="s">
        <v>569</v>
      </c>
      <c r="D4268" s="2" t="str">
        <f t="shared" si="65"/>
        <v>Error?</v>
      </c>
    </row>
    <row r="4269" spans="1:5" x14ac:dyDescent="0.2">
      <c r="A4269" s="12">
        <v>4208</v>
      </c>
      <c r="B4269" s="1821">
        <f>'FP Info 3'!J16</f>
        <v>23537743</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50000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17055</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97955</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1893</v>
      </c>
    </row>
    <row r="4400" spans="1:5" x14ac:dyDescent="0.2">
      <c r="A4400" s="10">
        <v>4339</v>
      </c>
      <c r="B4400" s="1821"/>
      <c r="D4400" s="2" t="str">
        <f t="shared" si="67"/>
        <v>OK</v>
      </c>
      <c r="E4400" s="4" t="s">
        <v>1893</v>
      </c>
    </row>
    <row r="4401" spans="1:5" x14ac:dyDescent="0.2">
      <c r="A4401" s="10">
        <v>4340</v>
      </c>
      <c r="B4401" s="1821"/>
      <c r="D4401" s="2" t="str">
        <f t="shared" si="67"/>
        <v>OK</v>
      </c>
      <c r="E4401" s="4" t="s">
        <v>1893</v>
      </c>
    </row>
    <row r="4402" spans="1:5" x14ac:dyDescent="0.2">
      <c r="A4402" s="10">
        <v>4341</v>
      </c>
      <c r="B4402" s="1821"/>
      <c r="D4402" s="2" t="str">
        <f t="shared" si="67"/>
        <v>OK</v>
      </c>
      <c r="E4402" s="4" t="s">
        <v>1893</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69869</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10</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12444</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406</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74786</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1169205150</v>
      </c>
      <c r="D4995" s="2" t="str">
        <f t="shared" si="77"/>
        <v>Error?</v>
      </c>
    </row>
    <row r="4996" spans="1:4" x14ac:dyDescent="0.2">
      <c r="A4996" s="12">
        <v>4935</v>
      </c>
      <c r="B4996" s="1821">
        <f>'FP Info 3'!H31</f>
        <v>80675155.350000009</v>
      </c>
      <c r="D4996" s="2" t="str">
        <f t="shared" si="77"/>
        <v>Error?</v>
      </c>
    </row>
    <row r="4997" spans="1:4" x14ac:dyDescent="0.2">
      <c r="A4997" s="12">
        <v>4936</v>
      </c>
      <c r="B4997" s="1821">
        <f>'FP Info 3'!H37</f>
        <v>43225000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18746920</v>
      </c>
      <c r="D5061" s="2" t="str">
        <f t="shared" si="78"/>
        <v>Error?</v>
      </c>
    </row>
    <row r="5062" spans="1:4" x14ac:dyDescent="0.2">
      <c r="A5062" s="10">
        <v>5001</v>
      </c>
      <c r="B5062" s="1821"/>
      <c r="D5062" s="2" t="str">
        <f t="shared" si="78"/>
        <v>OK</v>
      </c>
    </row>
    <row r="5063" spans="1:4" x14ac:dyDescent="0.2">
      <c r="A5063" s="5">
        <v>5002</v>
      </c>
      <c r="B5063" s="1821">
        <f>'Revenues 9-14'!C7</f>
        <v>256078</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19002998</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270387</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270387</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79911</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79911</v>
      </c>
      <c r="C5087" s="2" t="s">
        <v>569</v>
      </c>
      <c r="D5087" s="2" t="str">
        <f t="shared" si="78"/>
        <v>Error?</v>
      </c>
    </row>
    <row r="5088" spans="1:4" x14ac:dyDescent="0.2">
      <c r="A5088" s="5">
        <v>5027</v>
      </c>
      <c r="B5088" s="1821">
        <f>'Revenues 9-14'!C65</f>
        <v>335910</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335910</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356530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16986</v>
      </c>
      <c r="D5095" s="2" t="str">
        <f t="shared" si="78"/>
        <v>Error?</v>
      </c>
    </row>
    <row r="5096" spans="1:4" x14ac:dyDescent="0.2">
      <c r="A5096" s="5">
        <v>5035</v>
      </c>
      <c r="B5096" s="1821">
        <f>'Revenues 9-14'!C75</f>
        <v>373516</v>
      </c>
      <c r="C5096" s="2" t="s">
        <v>569</v>
      </c>
      <c r="D5096" s="2" t="str">
        <f t="shared" si="78"/>
        <v>Error?</v>
      </c>
    </row>
    <row r="5097" spans="1:4" x14ac:dyDescent="0.2">
      <c r="A5097" s="5">
        <v>5036</v>
      </c>
      <c r="B5097" s="1821">
        <f>'Revenues 9-14'!C77</f>
        <v>32475</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485775</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180880</v>
      </c>
      <c r="D5101" s="2" t="str">
        <f t="shared" si="78"/>
        <v>Error?</v>
      </c>
    </row>
    <row r="5102" spans="1:4" x14ac:dyDescent="0.2">
      <c r="A5102" s="5">
        <v>5041</v>
      </c>
      <c r="B5102" s="1821">
        <f>'Revenues 9-14'!C82</f>
        <v>699130</v>
      </c>
      <c r="C5102" s="2" t="s">
        <v>569</v>
      </c>
      <c r="D5102" s="2" t="str">
        <f t="shared" si="78"/>
        <v>Error?</v>
      </c>
    </row>
    <row r="5103" spans="1:4" x14ac:dyDescent="0.2">
      <c r="A5103" s="5">
        <v>5042</v>
      </c>
      <c r="B5103" s="1821">
        <f>'Revenues 9-14'!C84</f>
        <v>0</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0</v>
      </c>
      <c r="C5112" s="2" t="s">
        <v>569</v>
      </c>
      <c r="D5112" s="2" t="str">
        <f t="shared" si="78"/>
        <v>Error?</v>
      </c>
    </row>
    <row r="5113" spans="1:4" x14ac:dyDescent="0.2">
      <c r="A5113" s="5">
        <v>5052</v>
      </c>
      <c r="B5113" s="1821">
        <f>'Revenues 9-14'!C95</f>
        <v>4449</v>
      </c>
      <c r="D5113" s="2" t="str">
        <f t="shared" si="78"/>
        <v>Error?</v>
      </c>
    </row>
    <row r="5114" spans="1:4" x14ac:dyDescent="0.2">
      <c r="A5114" s="5">
        <v>5053</v>
      </c>
      <c r="B5114" s="1821">
        <f>'Revenues 9-14'!C96</f>
        <v>3463</v>
      </c>
      <c r="D5114" s="2" t="str">
        <f t="shared" si="78"/>
        <v>Error?</v>
      </c>
    </row>
    <row r="5115" spans="1:4" x14ac:dyDescent="0.2">
      <c r="A5115" s="5">
        <v>5054</v>
      </c>
      <c r="B5115" s="1821">
        <f>'Revenues 9-14'!C98</f>
        <v>105592</v>
      </c>
      <c r="D5115" s="2" t="str">
        <f t="shared" si="78"/>
        <v>Error?</v>
      </c>
    </row>
    <row r="5116" spans="1:4" x14ac:dyDescent="0.2">
      <c r="A5116" s="5">
        <v>5055</v>
      </c>
      <c r="B5116" s="1821">
        <f>'Revenues 9-14'!C99</f>
        <v>87</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70654</v>
      </c>
      <c r="D5118" s="2" t="str">
        <f t="shared" si="78"/>
        <v>Error?</v>
      </c>
    </row>
    <row r="5119" spans="1:4" x14ac:dyDescent="0.2">
      <c r="A5119" s="5">
        <v>5058</v>
      </c>
      <c r="B5119" s="1821">
        <f>'Revenues 9-14'!C107</f>
        <v>0</v>
      </c>
      <c r="D5119" s="2" t="str">
        <f t="shared" ref="D5119:D5182" si="79">IF(ISBLANK(B5119),"OK",IF(A5119-B5119=0,"OK","Error?"))</f>
        <v>Error?</v>
      </c>
    </row>
    <row r="5120" spans="1:4" x14ac:dyDescent="0.2">
      <c r="A5120" s="5">
        <v>5059</v>
      </c>
      <c r="B5120" s="1821">
        <f>'Revenues 9-14'!C108</f>
        <v>205773</v>
      </c>
      <c r="C5120" s="2" t="s">
        <v>569</v>
      </c>
      <c r="D5120" s="2" t="str">
        <f t="shared" si="79"/>
        <v>Error?</v>
      </c>
    </row>
    <row r="5121" spans="1:4" x14ac:dyDescent="0.2">
      <c r="A5121" s="5">
        <v>5060</v>
      </c>
      <c r="B5121" s="1821">
        <f>'Revenues 9-14'!C109</f>
        <v>20967625</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5467860</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5543052</v>
      </c>
      <c r="C5132" s="2" t="s">
        <v>569</v>
      </c>
      <c r="D5132" s="2" t="str">
        <f t="shared" si="79"/>
        <v>Error?</v>
      </c>
    </row>
    <row r="5133" spans="1:4" x14ac:dyDescent="0.2">
      <c r="A5133" s="5">
        <v>5072</v>
      </c>
      <c r="B5133" s="1821">
        <f>'Revenues 9-14'!C125</f>
        <v>728606</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0</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728606</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55399</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55399</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3023</v>
      </c>
      <c r="D5167" s="2" t="str">
        <f t="shared" si="79"/>
        <v>Error?</v>
      </c>
    </row>
    <row r="5168" spans="1:4" x14ac:dyDescent="0.2">
      <c r="A5168" s="5">
        <v>5107</v>
      </c>
      <c r="B5168" s="1821">
        <f>'Revenues 9-14'!C148</f>
        <v>38424</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1893</v>
      </c>
    </row>
    <row r="5200" spans="1:5" x14ac:dyDescent="0.2">
      <c r="A5200" s="10">
        <v>5139</v>
      </c>
      <c r="B5200" s="1821"/>
      <c r="D5200" s="2" t="str">
        <f t="shared" si="80"/>
        <v>OK</v>
      </c>
      <c r="E5200" s="4" t="s">
        <v>1893</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837896</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6380948</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205854</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25131</v>
      </c>
      <c r="D5241" s="2" t="str">
        <f t="shared" si="80"/>
        <v>Error?</v>
      </c>
    </row>
    <row r="5242" spans="1:4" x14ac:dyDescent="0.2">
      <c r="A5242" s="5">
        <v>5181</v>
      </c>
      <c r="B5242" s="1821">
        <f>'Revenues 9-14'!C194</f>
        <v>6886</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237871</v>
      </c>
      <c r="C5246" s="2" t="s">
        <v>569</v>
      </c>
      <c r="D5246" s="2" t="str">
        <f t="shared" si="80"/>
        <v>Error?</v>
      </c>
    </row>
    <row r="5247" spans="1:4" x14ac:dyDescent="0.2">
      <c r="A5247" s="5">
        <v>5186</v>
      </c>
      <c r="B5247" s="1821">
        <f>'Revenues 9-14'!C200</f>
        <v>280935</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1893</v>
      </c>
    </row>
    <row r="5255" spans="1:5" x14ac:dyDescent="0.2">
      <c r="A5255" s="5">
        <v>5194</v>
      </c>
      <c r="B5255" s="1821">
        <f>'Revenues 9-14'!C202</f>
        <v>0</v>
      </c>
      <c r="D5255" s="2" t="str">
        <f t="shared" si="81"/>
        <v>Error?</v>
      </c>
    </row>
    <row r="5256" spans="1:5" x14ac:dyDescent="0.2">
      <c r="A5256" s="5">
        <v>5195</v>
      </c>
      <c r="B5256" s="1821">
        <f>'Revenues 9-14'!C206</f>
        <v>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280935</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0</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503907</v>
      </c>
      <c r="D5278" s="2" t="str">
        <f t="shared" si="81"/>
        <v>Error?</v>
      </c>
    </row>
    <row r="5279" spans="1:4" x14ac:dyDescent="0.2">
      <c r="A5279" s="5">
        <v>5218</v>
      </c>
      <c r="B5279" s="1821">
        <f>'Revenues 9-14'!C214</f>
        <v>317642</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821549</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47483</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47483</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1893</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1572717</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1572717</v>
      </c>
      <c r="C5326" s="2" t="s">
        <v>569</v>
      </c>
      <c r="D5326" s="2" t="str">
        <f t="shared" si="82"/>
        <v>Error?</v>
      </c>
    </row>
    <row r="5327" spans="1:5" x14ac:dyDescent="0.2">
      <c r="A5327" s="5">
        <v>5266</v>
      </c>
      <c r="B5327" s="1821">
        <f>'Revenues 9-14'!C268</f>
        <v>28921290</v>
      </c>
      <c r="C5327" s="2" t="s">
        <v>569</v>
      </c>
      <c r="D5327" s="2" t="str">
        <f t="shared" si="82"/>
        <v>Error?</v>
      </c>
    </row>
    <row r="5328" spans="1:5" x14ac:dyDescent="0.2">
      <c r="A5328" s="5">
        <v>5267</v>
      </c>
      <c r="B5328" s="1821">
        <f>'Revenues 9-14'!D5</f>
        <v>2751318</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2751318</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58074</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58074</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48792</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48792</v>
      </c>
      <c r="C5348" s="2" t="s">
        <v>569</v>
      </c>
      <c r="D5348" s="2" t="str">
        <f t="shared" si="82"/>
        <v>Error?</v>
      </c>
    </row>
    <row r="5349" spans="1:4" x14ac:dyDescent="0.2">
      <c r="A5349" s="5">
        <v>5288</v>
      </c>
      <c r="B5349" s="1821">
        <f>'Revenues 9-14'!D95</f>
        <v>68958</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62069</v>
      </c>
      <c r="D5354" s="2" t="str">
        <f t="shared" si="82"/>
        <v>Error?</v>
      </c>
    </row>
    <row r="5355" spans="1:4" x14ac:dyDescent="0.2">
      <c r="A5355" s="5">
        <v>5294</v>
      </c>
      <c r="B5355" s="1821">
        <f>'Revenues 9-14'!D108</f>
        <v>131027</v>
      </c>
      <c r="C5355" s="2" t="s">
        <v>569</v>
      </c>
      <c r="D5355" s="2" t="str">
        <f t="shared" si="82"/>
        <v>Error?</v>
      </c>
    </row>
    <row r="5356" spans="1:4" x14ac:dyDescent="0.2">
      <c r="A5356" s="5">
        <v>5295</v>
      </c>
      <c r="B5356" s="1821">
        <f>'Revenues 9-14'!D109</f>
        <v>2989211</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50000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50000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1893</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3039211</v>
      </c>
      <c r="C5508" s="2" t="s">
        <v>569</v>
      </c>
      <c r="D5508" s="2" t="str">
        <f t="shared" si="85"/>
        <v>Error?</v>
      </c>
    </row>
    <row r="5509" spans="1:4" x14ac:dyDescent="0.2">
      <c r="A5509" s="5">
        <v>5448</v>
      </c>
      <c r="B5509" s="1821">
        <f>'Revenues 9-14'!E5</f>
        <v>3834320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3834320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54821</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54821</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3889141</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3889141</v>
      </c>
      <c r="C5552" s="2" t="s">
        <v>569</v>
      </c>
      <c r="D5552" s="2" t="str">
        <f t="shared" si="85"/>
        <v>Error?</v>
      </c>
    </row>
    <row r="5553" spans="1:4" x14ac:dyDescent="0.2">
      <c r="A5553" s="5">
        <v>5492</v>
      </c>
      <c r="B5553" s="1821">
        <f>'Revenues 9-14'!F5</f>
        <v>506475</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506475</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7095</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7095</v>
      </c>
      <c r="C5579" s="2" t="s">
        <v>569</v>
      </c>
      <c r="D5579" s="2" t="str">
        <f t="shared" si="86"/>
        <v>Error?</v>
      </c>
    </row>
    <row r="5580" spans="1:4" x14ac:dyDescent="0.2">
      <c r="A5580" s="5">
        <v>5519</v>
      </c>
      <c r="B5580" s="1821">
        <f>'Revenues 9-14'!F65</f>
        <v>15208</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15208</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0</v>
      </c>
      <c r="C5587" s="2" t="s">
        <v>569</v>
      </c>
      <c r="D5587" s="2" t="str">
        <f t="shared" si="86"/>
        <v>Error?</v>
      </c>
    </row>
    <row r="5588" spans="1:4" x14ac:dyDescent="0.2">
      <c r="A5588" s="5">
        <v>5527</v>
      </c>
      <c r="B5588" s="1821">
        <f>'Revenues 9-14'!F109</f>
        <v>528778</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20081</v>
      </c>
      <c r="D5615" s="2" t="str">
        <f t="shared" si="86"/>
        <v>Error?</v>
      </c>
    </row>
    <row r="5616" spans="1:4" x14ac:dyDescent="0.2">
      <c r="A5616" s="10">
        <v>5555</v>
      </c>
      <c r="B5616" s="1821"/>
      <c r="D5616" s="2" t="str">
        <f t="shared" si="86"/>
        <v>OK</v>
      </c>
    </row>
    <row r="5617" spans="1:5" x14ac:dyDescent="0.2">
      <c r="A5617" s="5">
        <v>5556</v>
      </c>
      <c r="B5617" s="1821">
        <f>'Revenues 9-14'!F153</f>
        <v>745278</v>
      </c>
      <c r="D5617" s="2" t="str">
        <f t="shared" si="86"/>
        <v>Error?</v>
      </c>
    </row>
    <row r="5618" spans="1:5" x14ac:dyDescent="0.2">
      <c r="A5618" s="5">
        <v>5557</v>
      </c>
      <c r="B5618" s="1821">
        <f>'Revenues 9-14'!F155</f>
        <v>765359</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1893</v>
      </c>
    </row>
    <row r="5631" spans="1:5" x14ac:dyDescent="0.2">
      <c r="A5631" s="10">
        <v>5570</v>
      </c>
      <c r="B5631" s="1821"/>
      <c r="D5631" s="2" t="str">
        <f t="shared" ref="D5631:D5694" si="87">IF(ISBLANK(B5631),"OK",IF(A5631-B5631=0,"OK","Error?"))</f>
        <v>OK</v>
      </c>
      <c r="E5631" s="4" t="s">
        <v>1893</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765359</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765359</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1893</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1893</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1294137</v>
      </c>
      <c r="C5720" s="2" t="s">
        <v>569</v>
      </c>
      <c r="D5720" s="2" t="str">
        <f t="shared" si="88"/>
        <v>Error?</v>
      </c>
    </row>
    <row r="5721" spans="1:4" x14ac:dyDescent="0.2">
      <c r="A5721" s="5">
        <v>5660</v>
      </c>
      <c r="B5721" s="1821">
        <f>'Revenues 9-14'!G5</f>
        <v>361533</v>
      </c>
      <c r="D5721" s="2" t="str">
        <f t="shared" si="88"/>
        <v>Error?</v>
      </c>
    </row>
    <row r="5722" spans="1:4" x14ac:dyDescent="0.2">
      <c r="A5722" s="5">
        <v>5661</v>
      </c>
      <c r="B5722" s="1821">
        <f>'Revenues 9-14'!G7</f>
        <v>0</v>
      </c>
      <c r="D5722" s="2" t="str">
        <f t="shared" si="88"/>
        <v>Error?</v>
      </c>
    </row>
    <row r="5723" spans="1:4" x14ac:dyDescent="0.2">
      <c r="A5723" s="5">
        <v>5662</v>
      </c>
      <c r="B5723" s="1821">
        <f>'Revenues 9-14'!G8</f>
        <v>433740</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795273</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90129</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90129</v>
      </c>
      <c r="C5730" s="2" t="s">
        <v>569</v>
      </c>
      <c r="D5730" s="2" t="str">
        <f t="shared" si="88"/>
        <v>Error?</v>
      </c>
    </row>
    <row r="5731" spans="1:4" x14ac:dyDescent="0.2">
      <c r="A5731" s="5">
        <v>5670</v>
      </c>
      <c r="B5731" s="1821">
        <f>'Revenues 9-14'!G65</f>
        <v>17035</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17035</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1893</v>
      </c>
    </row>
    <row r="5768" spans="1:5" x14ac:dyDescent="0.2">
      <c r="A5768" s="10">
        <v>5707</v>
      </c>
      <c r="B5768" s="1821"/>
      <c r="D5768" s="2" t="str">
        <f t="shared" si="89"/>
        <v>OK</v>
      </c>
      <c r="E5768" s="4" t="s">
        <v>1893</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1893</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1893</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902437</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574086</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574086</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293620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867706</v>
      </c>
      <c r="C5915" s="2" t="s">
        <v>569</v>
      </c>
      <c r="D5915" s="2" t="str">
        <f t="shared" si="91"/>
        <v>Error?</v>
      </c>
    </row>
    <row r="5916" spans="1:4" x14ac:dyDescent="0.2">
      <c r="A5916" s="5">
        <v>5855</v>
      </c>
      <c r="B5916" s="1821">
        <f>'Revenues 9-14'!I5</f>
        <v>110432</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110432</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1164</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1164</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111596</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902437</v>
      </c>
      <c r="C6024" s="2" t="s">
        <v>569</v>
      </c>
      <c r="D6024" s="2" t="str">
        <f t="shared" si="93"/>
        <v>Error?</v>
      </c>
    </row>
    <row r="6025" spans="1:5" x14ac:dyDescent="0.2">
      <c r="A6025" s="5">
        <v>5964</v>
      </c>
      <c r="B6025" s="1821">
        <f>'Revenues 9-14'!H109</f>
        <v>867706</v>
      </c>
      <c r="C6025" s="2" t="s">
        <v>569</v>
      </c>
      <c r="D6025" s="2" t="str">
        <f t="shared" si="93"/>
        <v>Error?</v>
      </c>
    </row>
    <row r="6026" spans="1:5" x14ac:dyDescent="0.2">
      <c r="A6026" s="5">
        <v>5965</v>
      </c>
      <c r="B6026" s="1821">
        <f>'Revenues 9-14'!I109</f>
        <v>111596</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0</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52244</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1872.3</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1558</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15764</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1558</v>
      </c>
      <c r="D6215" s="2" t="str">
        <f t="shared" si="96"/>
        <v>Error?</v>
      </c>
      <c r="E6215" s="2" t="s">
        <v>189</v>
      </c>
    </row>
    <row r="6216" spans="1:5" x14ac:dyDescent="0.2">
      <c r="A6216">
        <v>6155</v>
      </c>
      <c r="B6216" s="1821">
        <f>'Assets-Liab 5-6'!J41</f>
        <v>1558</v>
      </c>
      <c r="D6216" s="2" t="str">
        <f t="shared" si="96"/>
        <v>Error?</v>
      </c>
      <c r="E6216" s="2" t="s">
        <v>189</v>
      </c>
    </row>
    <row r="6217" spans="1:5" x14ac:dyDescent="0.2">
      <c r="A6217">
        <v>6156</v>
      </c>
      <c r="B6217" s="1821">
        <f>'Assets-Liab 5-6'!J4</f>
        <v>1016</v>
      </c>
      <c r="D6217" s="2" t="str">
        <f t="shared" si="96"/>
        <v>Error?</v>
      </c>
      <c r="E6217" s="2" t="s">
        <v>189</v>
      </c>
    </row>
    <row r="6218" spans="1:5" x14ac:dyDescent="0.2">
      <c r="A6218">
        <v>6157</v>
      </c>
      <c r="B6218" s="1821">
        <f>'Assets-Liab 5-6'!J5</f>
        <v>542</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126622</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126622</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126622</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187970</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187970</v>
      </c>
      <c r="D6229" s="2" t="str">
        <f t="shared" si="96"/>
        <v>Error?</v>
      </c>
      <c r="E6229" s="2" t="s">
        <v>189</v>
      </c>
    </row>
    <row r="6230" spans="1:5" x14ac:dyDescent="0.2">
      <c r="A6230">
        <v>6169</v>
      </c>
      <c r="B6230" s="1821">
        <f>'Acct Summary 7-8'!J20</f>
        <v>-61348</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-61348</v>
      </c>
      <c r="D6263" s="2" t="str">
        <f t="shared" si="96"/>
        <v>Error?</v>
      </c>
      <c r="E6263" s="2" t="s">
        <v>189</v>
      </c>
    </row>
    <row r="6264" spans="1:5" x14ac:dyDescent="0.2">
      <c r="A6264">
        <v>6203</v>
      </c>
      <c r="B6264" s="1821">
        <f>'Acct Summary 7-8'!J79</f>
        <v>62906</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1558</v>
      </c>
      <c r="D6266" s="2" t="str">
        <f t="shared" si="96"/>
        <v>Error?</v>
      </c>
      <c r="E6266" s="2" t="s">
        <v>189</v>
      </c>
    </row>
    <row r="6267" spans="1:5" x14ac:dyDescent="0.2">
      <c r="A6267">
        <v>6206</v>
      </c>
      <c r="B6267" s="1821">
        <f>'Acct Summary 7-8'!C82</f>
        <v>2317740</v>
      </c>
      <c r="D6267" s="2" t="str">
        <f t="shared" si="96"/>
        <v>Error?</v>
      </c>
      <c r="E6267" s="2" t="s">
        <v>189</v>
      </c>
    </row>
    <row r="6268" spans="1:5" x14ac:dyDescent="0.2">
      <c r="A6268">
        <v>6207</v>
      </c>
      <c r="B6268" s="1821">
        <f>'Acct Summary 7-8'!D82</f>
        <v>-881089</v>
      </c>
      <c r="D6268" s="2" t="str">
        <f t="shared" si="96"/>
        <v>Error?</v>
      </c>
      <c r="E6268" s="2" t="s">
        <v>189</v>
      </c>
    </row>
    <row r="6269" spans="1:5" x14ac:dyDescent="0.2">
      <c r="A6269">
        <v>6208</v>
      </c>
      <c r="B6269" s="1821">
        <f>'Acct Summary 7-8'!E82</f>
        <v>-2388642</v>
      </c>
      <c r="D6269" s="2" t="str">
        <f t="shared" si="96"/>
        <v>Error?</v>
      </c>
      <c r="E6269" s="2" t="s">
        <v>189</v>
      </c>
    </row>
    <row r="6270" spans="1:5" x14ac:dyDescent="0.2">
      <c r="A6270">
        <v>6209</v>
      </c>
      <c r="B6270" s="1821">
        <f>'Acct Summary 7-8'!F82</f>
        <v>-32155</v>
      </c>
      <c r="D6270" s="2" t="str">
        <f t="shared" si="96"/>
        <v>Error?</v>
      </c>
      <c r="E6270" s="2" t="s">
        <v>189</v>
      </c>
    </row>
    <row r="6271" spans="1:5" x14ac:dyDescent="0.2">
      <c r="A6271">
        <v>6210</v>
      </c>
      <c r="B6271" s="1821">
        <f>'Acct Summary 7-8'!G82</f>
        <v>40314</v>
      </c>
      <c r="D6271" s="2" t="str">
        <f t="shared" ref="D6271:D6334" si="97">IF(ISBLANK(B6271),"OK",IF(A6271-B6271=0,"OK","Error?"))</f>
        <v>Error?</v>
      </c>
      <c r="E6271" s="2" t="s">
        <v>189</v>
      </c>
    </row>
    <row r="6272" spans="1:5" x14ac:dyDescent="0.2">
      <c r="A6272">
        <v>6211</v>
      </c>
      <c r="B6272" s="1821">
        <f>'Acct Summary 7-8'!H82</f>
        <v>-17095363</v>
      </c>
      <c r="D6272" s="2" t="str">
        <f t="shared" si="97"/>
        <v>Error?</v>
      </c>
      <c r="E6272" s="2" t="s">
        <v>189</v>
      </c>
    </row>
    <row r="6273" spans="1:5" x14ac:dyDescent="0.2">
      <c r="A6273">
        <v>6212</v>
      </c>
      <c r="B6273" s="1821">
        <f>'Acct Summary 7-8'!I82</f>
        <v>111596</v>
      </c>
      <c r="D6273" s="2" t="str">
        <f t="shared" si="97"/>
        <v>Error?</v>
      </c>
      <c r="E6273" s="2" t="s">
        <v>189</v>
      </c>
    </row>
    <row r="6274" spans="1:5" x14ac:dyDescent="0.2">
      <c r="A6274">
        <v>6213</v>
      </c>
      <c r="B6274" s="1821">
        <f>'Acct Summary 7-8'!J82</f>
        <v>-61348</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0.10934732469310787</v>
      </c>
      <c r="D6276" s="2" t="str">
        <f t="shared" si="97"/>
        <v>Error?</v>
      </c>
      <c r="E6276" s="2" t="s">
        <v>189</v>
      </c>
    </row>
    <row r="6277" spans="1:5" x14ac:dyDescent="0.2">
      <c r="A6277">
        <v>6216</v>
      </c>
      <c r="B6277" s="1821">
        <f>'Acct Summary 7-8'!D83</f>
        <v>-0.97344132542579609</v>
      </c>
      <c r="D6277" s="2" t="str">
        <f t="shared" si="97"/>
        <v>Error?</v>
      </c>
      <c r="E6277" s="2" t="s">
        <v>189</v>
      </c>
    </row>
    <row r="6278" spans="1:5" x14ac:dyDescent="0.2">
      <c r="A6278">
        <v>6217</v>
      </c>
      <c r="B6278" s="1821">
        <f>'Acct Summary 7-8'!E83</f>
        <v>-1.3786754074743603</v>
      </c>
      <c r="D6278" s="2" t="str">
        <f t="shared" si="97"/>
        <v>Error?</v>
      </c>
      <c r="E6278" s="2" t="s">
        <v>189</v>
      </c>
    </row>
    <row r="6279" spans="1:5" x14ac:dyDescent="0.2">
      <c r="A6279">
        <v>6218</v>
      </c>
      <c r="B6279" s="1821">
        <f>'Acct Summary 7-8'!F83</f>
        <v>-6.1613190645448707E-2</v>
      </c>
      <c r="D6279" s="2" t="str">
        <f t="shared" si="97"/>
        <v>Error?</v>
      </c>
      <c r="E6279" s="2" t="s">
        <v>189</v>
      </c>
    </row>
    <row r="6280" spans="1:5" x14ac:dyDescent="0.2">
      <c r="A6280">
        <v>6219</v>
      </c>
      <c r="B6280" s="1821">
        <f>'Acct Summary 7-8'!G83</f>
        <v>9.2693548424182079E-2</v>
      </c>
      <c r="D6280" s="2" t="str">
        <f t="shared" si="97"/>
        <v>Error?</v>
      </c>
      <c r="E6280" s="2" t="s">
        <v>189</v>
      </c>
    </row>
    <row r="6281" spans="1:5" x14ac:dyDescent="0.2">
      <c r="A6281">
        <v>6220</v>
      </c>
      <c r="B6281" s="1821">
        <f>'Acct Summary 7-8'!H83</f>
        <v>-0.65749625971608461</v>
      </c>
      <c r="D6281" s="2" t="str">
        <f t="shared" si="97"/>
        <v>Error?</v>
      </c>
      <c r="E6281" s="2" t="s">
        <v>189</v>
      </c>
    </row>
    <row r="6282" spans="1:5" x14ac:dyDescent="0.2">
      <c r="A6282">
        <v>6221</v>
      </c>
      <c r="B6282" s="1821">
        <f>'Acct Summary 7-8'!I83</f>
        <v>0.12201604852826534</v>
      </c>
      <c r="D6282" s="2" t="str">
        <f t="shared" si="97"/>
        <v>Error?</v>
      </c>
      <c r="E6282" s="2" t="s">
        <v>189</v>
      </c>
    </row>
    <row r="6283" spans="1:5" x14ac:dyDescent="0.2">
      <c r="A6283">
        <v>6222</v>
      </c>
      <c r="B6283" s="1821">
        <f>'Acct Summary 7-8'!J83</f>
        <v>-39.376123234916562</v>
      </c>
      <c r="D6283" s="2" t="str">
        <f t="shared" si="97"/>
        <v>Error?</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125822</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125822</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800</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800</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21528</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126622</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1892</v>
      </c>
    </row>
    <row r="6383" spans="1:6" x14ac:dyDescent="0.2">
      <c r="A6383" s="126">
        <v>6322</v>
      </c>
      <c r="B6383" s="1821"/>
      <c r="D6383" s="2" t="str">
        <f t="shared" si="98"/>
        <v>OK</v>
      </c>
      <c r="E6383" s="2" t="s">
        <v>189</v>
      </c>
      <c r="F6383" s="1" t="s">
        <v>1892</v>
      </c>
    </row>
    <row r="6384" spans="1:6" x14ac:dyDescent="0.2">
      <c r="A6384" s="126">
        <v>6323</v>
      </c>
      <c r="B6384" s="1821"/>
      <c r="D6384" s="2" t="str">
        <f t="shared" si="98"/>
        <v>OK</v>
      </c>
      <c r="E6384" s="2" t="s">
        <v>189</v>
      </c>
      <c r="F6384" s="1" t="s">
        <v>1892</v>
      </c>
    </row>
    <row r="6385" spans="1:6" x14ac:dyDescent="0.2">
      <c r="A6385" s="126">
        <v>6324</v>
      </c>
      <c r="B6385" s="1821"/>
      <c r="D6385" s="2" t="str">
        <f t="shared" si="98"/>
        <v>OK</v>
      </c>
      <c r="E6385" s="2" t="s">
        <v>189</v>
      </c>
      <c r="F6385" s="1" t="s">
        <v>1892</v>
      </c>
    </row>
    <row r="6386" spans="1:6" x14ac:dyDescent="0.2">
      <c r="A6386" s="126">
        <v>6325</v>
      </c>
      <c r="B6386" s="1821"/>
      <c r="D6386" s="2" t="str">
        <f t="shared" si="98"/>
        <v>OK</v>
      </c>
      <c r="E6386" s="2" t="s">
        <v>189</v>
      </c>
      <c r="F6386" s="1" t="s">
        <v>1892</v>
      </c>
    </row>
    <row r="6387" spans="1:6" x14ac:dyDescent="0.2">
      <c r="A6387" s="126">
        <v>6326</v>
      </c>
      <c r="B6387" s="1821"/>
      <c r="D6387" s="2" t="str">
        <f t="shared" si="98"/>
        <v>OK</v>
      </c>
      <c r="E6387" s="2" t="s">
        <v>189</v>
      </c>
      <c r="F6387" s="1" t="s">
        <v>1892</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1892</v>
      </c>
    </row>
    <row r="6411" spans="1:6" x14ac:dyDescent="0.2">
      <c r="A6411" s="126">
        <v>6350</v>
      </c>
      <c r="B6411" s="1821"/>
      <c r="D6411" s="2" t="str">
        <f t="shared" si="99"/>
        <v>OK</v>
      </c>
      <c r="E6411" s="2" t="s">
        <v>189</v>
      </c>
      <c r="F6411" s="1" t="s">
        <v>1892</v>
      </c>
    </row>
    <row r="6412" spans="1:6" x14ac:dyDescent="0.2">
      <c r="A6412" s="126">
        <v>6351</v>
      </c>
      <c r="B6412" s="1821"/>
      <c r="D6412" s="2" t="str">
        <f t="shared" si="99"/>
        <v>OK</v>
      </c>
      <c r="E6412" s="2" t="s">
        <v>189</v>
      </c>
      <c r="F6412" s="1" t="s">
        <v>1892</v>
      </c>
    </row>
    <row r="6413" spans="1:6" x14ac:dyDescent="0.2">
      <c r="A6413" s="126">
        <v>6352</v>
      </c>
      <c r="B6413" s="1821"/>
      <c r="D6413" s="2" t="str">
        <f t="shared" si="99"/>
        <v>OK</v>
      </c>
      <c r="E6413" s="2" t="s">
        <v>189</v>
      </c>
      <c r="F6413" s="1" t="s">
        <v>1892</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1988</v>
      </c>
    </row>
    <row r="6417" spans="1:5" x14ac:dyDescent="0.2">
      <c r="A6417" s="126">
        <v>6356</v>
      </c>
      <c r="B6417" s="1821"/>
      <c r="D6417" s="2" t="str">
        <f t="shared" si="99"/>
        <v>OK</v>
      </c>
      <c r="E6417" s="4" t="s">
        <v>1988</v>
      </c>
    </row>
    <row r="6418" spans="1:5" x14ac:dyDescent="0.2">
      <c r="A6418" s="126">
        <v>6357</v>
      </c>
      <c r="B6418" s="1821"/>
      <c r="D6418" s="2" t="str">
        <f t="shared" si="99"/>
        <v>OK</v>
      </c>
      <c r="E6418" s="4" t="s">
        <v>1988</v>
      </c>
    </row>
    <row r="6419" spans="1:5" x14ac:dyDescent="0.2">
      <c r="A6419" s="126">
        <v>6358</v>
      </c>
      <c r="B6419" s="1821"/>
      <c r="D6419" s="2" t="str">
        <f t="shared" si="99"/>
        <v>OK</v>
      </c>
      <c r="E6419" s="4" t="s">
        <v>1988</v>
      </c>
    </row>
    <row r="6420" spans="1:5" x14ac:dyDescent="0.2">
      <c r="A6420" s="126">
        <v>6359</v>
      </c>
      <c r="B6420" s="1821"/>
      <c r="D6420" s="2" t="str">
        <f t="shared" si="99"/>
        <v>OK</v>
      </c>
      <c r="E6420" s="4" t="s">
        <v>1988</v>
      </c>
    </row>
    <row r="6421" spans="1:5" x14ac:dyDescent="0.2">
      <c r="A6421" s="126">
        <v>6360</v>
      </c>
      <c r="B6421" s="1821"/>
      <c r="D6421" s="2" t="str">
        <f t="shared" si="99"/>
        <v>OK</v>
      </c>
      <c r="E6421" s="4" t="s">
        <v>1988</v>
      </c>
    </row>
    <row r="6422" spans="1:5" x14ac:dyDescent="0.2">
      <c r="A6422" s="126">
        <v>6361</v>
      </c>
      <c r="B6422" s="1821"/>
      <c r="D6422" s="2" t="str">
        <f t="shared" si="99"/>
        <v>OK</v>
      </c>
      <c r="E6422" s="4" t="s">
        <v>1988</v>
      </c>
    </row>
    <row r="6423" spans="1:5" x14ac:dyDescent="0.2">
      <c r="A6423" s="126">
        <v>6362</v>
      </c>
      <c r="B6423" s="1821"/>
      <c r="D6423" s="2" t="str">
        <f t="shared" si="99"/>
        <v>OK</v>
      </c>
      <c r="E6423" s="4" t="s">
        <v>1988</v>
      </c>
    </row>
    <row r="6424" spans="1:5" x14ac:dyDescent="0.2">
      <c r="A6424" s="126">
        <v>6363</v>
      </c>
      <c r="B6424" s="1821"/>
      <c r="D6424" s="2" t="str">
        <f t="shared" si="99"/>
        <v>OK</v>
      </c>
      <c r="E6424" s="4" t="s">
        <v>1988</v>
      </c>
    </row>
    <row r="6425" spans="1:5" x14ac:dyDescent="0.2">
      <c r="A6425" s="126">
        <v>6364</v>
      </c>
      <c r="B6425" s="1821"/>
      <c r="D6425" s="2" t="str">
        <f t="shared" si="99"/>
        <v>OK</v>
      </c>
      <c r="E6425" s="4" t="s">
        <v>1988</v>
      </c>
    </row>
    <row r="6426" spans="1:5" x14ac:dyDescent="0.2">
      <c r="A6426" s="126">
        <v>6365</v>
      </c>
      <c r="B6426" s="1821"/>
      <c r="D6426" s="2" t="str">
        <f t="shared" si="99"/>
        <v>OK</v>
      </c>
      <c r="E6426" s="4" t="s">
        <v>1988</v>
      </c>
    </row>
    <row r="6427" spans="1:5" x14ac:dyDescent="0.2">
      <c r="A6427" s="126">
        <v>6366</v>
      </c>
      <c r="B6427" s="1821"/>
      <c r="D6427" s="2" t="str">
        <f t="shared" si="99"/>
        <v>OK</v>
      </c>
      <c r="E6427" s="4" t="s">
        <v>1988</v>
      </c>
    </row>
    <row r="6428" spans="1:5" x14ac:dyDescent="0.2">
      <c r="A6428" s="126">
        <v>6367</v>
      </c>
      <c r="B6428" s="1821"/>
      <c r="D6428" s="2" t="str">
        <f t="shared" si="99"/>
        <v>OK</v>
      </c>
      <c r="E6428" s="4" t="s">
        <v>1988</v>
      </c>
    </row>
    <row r="6429" spans="1:5" x14ac:dyDescent="0.2">
      <c r="A6429" s="126">
        <v>6368</v>
      </c>
      <c r="B6429" s="1821"/>
      <c r="D6429" s="2" t="str">
        <f t="shared" si="99"/>
        <v>OK</v>
      </c>
      <c r="E6429" s="4" t="s">
        <v>1988</v>
      </c>
    </row>
    <row r="6430" spans="1:5" x14ac:dyDescent="0.2">
      <c r="A6430" s="126">
        <v>6369</v>
      </c>
      <c r="B6430" s="1821"/>
      <c r="D6430" s="2" t="str">
        <f t="shared" si="99"/>
        <v>OK</v>
      </c>
      <c r="E6430" s="4" t="s">
        <v>1988</v>
      </c>
    </row>
    <row r="6431" spans="1:5" x14ac:dyDescent="0.2">
      <c r="A6431" s="126">
        <v>6370</v>
      </c>
      <c r="B6431" s="1821"/>
      <c r="D6431" s="2" t="str">
        <f t="shared" si="99"/>
        <v>OK</v>
      </c>
      <c r="E6431" s="4" t="s">
        <v>1988</v>
      </c>
    </row>
    <row r="6432" spans="1:5" x14ac:dyDescent="0.2">
      <c r="A6432" s="126">
        <v>6371</v>
      </c>
      <c r="B6432" s="1821"/>
      <c r="D6432" s="2" t="str">
        <f t="shared" si="99"/>
        <v>OK</v>
      </c>
      <c r="E6432" s="4" t="s">
        <v>1988</v>
      </c>
    </row>
    <row r="6433" spans="1:5" x14ac:dyDescent="0.2">
      <c r="A6433" s="126">
        <v>6372</v>
      </c>
      <c r="B6433" s="1821"/>
      <c r="D6433" s="2" t="str">
        <f t="shared" si="99"/>
        <v>OK</v>
      </c>
      <c r="E6433" s="4" t="s">
        <v>1988</v>
      </c>
    </row>
    <row r="6434" spans="1:5" x14ac:dyDescent="0.2">
      <c r="A6434" s="126">
        <v>6373</v>
      </c>
      <c r="B6434" s="1821"/>
      <c r="D6434" s="2" t="str">
        <f t="shared" si="99"/>
        <v>OK</v>
      </c>
      <c r="E6434" s="4" t="s">
        <v>1988</v>
      </c>
    </row>
    <row r="6435" spans="1:5" x14ac:dyDescent="0.2">
      <c r="A6435" s="126">
        <v>6374</v>
      </c>
      <c r="B6435" s="1821"/>
      <c r="D6435" s="2" t="str">
        <f t="shared" si="99"/>
        <v>OK</v>
      </c>
      <c r="E6435" s="4" t="s">
        <v>1988</v>
      </c>
    </row>
    <row r="6436" spans="1:5" x14ac:dyDescent="0.2">
      <c r="A6436" s="126">
        <v>6375</v>
      </c>
      <c r="B6436" s="1821"/>
      <c r="D6436" s="2" t="str">
        <f t="shared" si="99"/>
        <v>OK</v>
      </c>
      <c r="E6436" s="4" t="s">
        <v>1988</v>
      </c>
    </row>
    <row r="6437" spans="1:5" x14ac:dyDescent="0.2">
      <c r="A6437" s="126">
        <v>6376</v>
      </c>
      <c r="B6437" s="1821"/>
      <c r="D6437" s="2" t="str">
        <f t="shared" si="99"/>
        <v>OK</v>
      </c>
      <c r="E6437" s="4" t="s">
        <v>1988</v>
      </c>
    </row>
    <row r="6438" spans="1:5" x14ac:dyDescent="0.2">
      <c r="A6438" s="126">
        <v>6377</v>
      </c>
      <c r="B6438" s="1821"/>
      <c r="D6438" s="2" t="str">
        <f t="shared" si="99"/>
        <v>OK</v>
      </c>
      <c r="E6438" s="4" t="s">
        <v>1988</v>
      </c>
    </row>
    <row r="6439" spans="1:5" x14ac:dyDescent="0.2">
      <c r="A6439" s="126">
        <v>6378</v>
      </c>
      <c r="B6439" s="1821"/>
      <c r="D6439" s="2" t="str">
        <f t="shared" si="99"/>
        <v>OK</v>
      </c>
      <c r="E6439" s="4" t="s">
        <v>1988</v>
      </c>
    </row>
    <row r="6440" spans="1:5" x14ac:dyDescent="0.2">
      <c r="A6440" s="126">
        <v>6379</v>
      </c>
      <c r="B6440" s="1821"/>
      <c r="D6440" s="2" t="str">
        <f t="shared" si="99"/>
        <v>OK</v>
      </c>
      <c r="E6440" s="4" t="s">
        <v>1988</v>
      </c>
    </row>
    <row r="6441" spans="1:5" x14ac:dyDescent="0.2">
      <c r="A6441" s="126">
        <v>6380</v>
      </c>
      <c r="B6441" s="1821"/>
      <c r="D6441" s="2" t="str">
        <f t="shared" si="99"/>
        <v>OK</v>
      </c>
      <c r="E6441" s="4" t="s">
        <v>1988</v>
      </c>
    </row>
    <row r="6442" spans="1:5" x14ac:dyDescent="0.2">
      <c r="A6442" s="126">
        <v>6381</v>
      </c>
      <c r="B6442" s="1821"/>
      <c r="D6442" s="2" t="str">
        <f t="shared" si="99"/>
        <v>OK</v>
      </c>
      <c r="E6442" s="4" t="s">
        <v>1988</v>
      </c>
    </row>
    <row r="6443" spans="1:5" x14ac:dyDescent="0.2">
      <c r="A6443" s="126">
        <v>6382</v>
      </c>
      <c r="B6443" s="1821"/>
      <c r="D6443" s="2" t="str">
        <f t="shared" si="99"/>
        <v>OK</v>
      </c>
      <c r="E6443" s="4" t="s">
        <v>1988</v>
      </c>
    </row>
    <row r="6444" spans="1:5" x14ac:dyDescent="0.2">
      <c r="A6444" s="126">
        <v>6383</v>
      </c>
      <c r="B6444" s="1821"/>
      <c r="D6444" s="2" t="str">
        <f t="shared" si="99"/>
        <v>OK</v>
      </c>
      <c r="E6444" s="4" t="s">
        <v>1988</v>
      </c>
    </row>
    <row r="6445" spans="1:5" x14ac:dyDescent="0.2">
      <c r="A6445" s="126">
        <v>6384</v>
      </c>
      <c r="B6445" s="1821"/>
      <c r="D6445" s="2" t="str">
        <f t="shared" si="99"/>
        <v>OK</v>
      </c>
      <c r="E6445" s="4" t="s">
        <v>1988</v>
      </c>
    </row>
    <row r="6446" spans="1:5" x14ac:dyDescent="0.2">
      <c r="A6446" s="126">
        <v>6385</v>
      </c>
      <c r="B6446" s="1821"/>
      <c r="D6446" s="2" t="str">
        <f t="shared" si="99"/>
        <v>OK</v>
      </c>
      <c r="E6446" s="4" t="s">
        <v>1988</v>
      </c>
    </row>
    <row r="6447" spans="1:5" x14ac:dyDescent="0.2">
      <c r="A6447" s="126">
        <v>6386</v>
      </c>
      <c r="B6447" s="1821"/>
      <c r="D6447" s="2" t="str">
        <f t="shared" si="99"/>
        <v>OK</v>
      </c>
      <c r="E6447" s="4" t="s">
        <v>1988</v>
      </c>
    </row>
    <row r="6448" spans="1:5" x14ac:dyDescent="0.2">
      <c r="A6448" s="126">
        <v>6387</v>
      </c>
      <c r="B6448" s="1821"/>
      <c r="D6448" s="2" t="str">
        <f t="shared" si="99"/>
        <v>OK</v>
      </c>
      <c r="E6448" s="4" t="s">
        <v>1988</v>
      </c>
    </row>
    <row r="6449" spans="1:5" x14ac:dyDescent="0.2">
      <c r="A6449" s="126">
        <v>6388</v>
      </c>
      <c r="B6449" s="1821"/>
      <c r="D6449" s="2" t="str">
        <f t="shared" si="99"/>
        <v>OK</v>
      </c>
      <c r="E6449" s="4" t="s">
        <v>1988</v>
      </c>
    </row>
    <row r="6450" spans="1:5" x14ac:dyDescent="0.2">
      <c r="A6450" s="126">
        <v>6389</v>
      </c>
      <c r="B6450" s="1821"/>
      <c r="D6450" s="2" t="str">
        <f t="shared" si="99"/>
        <v>OK</v>
      </c>
      <c r="E6450" s="4" t="s">
        <v>1988</v>
      </c>
    </row>
    <row r="6451" spans="1:5" x14ac:dyDescent="0.2">
      <c r="A6451" s="126">
        <v>6390</v>
      </c>
      <c r="B6451" s="1821"/>
      <c r="D6451" s="2" t="str">
        <f t="shared" si="99"/>
        <v>OK</v>
      </c>
      <c r="E6451" s="4" t="s">
        <v>1988</v>
      </c>
    </row>
    <row r="6452" spans="1:5" x14ac:dyDescent="0.2">
      <c r="A6452" s="126">
        <v>6391</v>
      </c>
      <c r="B6452" s="1821"/>
      <c r="D6452" s="2" t="str">
        <f t="shared" si="99"/>
        <v>OK</v>
      </c>
      <c r="E6452" s="4" t="s">
        <v>1988</v>
      </c>
    </row>
    <row r="6453" spans="1:5" x14ac:dyDescent="0.2">
      <c r="A6453" s="126">
        <v>6392</v>
      </c>
      <c r="B6453" s="1821"/>
      <c r="D6453" s="2" t="str">
        <f t="shared" si="99"/>
        <v>OK</v>
      </c>
      <c r="E6453" s="4" t="s">
        <v>1988</v>
      </c>
    </row>
    <row r="6454" spans="1:5" x14ac:dyDescent="0.2">
      <c r="A6454" s="126">
        <v>6393</v>
      </c>
      <c r="B6454" s="1821"/>
      <c r="D6454" s="2" t="str">
        <f t="shared" si="99"/>
        <v>OK</v>
      </c>
      <c r="E6454" s="4" t="s">
        <v>1988</v>
      </c>
    </row>
    <row r="6455" spans="1:5" x14ac:dyDescent="0.2">
      <c r="A6455" s="126">
        <v>6394</v>
      </c>
      <c r="B6455" s="1821"/>
      <c r="D6455" s="2" t="str">
        <f t="shared" si="99"/>
        <v>OK</v>
      </c>
      <c r="E6455" s="4" t="s">
        <v>1988</v>
      </c>
    </row>
    <row r="6456" spans="1:5" x14ac:dyDescent="0.2">
      <c r="A6456" s="126">
        <v>6395</v>
      </c>
      <c r="B6456" s="1821"/>
      <c r="D6456" s="2" t="str">
        <f t="shared" si="99"/>
        <v>OK</v>
      </c>
      <c r="E6456" s="4" t="s">
        <v>1988</v>
      </c>
    </row>
    <row r="6457" spans="1:5" x14ac:dyDescent="0.2">
      <c r="A6457" s="126">
        <v>6396</v>
      </c>
      <c r="B6457" s="1821"/>
      <c r="D6457" s="2" t="str">
        <f t="shared" si="99"/>
        <v>OK</v>
      </c>
      <c r="E6457" s="4" t="s">
        <v>1988</v>
      </c>
    </row>
    <row r="6458" spans="1:5" x14ac:dyDescent="0.2">
      <c r="A6458" s="126">
        <v>6397</v>
      </c>
      <c r="B6458" s="1821"/>
      <c r="D6458" s="2" t="str">
        <f t="shared" si="99"/>
        <v>OK</v>
      </c>
      <c r="E6458" s="4" t="s">
        <v>1988</v>
      </c>
    </row>
    <row r="6459" spans="1:5" x14ac:dyDescent="0.2">
      <c r="A6459" s="126">
        <v>6398</v>
      </c>
      <c r="B6459" s="1821"/>
      <c r="D6459" s="2" t="str">
        <f t="shared" si="99"/>
        <v>OK</v>
      </c>
      <c r="E6459" s="4" t="s">
        <v>1988</v>
      </c>
    </row>
    <row r="6460" spans="1:5" x14ac:dyDescent="0.2">
      <c r="A6460" s="126">
        <v>6399</v>
      </c>
      <c r="B6460" s="1821"/>
      <c r="D6460" s="2" t="str">
        <f t="shared" si="99"/>
        <v>OK</v>
      </c>
      <c r="E6460" s="4" t="s">
        <v>1988</v>
      </c>
    </row>
    <row r="6461" spans="1:5" x14ac:dyDescent="0.2">
      <c r="A6461" s="126">
        <v>6400</v>
      </c>
      <c r="B6461" s="1821"/>
      <c r="D6461" s="2" t="str">
        <f t="shared" si="99"/>
        <v>OK</v>
      </c>
      <c r="E6461" s="4" t="s">
        <v>1988</v>
      </c>
    </row>
    <row r="6462" spans="1:5" x14ac:dyDescent="0.2">
      <c r="A6462" s="126">
        <v>6401</v>
      </c>
      <c r="B6462" s="1821"/>
      <c r="D6462" s="2" t="str">
        <f t="shared" si="99"/>
        <v>OK</v>
      </c>
      <c r="E6462" s="4" t="s">
        <v>1988</v>
      </c>
    </row>
    <row r="6463" spans="1:5" x14ac:dyDescent="0.2">
      <c r="A6463" s="126">
        <v>6402</v>
      </c>
      <c r="B6463" s="1821"/>
      <c r="D6463" s="2" t="str">
        <f t="shared" ref="D6463:D6526" si="100">IF(ISBLANK(B6463),"OK",IF(A6463-B6463=0,"OK","Error?"))</f>
        <v>OK</v>
      </c>
      <c r="E6463" s="4" t="s">
        <v>1988</v>
      </c>
    </row>
    <row r="6464" spans="1:5" x14ac:dyDescent="0.2">
      <c r="A6464" s="126">
        <v>6403</v>
      </c>
      <c r="B6464" s="1821"/>
      <c r="D6464" s="2" t="str">
        <f t="shared" si="100"/>
        <v>OK</v>
      </c>
      <c r="E6464" s="4" t="s">
        <v>1988</v>
      </c>
    </row>
    <row r="6465" spans="1:5" x14ac:dyDescent="0.2">
      <c r="A6465" s="126">
        <v>6404</v>
      </c>
      <c r="B6465" s="1821"/>
      <c r="D6465" s="2" t="str">
        <f t="shared" si="100"/>
        <v>OK</v>
      </c>
      <c r="E6465" s="4" t="s">
        <v>1988</v>
      </c>
    </row>
    <row r="6466" spans="1:5" x14ac:dyDescent="0.2">
      <c r="A6466" s="126">
        <v>6405</v>
      </c>
      <c r="B6466" s="1821"/>
      <c r="D6466" s="2" t="str">
        <f t="shared" si="100"/>
        <v>OK</v>
      </c>
      <c r="E6466" s="4" t="s">
        <v>1988</v>
      </c>
    </row>
    <row r="6467" spans="1:5" x14ac:dyDescent="0.2">
      <c r="A6467" s="126">
        <v>6406</v>
      </c>
      <c r="B6467" s="1821"/>
      <c r="D6467" s="2" t="str">
        <f t="shared" si="100"/>
        <v>OK</v>
      </c>
      <c r="E6467" s="4" t="s">
        <v>1988</v>
      </c>
    </row>
    <row r="6468" spans="1:5" x14ac:dyDescent="0.2">
      <c r="A6468" s="126">
        <v>6407</v>
      </c>
      <c r="B6468" s="1821"/>
      <c r="D6468" s="2" t="str">
        <f t="shared" si="100"/>
        <v>OK</v>
      </c>
      <c r="E6468" s="4" t="s">
        <v>1988</v>
      </c>
    </row>
    <row r="6469" spans="1:5" x14ac:dyDescent="0.2">
      <c r="A6469" s="126">
        <v>6408</v>
      </c>
      <c r="B6469" s="1821"/>
      <c r="D6469" s="2" t="str">
        <f t="shared" si="100"/>
        <v>OK</v>
      </c>
      <c r="E6469" s="4" t="s">
        <v>1988</v>
      </c>
    </row>
    <row r="6470" spans="1:5" x14ac:dyDescent="0.2">
      <c r="A6470" s="126">
        <v>6409</v>
      </c>
      <c r="B6470" s="1821"/>
      <c r="D6470" s="2" t="str">
        <f t="shared" si="100"/>
        <v>OK</v>
      </c>
      <c r="E6470" s="4" t="s">
        <v>1988</v>
      </c>
    </row>
    <row r="6471" spans="1:5" x14ac:dyDescent="0.2">
      <c r="A6471" s="126">
        <v>6410</v>
      </c>
      <c r="B6471" s="1821"/>
      <c r="D6471" s="2" t="str">
        <f t="shared" si="100"/>
        <v>OK</v>
      </c>
      <c r="E6471" s="4" t="s">
        <v>1988</v>
      </c>
    </row>
    <row r="6472" spans="1:5" x14ac:dyDescent="0.2">
      <c r="A6472" s="126">
        <v>6411</v>
      </c>
      <c r="B6472" s="1821"/>
      <c r="D6472" s="2" t="str">
        <f t="shared" si="100"/>
        <v>OK</v>
      </c>
      <c r="E6472" s="4" t="s">
        <v>1988</v>
      </c>
    </row>
    <row r="6473" spans="1:5" x14ac:dyDescent="0.2">
      <c r="A6473" s="126">
        <v>6412</v>
      </c>
      <c r="B6473" s="1821"/>
      <c r="D6473" s="2" t="str">
        <f t="shared" si="100"/>
        <v>OK</v>
      </c>
      <c r="E6473" s="4" t="s">
        <v>1988</v>
      </c>
    </row>
    <row r="6474" spans="1:5" x14ac:dyDescent="0.2">
      <c r="A6474" s="126">
        <v>6413</v>
      </c>
      <c r="B6474" s="1821"/>
      <c r="D6474" s="2" t="str">
        <f t="shared" si="100"/>
        <v>OK</v>
      </c>
      <c r="E6474" s="4" t="s">
        <v>1988</v>
      </c>
    </row>
    <row r="6475" spans="1:5" x14ac:dyDescent="0.2">
      <c r="A6475" s="126">
        <v>6414</v>
      </c>
      <c r="B6475" s="1821"/>
      <c r="D6475" s="2" t="str">
        <f t="shared" si="100"/>
        <v>OK</v>
      </c>
      <c r="E6475" s="4" t="s">
        <v>1988</v>
      </c>
    </row>
    <row r="6476" spans="1:5" x14ac:dyDescent="0.2">
      <c r="A6476" s="126">
        <v>6415</v>
      </c>
      <c r="B6476" s="1821"/>
      <c r="D6476" s="2" t="str">
        <f t="shared" si="100"/>
        <v>OK</v>
      </c>
      <c r="E6476" s="4" t="s">
        <v>1988</v>
      </c>
    </row>
    <row r="6477" spans="1:5" x14ac:dyDescent="0.2">
      <c r="A6477" s="126">
        <v>6416</v>
      </c>
      <c r="B6477" s="1821"/>
      <c r="D6477" s="2" t="str">
        <f t="shared" si="100"/>
        <v>OK</v>
      </c>
      <c r="E6477" s="4" t="s">
        <v>1988</v>
      </c>
    </row>
    <row r="6478" spans="1:5" x14ac:dyDescent="0.2">
      <c r="A6478" s="126">
        <v>6417</v>
      </c>
      <c r="B6478" s="1821"/>
      <c r="D6478" s="2" t="str">
        <f t="shared" si="100"/>
        <v>OK</v>
      </c>
      <c r="E6478" s="4" t="s">
        <v>1988</v>
      </c>
    </row>
    <row r="6479" spans="1:5" x14ac:dyDescent="0.2">
      <c r="A6479" s="126">
        <v>6418</v>
      </c>
      <c r="B6479" s="1821"/>
      <c r="D6479" s="2" t="str">
        <f t="shared" si="100"/>
        <v>OK</v>
      </c>
      <c r="E6479" s="4" t="s">
        <v>1988</v>
      </c>
    </row>
    <row r="6480" spans="1:5" x14ac:dyDescent="0.2">
      <c r="A6480" s="126">
        <v>6419</v>
      </c>
      <c r="B6480" s="1821"/>
      <c r="D6480" s="2" t="str">
        <f t="shared" si="100"/>
        <v>OK</v>
      </c>
      <c r="E6480" s="4" t="s">
        <v>1988</v>
      </c>
    </row>
    <row r="6481" spans="1:5" x14ac:dyDescent="0.2">
      <c r="A6481" s="126">
        <v>6420</v>
      </c>
      <c r="B6481" s="1821"/>
      <c r="D6481" s="2" t="str">
        <f t="shared" si="100"/>
        <v>OK</v>
      </c>
      <c r="E6481" s="4" t="s">
        <v>1988</v>
      </c>
    </row>
    <row r="6482" spans="1:5" x14ac:dyDescent="0.2">
      <c r="A6482" s="126">
        <v>6421</v>
      </c>
      <c r="B6482" s="1821"/>
      <c r="D6482" s="2" t="str">
        <f t="shared" si="100"/>
        <v>OK</v>
      </c>
      <c r="E6482" s="4" t="s">
        <v>1988</v>
      </c>
    </row>
    <row r="6483" spans="1:5" x14ac:dyDescent="0.2">
      <c r="A6483" s="126">
        <v>6422</v>
      </c>
      <c r="B6483" s="1821"/>
      <c r="D6483" s="2" t="str">
        <f t="shared" si="100"/>
        <v>OK</v>
      </c>
      <c r="E6483" s="4" t="s">
        <v>1988</v>
      </c>
    </row>
    <row r="6484" spans="1:5" x14ac:dyDescent="0.2">
      <c r="A6484" s="126">
        <v>6423</v>
      </c>
      <c r="B6484" s="1821"/>
      <c r="D6484" s="2" t="str">
        <f t="shared" si="100"/>
        <v>OK</v>
      </c>
      <c r="E6484" s="4" t="s">
        <v>1988</v>
      </c>
    </row>
    <row r="6485" spans="1:5" x14ac:dyDescent="0.2">
      <c r="A6485" s="126">
        <v>6424</v>
      </c>
      <c r="B6485" s="1821"/>
      <c r="D6485" s="2" t="str">
        <f t="shared" si="100"/>
        <v>OK</v>
      </c>
      <c r="E6485" s="4" t="s">
        <v>1988</v>
      </c>
    </row>
    <row r="6486" spans="1:5" x14ac:dyDescent="0.2">
      <c r="A6486" s="126">
        <v>6425</v>
      </c>
      <c r="B6486" s="1821"/>
      <c r="D6486" s="2" t="str">
        <f t="shared" si="100"/>
        <v>OK</v>
      </c>
      <c r="E6486" s="4" t="s">
        <v>1988</v>
      </c>
    </row>
    <row r="6487" spans="1:5" x14ac:dyDescent="0.2">
      <c r="A6487" s="126">
        <v>6426</v>
      </c>
      <c r="B6487" s="1821"/>
      <c r="D6487" s="2" t="str">
        <f t="shared" si="100"/>
        <v>OK</v>
      </c>
      <c r="E6487" s="4" t="s">
        <v>1988</v>
      </c>
    </row>
    <row r="6488" spans="1:5" x14ac:dyDescent="0.2">
      <c r="A6488" s="126">
        <v>6427</v>
      </c>
      <c r="B6488" s="1821"/>
      <c r="D6488" s="2" t="str">
        <f t="shared" si="100"/>
        <v>OK</v>
      </c>
      <c r="E6488" s="4" t="s">
        <v>1988</v>
      </c>
    </row>
    <row r="6489" spans="1:5" x14ac:dyDescent="0.2">
      <c r="A6489" s="126">
        <v>6428</v>
      </c>
      <c r="B6489" s="1821"/>
      <c r="D6489" s="2" t="str">
        <f t="shared" si="100"/>
        <v>OK</v>
      </c>
      <c r="E6489" s="4" t="s">
        <v>1988</v>
      </c>
    </row>
    <row r="6490" spans="1:5" x14ac:dyDescent="0.2">
      <c r="A6490" s="126">
        <v>6429</v>
      </c>
      <c r="B6490" s="1821"/>
      <c r="D6490" s="2" t="str">
        <f t="shared" si="100"/>
        <v>OK</v>
      </c>
      <c r="E6490" s="4" t="s">
        <v>1988</v>
      </c>
    </row>
    <row r="6491" spans="1:5" x14ac:dyDescent="0.2">
      <c r="A6491" s="126">
        <v>6430</v>
      </c>
      <c r="B6491" s="1821"/>
      <c r="D6491" s="2" t="str">
        <f t="shared" si="100"/>
        <v>OK</v>
      </c>
      <c r="E6491" s="4" t="s">
        <v>1988</v>
      </c>
    </row>
    <row r="6492" spans="1:5" x14ac:dyDescent="0.2">
      <c r="A6492" s="126">
        <v>6431</v>
      </c>
      <c r="B6492" s="1821"/>
      <c r="D6492" s="2" t="str">
        <f t="shared" si="100"/>
        <v>OK</v>
      </c>
      <c r="E6492" s="4" t="s">
        <v>1988</v>
      </c>
    </row>
    <row r="6493" spans="1:5" x14ac:dyDescent="0.2">
      <c r="A6493" s="126">
        <v>6432</v>
      </c>
      <c r="B6493" s="1821"/>
      <c r="D6493" s="2" t="str">
        <f t="shared" si="100"/>
        <v>OK</v>
      </c>
      <c r="E6493" s="4" t="s">
        <v>1988</v>
      </c>
    </row>
    <row r="6494" spans="1:5" x14ac:dyDescent="0.2">
      <c r="A6494" s="126">
        <v>6433</v>
      </c>
      <c r="B6494" s="1821"/>
      <c r="D6494" s="2" t="str">
        <f t="shared" si="100"/>
        <v>OK</v>
      </c>
      <c r="E6494" s="4" t="s">
        <v>1988</v>
      </c>
    </row>
    <row r="6495" spans="1:5" x14ac:dyDescent="0.2">
      <c r="A6495" s="126">
        <v>6434</v>
      </c>
      <c r="B6495" s="1821"/>
      <c r="D6495" s="2" t="str">
        <f t="shared" si="100"/>
        <v>OK</v>
      </c>
      <c r="E6495" s="4" t="s">
        <v>1988</v>
      </c>
    </row>
    <row r="6496" spans="1:5" x14ac:dyDescent="0.2">
      <c r="A6496" s="126">
        <v>6435</v>
      </c>
      <c r="B6496" s="1821"/>
      <c r="D6496" s="2" t="str">
        <f t="shared" si="100"/>
        <v>OK</v>
      </c>
      <c r="E6496" s="4" t="s">
        <v>1988</v>
      </c>
    </row>
    <row r="6497" spans="1:5" x14ac:dyDescent="0.2">
      <c r="A6497" s="126">
        <v>6436</v>
      </c>
      <c r="B6497" s="1821"/>
      <c r="D6497" s="2" t="str">
        <f t="shared" si="100"/>
        <v>OK</v>
      </c>
      <c r="E6497" s="4" t="s">
        <v>1988</v>
      </c>
    </row>
    <row r="6498" spans="1:5" x14ac:dyDescent="0.2">
      <c r="A6498" s="126">
        <v>6437</v>
      </c>
      <c r="B6498" s="1821"/>
      <c r="D6498" s="2" t="str">
        <f t="shared" si="100"/>
        <v>OK</v>
      </c>
      <c r="E6498" s="4" t="s">
        <v>1988</v>
      </c>
    </row>
    <row r="6499" spans="1:5" x14ac:dyDescent="0.2">
      <c r="A6499" s="126">
        <v>6438</v>
      </c>
      <c r="B6499" s="1821"/>
      <c r="D6499" s="2" t="str">
        <f t="shared" si="100"/>
        <v>OK</v>
      </c>
      <c r="E6499" s="4" t="s">
        <v>1988</v>
      </c>
    </row>
    <row r="6500" spans="1:5" x14ac:dyDescent="0.2">
      <c r="A6500" s="126">
        <v>6439</v>
      </c>
      <c r="B6500" s="1821"/>
      <c r="D6500" s="2" t="str">
        <f t="shared" si="100"/>
        <v>OK</v>
      </c>
      <c r="E6500" s="4" t="s">
        <v>1988</v>
      </c>
    </row>
    <row r="6501" spans="1:5" x14ac:dyDescent="0.2">
      <c r="A6501" s="126">
        <v>6440</v>
      </c>
      <c r="B6501" s="1821"/>
      <c r="D6501" s="2" t="str">
        <f t="shared" si="100"/>
        <v>OK</v>
      </c>
      <c r="E6501" s="4" t="s">
        <v>1988</v>
      </c>
    </row>
    <row r="6502" spans="1:5" x14ac:dyDescent="0.2">
      <c r="A6502" s="126">
        <v>6441</v>
      </c>
      <c r="B6502" s="1821"/>
      <c r="D6502" s="2" t="str">
        <f t="shared" si="100"/>
        <v>OK</v>
      </c>
      <c r="E6502" s="4" t="s">
        <v>1988</v>
      </c>
    </row>
    <row r="6503" spans="1:5" x14ac:dyDescent="0.2">
      <c r="A6503" s="126">
        <v>6442</v>
      </c>
      <c r="B6503" s="1821"/>
      <c r="D6503" s="2" t="str">
        <f t="shared" si="100"/>
        <v>OK</v>
      </c>
      <c r="E6503" s="4" t="s">
        <v>1988</v>
      </c>
    </row>
    <row r="6504" spans="1:5" x14ac:dyDescent="0.2">
      <c r="A6504" s="126">
        <v>6443</v>
      </c>
      <c r="B6504" s="1821"/>
      <c r="D6504" s="2" t="str">
        <f t="shared" si="100"/>
        <v>OK</v>
      </c>
      <c r="E6504" s="4" t="s">
        <v>1988</v>
      </c>
    </row>
    <row r="6505" spans="1:5" x14ac:dyDescent="0.2">
      <c r="A6505" s="126">
        <v>6444</v>
      </c>
      <c r="B6505" s="1821"/>
      <c r="D6505" s="2" t="str">
        <f t="shared" si="100"/>
        <v>OK</v>
      </c>
      <c r="E6505" s="4" t="s">
        <v>1988</v>
      </c>
    </row>
    <row r="6506" spans="1:5" x14ac:dyDescent="0.2">
      <c r="A6506" s="126">
        <v>6445</v>
      </c>
      <c r="B6506" s="1821"/>
      <c r="D6506" s="2" t="str">
        <f t="shared" si="100"/>
        <v>OK</v>
      </c>
      <c r="E6506" s="4" t="s">
        <v>1988</v>
      </c>
    </row>
    <row r="6507" spans="1:5" x14ac:dyDescent="0.2">
      <c r="A6507" s="126">
        <v>6446</v>
      </c>
      <c r="B6507" s="1821"/>
      <c r="D6507" s="2" t="str">
        <f t="shared" si="100"/>
        <v>OK</v>
      </c>
      <c r="E6507" s="4" t="s">
        <v>1988</v>
      </c>
    </row>
    <row r="6508" spans="1:5" x14ac:dyDescent="0.2">
      <c r="A6508" s="126">
        <v>6447</v>
      </c>
      <c r="B6508" s="1821"/>
      <c r="D6508" s="2" t="str">
        <f t="shared" si="100"/>
        <v>OK</v>
      </c>
      <c r="E6508" s="4" t="s">
        <v>1988</v>
      </c>
    </row>
    <row r="6509" spans="1:5" x14ac:dyDescent="0.2">
      <c r="A6509" s="126">
        <v>6448</v>
      </c>
      <c r="B6509" s="1821"/>
      <c r="D6509" s="2" t="str">
        <f t="shared" si="100"/>
        <v>OK</v>
      </c>
      <c r="E6509" s="4" t="s">
        <v>1988</v>
      </c>
    </row>
    <row r="6510" spans="1:5" x14ac:dyDescent="0.2">
      <c r="A6510" s="126">
        <v>6449</v>
      </c>
      <c r="B6510" s="1821"/>
      <c r="D6510" s="2" t="str">
        <f t="shared" si="100"/>
        <v>OK</v>
      </c>
      <c r="E6510" s="4" t="s">
        <v>1988</v>
      </c>
    </row>
    <row r="6511" spans="1:5" x14ac:dyDescent="0.2">
      <c r="A6511" s="126">
        <v>6450</v>
      </c>
      <c r="B6511" s="1821"/>
      <c r="D6511" s="2" t="str">
        <f t="shared" si="100"/>
        <v>OK</v>
      </c>
      <c r="E6511" s="4" t="s">
        <v>1988</v>
      </c>
    </row>
    <row r="6512" spans="1:5" x14ac:dyDescent="0.2">
      <c r="A6512" s="126">
        <v>6451</v>
      </c>
      <c r="B6512" s="1821"/>
      <c r="D6512" s="2" t="str">
        <f t="shared" si="100"/>
        <v>OK</v>
      </c>
      <c r="E6512" s="4" t="s">
        <v>1988</v>
      </c>
    </row>
    <row r="6513" spans="1:5" x14ac:dyDescent="0.2">
      <c r="A6513" s="126">
        <v>6452</v>
      </c>
      <c r="B6513" s="1821"/>
      <c r="D6513" s="2" t="str">
        <f t="shared" si="100"/>
        <v>OK</v>
      </c>
      <c r="E6513" s="4" t="s">
        <v>1988</v>
      </c>
    </row>
    <row r="6514" spans="1:5" x14ac:dyDescent="0.2">
      <c r="A6514" s="126">
        <v>6453</v>
      </c>
      <c r="B6514" s="1821"/>
      <c r="D6514" s="2" t="str">
        <f t="shared" si="100"/>
        <v>OK</v>
      </c>
      <c r="E6514" s="4" t="s">
        <v>1988</v>
      </c>
    </row>
    <row r="6515" spans="1:5" x14ac:dyDescent="0.2">
      <c r="A6515" s="126">
        <v>6454</v>
      </c>
      <c r="B6515" s="1821"/>
      <c r="D6515" s="2" t="str">
        <f t="shared" si="100"/>
        <v>OK</v>
      </c>
      <c r="E6515" s="4" t="s">
        <v>1988</v>
      </c>
    </row>
    <row r="6516" spans="1:5" x14ac:dyDescent="0.2">
      <c r="A6516" s="126">
        <v>6455</v>
      </c>
      <c r="B6516" s="1821"/>
      <c r="D6516" s="2" t="str">
        <f t="shared" si="100"/>
        <v>OK</v>
      </c>
      <c r="E6516" s="4" t="s">
        <v>1988</v>
      </c>
    </row>
    <row r="6517" spans="1:5" x14ac:dyDescent="0.2">
      <c r="A6517" s="126">
        <v>6456</v>
      </c>
      <c r="B6517" s="1821"/>
      <c r="D6517" s="2" t="str">
        <f t="shared" si="100"/>
        <v>OK</v>
      </c>
      <c r="E6517" s="4" t="s">
        <v>1988</v>
      </c>
    </row>
    <row r="6518" spans="1:5" x14ac:dyDescent="0.2">
      <c r="A6518" s="126">
        <v>6457</v>
      </c>
      <c r="B6518" s="1821"/>
      <c r="D6518" s="2" t="str">
        <f t="shared" si="100"/>
        <v>OK</v>
      </c>
      <c r="E6518" s="4" t="s">
        <v>1988</v>
      </c>
    </row>
    <row r="6519" spans="1:5" x14ac:dyDescent="0.2">
      <c r="A6519" s="126">
        <v>6458</v>
      </c>
      <c r="B6519" s="1821"/>
      <c r="D6519" s="2" t="str">
        <f t="shared" si="100"/>
        <v>OK</v>
      </c>
      <c r="E6519" s="4" t="s">
        <v>1988</v>
      </c>
    </row>
    <row r="6520" spans="1:5" x14ac:dyDescent="0.2">
      <c r="A6520" s="126">
        <v>6459</v>
      </c>
      <c r="B6520" s="1821"/>
      <c r="D6520" s="2" t="str">
        <f t="shared" si="100"/>
        <v>OK</v>
      </c>
      <c r="E6520" s="4" t="s">
        <v>1988</v>
      </c>
    </row>
    <row r="6521" spans="1:5" x14ac:dyDescent="0.2">
      <c r="A6521" s="126">
        <v>6460</v>
      </c>
      <c r="B6521" s="1821"/>
      <c r="D6521" s="2" t="str">
        <f t="shared" si="100"/>
        <v>OK</v>
      </c>
      <c r="E6521" s="4" t="s">
        <v>1988</v>
      </c>
    </row>
    <row r="6522" spans="1:5" x14ac:dyDescent="0.2">
      <c r="A6522" s="126">
        <v>6461</v>
      </c>
      <c r="B6522" s="1821"/>
      <c r="D6522" s="2" t="str">
        <f t="shared" si="100"/>
        <v>OK</v>
      </c>
      <c r="E6522" s="4" t="s">
        <v>1988</v>
      </c>
    </row>
    <row r="6523" spans="1:5" x14ac:dyDescent="0.2">
      <c r="A6523" s="126">
        <v>6462</v>
      </c>
      <c r="B6523" s="1821"/>
      <c r="D6523" s="2" t="str">
        <f t="shared" si="100"/>
        <v>OK</v>
      </c>
      <c r="E6523" s="4" t="s">
        <v>1988</v>
      </c>
    </row>
    <row r="6524" spans="1:5" x14ac:dyDescent="0.2">
      <c r="A6524" s="126">
        <v>6463</v>
      </c>
      <c r="B6524" s="1821"/>
      <c r="D6524" s="2" t="str">
        <f t="shared" si="100"/>
        <v>OK</v>
      </c>
      <c r="E6524" s="4" t="s">
        <v>1988</v>
      </c>
    </row>
    <row r="6525" spans="1:5" x14ac:dyDescent="0.2">
      <c r="A6525" s="126">
        <v>6464</v>
      </c>
      <c r="B6525" s="1821"/>
      <c r="D6525" s="2" t="str">
        <f t="shared" si="100"/>
        <v>OK</v>
      </c>
      <c r="E6525" s="4" t="s">
        <v>1988</v>
      </c>
    </row>
    <row r="6526" spans="1:5" x14ac:dyDescent="0.2">
      <c r="A6526" s="126">
        <v>6465</v>
      </c>
      <c r="B6526" s="1821"/>
      <c r="D6526" s="2" t="str">
        <f t="shared" si="100"/>
        <v>OK</v>
      </c>
      <c r="E6526" s="4" t="s">
        <v>1988</v>
      </c>
    </row>
    <row r="6527" spans="1:5" x14ac:dyDescent="0.2">
      <c r="A6527" s="126">
        <v>6466</v>
      </c>
      <c r="B6527" s="1821"/>
      <c r="D6527" s="2" t="str">
        <f t="shared" ref="D6527:D6590" si="101">IF(ISBLANK(B6527),"OK",IF(A6527-B6527=0,"OK","Error?"))</f>
        <v>OK</v>
      </c>
      <c r="E6527" s="4" t="s">
        <v>1988</v>
      </c>
    </row>
    <row r="6528" spans="1:5" x14ac:dyDescent="0.2">
      <c r="A6528" s="126">
        <v>6467</v>
      </c>
      <c r="B6528" s="1821"/>
      <c r="D6528" s="2" t="str">
        <f t="shared" si="101"/>
        <v>OK</v>
      </c>
      <c r="E6528" s="4" t="s">
        <v>1988</v>
      </c>
    </row>
    <row r="6529" spans="1:5" x14ac:dyDescent="0.2">
      <c r="A6529" s="126">
        <v>6468</v>
      </c>
      <c r="B6529" s="1821"/>
      <c r="D6529" s="2" t="str">
        <f t="shared" si="101"/>
        <v>OK</v>
      </c>
      <c r="E6529" s="4" t="s">
        <v>1988</v>
      </c>
    </row>
    <row r="6530" spans="1:5" x14ac:dyDescent="0.2">
      <c r="A6530" s="126">
        <v>6469</v>
      </c>
      <c r="B6530" s="1821"/>
      <c r="D6530" s="2" t="str">
        <f t="shared" si="101"/>
        <v>OK</v>
      </c>
      <c r="E6530" s="4" t="s">
        <v>1988</v>
      </c>
    </row>
    <row r="6531" spans="1:5" x14ac:dyDescent="0.2">
      <c r="A6531" s="126">
        <v>6470</v>
      </c>
      <c r="B6531" s="1821"/>
      <c r="D6531" s="2" t="str">
        <f t="shared" si="101"/>
        <v>OK</v>
      </c>
      <c r="E6531" s="4" t="s">
        <v>1988</v>
      </c>
    </row>
    <row r="6532" spans="1:5" x14ac:dyDescent="0.2">
      <c r="A6532" s="126">
        <v>6471</v>
      </c>
      <c r="B6532" s="1821"/>
      <c r="D6532" s="2" t="str">
        <f t="shared" si="101"/>
        <v>OK</v>
      </c>
      <c r="E6532" s="4" t="s">
        <v>1988</v>
      </c>
    </row>
    <row r="6533" spans="1:5" x14ac:dyDescent="0.2">
      <c r="A6533" s="126">
        <v>6472</v>
      </c>
      <c r="B6533" s="1821"/>
      <c r="D6533" s="2" t="str">
        <f t="shared" si="101"/>
        <v>OK</v>
      </c>
      <c r="E6533" s="4" t="s">
        <v>1988</v>
      </c>
    </row>
    <row r="6534" spans="1:5" x14ac:dyDescent="0.2">
      <c r="A6534" s="126">
        <v>6473</v>
      </c>
      <c r="B6534" s="1821"/>
      <c r="D6534" s="2" t="str">
        <f t="shared" si="101"/>
        <v>OK</v>
      </c>
      <c r="E6534" s="4" t="s">
        <v>1988</v>
      </c>
    </row>
    <row r="6535" spans="1:5" x14ac:dyDescent="0.2">
      <c r="A6535" s="126">
        <v>6474</v>
      </c>
      <c r="B6535" s="1821"/>
      <c r="D6535" s="2" t="str">
        <f t="shared" si="101"/>
        <v>OK</v>
      </c>
      <c r="E6535" s="4" t="s">
        <v>1988</v>
      </c>
    </row>
    <row r="6536" spans="1:5" x14ac:dyDescent="0.2">
      <c r="A6536" s="126">
        <v>6475</v>
      </c>
      <c r="B6536" s="1821"/>
      <c r="D6536" s="2" t="str">
        <f t="shared" si="101"/>
        <v>OK</v>
      </c>
      <c r="E6536" s="4" t="s">
        <v>1988</v>
      </c>
    </row>
    <row r="6537" spans="1:5" x14ac:dyDescent="0.2">
      <c r="A6537" s="126">
        <v>6476</v>
      </c>
      <c r="B6537" s="1821"/>
      <c r="D6537" s="2" t="str">
        <f t="shared" si="101"/>
        <v>OK</v>
      </c>
      <c r="E6537" s="4" t="s">
        <v>1988</v>
      </c>
    </row>
    <row r="6538" spans="1:5" x14ac:dyDescent="0.2">
      <c r="A6538" s="126">
        <v>6477</v>
      </c>
      <c r="B6538" s="1821"/>
      <c r="D6538" s="2" t="str">
        <f t="shared" si="101"/>
        <v>OK</v>
      </c>
      <c r="E6538" s="4" t="s">
        <v>1988</v>
      </c>
    </row>
    <row r="6539" spans="1:5" x14ac:dyDescent="0.2">
      <c r="A6539" s="126">
        <v>6478</v>
      </c>
      <c r="B6539" s="1821"/>
      <c r="D6539" s="2" t="str">
        <f t="shared" si="101"/>
        <v>OK</v>
      </c>
      <c r="E6539" s="4" t="s">
        <v>1988</v>
      </c>
    </row>
    <row r="6540" spans="1:5" x14ac:dyDescent="0.2">
      <c r="A6540" s="126">
        <v>6479</v>
      </c>
      <c r="B6540" s="1821"/>
      <c r="D6540" s="2" t="str">
        <f t="shared" si="101"/>
        <v>OK</v>
      </c>
      <c r="E6540" s="4" t="s">
        <v>1988</v>
      </c>
    </row>
    <row r="6541" spans="1:5" x14ac:dyDescent="0.2">
      <c r="A6541" s="126">
        <v>6480</v>
      </c>
      <c r="B6541" s="1821"/>
      <c r="D6541" s="2" t="str">
        <f t="shared" si="101"/>
        <v>OK</v>
      </c>
      <c r="E6541" s="4" t="s">
        <v>1988</v>
      </c>
    </row>
    <row r="6542" spans="1:5" x14ac:dyDescent="0.2">
      <c r="A6542" s="126">
        <v>6481</v>
      </c>
      <c r="B6542" s="1821"/>
      <c r="D6542" s="2" t="str">
        <f t="shared" si="101"/>
        <v>OK</v>
      </c>
      <c r="E6542" s="4" t="s">
        <v>1988</v>
      </c>
    </row>
    <row r="6543" spans="1:5" x14ac:dyDescent="0.2">
      <c r="A6543" s="126">
        <v>6482</v>
      </c>
      <c r="B6543" s="1821"/>
      <c r="D6543" s="2" t="str">
        <f t="shared" si="101"/>
        <v>OK</v>
      </c>
      <c r="E6543" s="4" t="s">
        <v>1988</v>
      </c>
    </row>
    <row r="6544" spans="1:5" x14ac:dyDescent="0.2">
      <c r="A6544" s="126">
        <v>6483</v>
      </c>
      <c r="B6544" s="1821"/>
      <c r="D6544" s="2" t="str">
        <f t="shared" si="101"/>
        <v>OK</v>
      </c>
      <c r="E6544" s="4" t="s">
        <v>1988</v>
      </c>
    </row>
    <row r="6545" spans="1:5" x14ac:dyDescent="0.2">
      <c r="A6545" s="126">
        <v>6484</v>
      </c>
      <c r="B6545" s="1821"/>
      <c r="D6545" s="2" t="str">
        <f t="shared" si="101"/>
        <v>OK</v>
      </c>
      <c r="E6545" s="4" t="s">
        <v>1988</v>
      </c>
    </row>
    <row r="6546" spans="1:5" x14ac:dyDescent="0.2">
      <c r="A6546" s="126">
        <v>6485</v>
      </c>
      <c r="B6546" s="1821"/>
      <c r="D6546" s="2" t="str">
        <f t="shared" si="101"/>
        <v>OK</v>
      </c>
      <c r="E6546" s="4" t="s">
        <v>1988</v>
      </c>
    </row>
    <row r="6547" spans="1:5" x14ac:dyDescent="0.2">
      <c r="A6547" s="126">
        <v>6486</v>
      </c>
      <c r="B6547" s="1821"/>
      <c r="D6547" s="2" t="str">
        <f t="shared" si="101"/>
        <v>OK</v>
      </c>
      <c r="E6547" s="4" t="s">
        <v>1988</v>
      </c>
    </row>
    <row r="6548" spans="1:5" x14ac:dyDescent="0.2">
      <c r="A6548" s="126">
        <v>6487</v>
      </c>
      <c r="B6548" s="1821"/>
      <c r="D6548" s="2" t="str">
        <f t="shared" si="101"/>
        <v>OK</v>
      </c>
      <c r="E6548" s="4" t="s">
        <v>1988</v>
      </c>
    </row>
    <row r="6549" spans="1:5" x14ac:dyDescent="0.2">
      <c r="A6549" s="126">
        <v>6488</v>
      </c>
      <c r="B6549" s="1821"/>
      <c r="D6549" s="2" t="str">
        <f t="shared" si="101"/>
        <v>OK</v>
      </c>
      <c r="E6549" s="4" t="s">
        <v>1988</v>
      </c>
    </row>
    <row r="6550" spans="1:5" x14ac:dyDescent="0.2">
      <c r="A6550" s="126">
        <v>6489</v>
      </c>
      <c r="B6550" s="1821"/>
      <c r="D6550" s="2" t="str">
        <f t="shared" si="101"/>
        <v>OK</v>
      </c>
      <c r="E6550" s="4" t="s">
        <v>1988</v>
      </c>
    </row>
    <row r="6551" spans="1:5" x14ac:dyDescent="0.2">
      <c r="A6551" s="126">
        <v>6490</v>
      </c>
      <c r="B6551" s="1821"/>
      <c r="D6551" s="2" t="str">
        <f t="shared" si="101"/>
        <v>OK</v>
      </c>
      <c r="E6551" s="4" t="s">
        <v>1988</v>
      </c>
    </row>
    <row r="6552" spans="1:5" x14ac:dyDescent="0.2">
      <c r="A6552" s="126">
        <v>6491</v>
      </c>
      <c r="B6552" s="1821"/>
      <c r="D6552" s="2" t="str">
        <f t="shared" si="101"/>
        <v>OK</v>
      </c>
      <c r="E6552" s="4" t="s">
        <v>1988</v>
      </c>
    </row>
    <row r="6553" spans="1:5" x14ac:dyDescent="0.2">
      <c r="A6553" s="126">
        <v>6492</v>
      </c>
      <c r="B6553" s="1821"/>
      <c r="D6553" s="2" t="str">
        <f t="shared" si="101"/>
        <v>OK</v>
      </c>
      <c r="E6553" s="4" t="s">
        <v>1988</v>
      </c>
    </row>
    <row r="6554" spans="1:5" x14ac:dyDescent="0.2">
      <c r="A6554" s="126">
        <v>6493</v>
      </c>
      <c r="B6554" s="1821"/>
      <c r="D6554" s="2" t="str">
        <f t="shared" si="101"/>
        <v>OK</v>
      </c>
      <c r="E6554" s="4" t="s">
        <v>1988</v>
      </c>
    </row>
    <row r="6555" spans="1:5" x14ac:dyDescent="0.2">
      <c r="A6555" s="126">
        <v>6494</v>
      </c>
      <c r="B6555" s="1821"/>
      <c r="D6555" s="2" t="str">
        <f t="shared" si="101"/>
        <v>OK</v>
      </c>
      <c r="E6555" s="4" t="s">
        <v>1988</v>
      </c>
    </row>
    <row r="6556" spans="1:5" x14ac:dyDescent="0.2">
      <c r="A6556" s="126">
        <v>6495</v>
      </c>
      <c r="B6556" s="1821"/>
      <c r="D6556" s="2" t="str">
        <f t="shared" si="101"/>
        <v>OK</v>
      </c>
      <c r="E6556" s="4" t="s">
        <v>1988</v>
      </c>
    </row>
    <row r="6557" spans="1:5" x14ac:dyDescent="0.2">
      <c r="A6557" s="126">
        <v>6496</v>
      </c>
      <c r="B6557" s="1821"/>
      <c r="D6557" s="2" t="str">
        <f t="shared" si="101"/>
        <v>OK</v>
      </c>
      <c r="E6557" s="4" t="s">
        <v>1988</v>
      </c>
    </row>
    <row r="6558" spans="1:5" x14ac:dyDescent="0.2">
      <c r="A6558" s="126">
        <v>6497</v>
      </c>
      <c r="B6558" s="1821"/>
      <c r="D6558" s="2" t="str">
        <f t="shared" si="101"/>
        <v>OK</v>
      </c>
      <c r="E6558" s="4" t="s">
        <v>1988</v>
      </c>
    </row>
    <row r="6559" spans="1:5" x14ac:dyDescent="0.2">
      <c r="A6559" s="126">
        <v>6498</v>
      </c>
      <c r="B6559" s="1821"/>
      <c r="D6559" s="2" t="str">
        <f t="shared" si="101"/>
        <v>OK</v>
      </c>
      <c r="E6559" s="4" t="s">
        <v>1988</v>
      </c>
    </row>
    <row r="6560" spans="1:5" x14ac:dyDescent="0.2">
      <c r="A6560" s="126">
        <v>6499</v>
      </c>
      <c r="B6560" s="1821"/>
      <c r="D6560" s="2" t="str">
        <f t="shared" si="101"/>
        <v>OK</v>
      </c>
      <c r="E6560" s="4" t="s">
        <v>1988</v>
      </c>
    </row>
    <row r="6561" spans="1:5" x14ac:dyDescent="0.2">
      <c r="A6561" s="126">
        <v>6500</v>
      </c>
      <c r="B6561" s="1821"/>
      <c r="D6561" s="2" t="str">
        <f t="shared" si="101"/>
        <v>OK</v>
      </c>
      <c r="E6561" s="4" t="s">
        <v>1988</v>
      </c>
    </row>
    <row r="6562" spans="1:5" x14ac:dyDescent="0.2">
      <c r="A6562" s="126">
        <v>6501</v>
      </c>
      <c r="B6562" s="1821"/>
      <c r="D6562" s="2" t="str">
        <f t="shared" si="101"/>
        <v>OK</v>
      </c>
      <c r="E6562" s="4" t="s">
        <v>1988</v>
      </c>
    </row>
    <row r="6563" spans="1:5" x14ac:dyDescent="0.2">
      <c r="A6563" s="126">
        <v>6502</v>
      </c>
      <c r="B6563" s="1821"/>
      <c r="D6563" s="2" t="str">
        <f t="shared" si="101"/>
        <v>OK</v>
      </c>
      <c r="E6563" s="4" t="s">
        <v>1988</v>
      </c>
    </row>
    <row r="6564" spans="1:5" x14ac:dyDescent="0.2">
      <c r="A6564" s="126">
        <v>6503</v>
      </c>
      <c r="B6564" s="1821"/>
      <c r="D6564" s="2" t="str">
        <f t="shared" si="101"/>
        <v>OK</v>
      </c>
      <c r="E6564" s="4" t="s">
        <v>1988</v>
      </c>
    </row>
    <row r="6565" spans="1:5" x14ac:dyDescent="0.2">
      <c r="A6565" s="126">
        <v>6504</v>
      </c>
      <c r="B6565" s="1821"/>
      <c r="D6565" s="2" t="str">
        <f t="shared" si="101"/>
        <v>OK</v>
      </c>
      <c r="E6565" s="4" t="s">
        <v>1988</v>
      </c>
    </row>
    <row r="6566" spans="1:5" x14ac:dyDescent="0.2">
      <c r="A6566" s="126">
        <v>6505</v>
      </c>
      <c r="B6566" s="1821"/>
      <c r="D6566" s="2" t="str">
        <f t="shared" si="101"/>
        <v>OK</v>
      </c>
      <c r="E6566" s="4" t="s">
        <v>1988</v>
      </c>
    </row>
    <row r="6567" spans="1:5" x14ac:dyDescent="0.2">
      <c r="A6567" s="126">
        <v>6506</v>
      </c>
      <c r="B6567" s="1821"/>
      <c r="D6567" s="2" t="str">
        <f t="shared" si="101"/>
        <v>OK</v>
      </c>
      <c r="E6567" s="4" t="s">
        <v>1988</v>
      </c>
    </row>
    <row r="6568" spans="1:5" x14ac:dyDescent="0.2">
      <c r="A6568" s="126">
        <v>6507</v>
      </c>
      <c r="B6568" s="1821"/>
      <c r="D6568" s="2" t="str">
        <f t="shared" si="101"/>
        <v>OK</v>
      </c>
      <c r="E6568" s="4" t="s">
        <v>1988</v>
      </c>
    </row>
    <row r="6569" spans="1:5" x14ac:dyDescent="0.2">
      <c r="A6569" s="126">
        <v>6508</v>
      </c>
      <c r="B6569" s="1821"/>
      <c r="D6569" s="2" t="str">
        <f t="shared" si="101"/>
        <v>OK</v>
      </c>
      <c r="E6569" s="4" t="s">
        <v>1988</v>
      </c>
    </row>
    <row r="6570" spans="1:5" x14ac:dyDescent="0.2">
      <c r="A6570" s="126">
        <v>6509</v>
      </c>
      <c r="B6570" s="1821"/>
      <c r="D6570" s="2" t="str">
        <f t="shared" si="101"/>
        <v>OK</v>
      </c>
      <c r="E6570" s="4" t="s">
        <v>1988</v>
      </c>
    </row>
    <row r="6571" spans="1:5" x14ac:dyDescent="0.2">
      <c r="A6571" s="126">
        <v>6510</v>
      </c>
      <c r="B6571" s="1821"/>
      <c r="D6571" s="2" t="str">
        <f t="shared" si="101"/>
        <v>OK</v>
      </c>
      <c r="E6571" s="4" t="s">
        <v>1988</v>
      </c>
    </row>
    <row r="6572" spans="1:5" x14ac:dyDescent="0.2">
      <c r="A6572" s="126">
        <v>6511</v>
      </c>
      <c r="B6572" s="1821"/>
      <c r="D6572" s="2" t="str">
        <f t="shared" si="101"/>
        <v>OK</v>
      </c>
      <c r="E6572" s="4" t="s">
        <v>1988</v>
      </c>
    </row>
    <row r="6573" spans="1:5" x14ac:dyDescent="0.2">
      <c r="A6573" s="126">
        <v>6512</v>
      </c>
      <c r="B6573" s="1821"/>
      <c r="D6573" s="2" t="str">
        <f t="shared" si="101"/>
        <v>OK</v>
      </c>
      <c r="E6573" s="4" t="s">
        <v>1988</v>
      </c>
    </row>
    <row r="6574" spans="1:5" x14ac:dyDescent="0.2">
      <c r="A6574" s="126">
        <v>6513</v>
      </c>
      <c r="B6574" s="1821"/>
      <c r="D6574" s="2" t="str">
        <f t="shared" si="101"/>
        <v>OK</v>
      </c>
      <c r="E6574" s="4" t="s">
        <v>1988</v>
      </c>
    </row>
    <row r="6575" spans="1:5" x14ac:dyDescent="0.2">
      <c r="A6575" s="126">
        <v>6514</v>
      </c>
      <c r="B6575" s="1821"/>
      <c r="D6575" s="2" t="str">
        <f t="shared" si="101"/>
        <v>OK</v>
      </c>
      <c r="E6575" s="4" t="s">
        <v>1988</v>
      </c>
    </row>
    <row r="6576" spans="1:5" x14ac:dyDescent="0.2">
      <c r="A6576" s="126">
        <v>6515</v>
      </c>
      <c r="B6576" s="1821"/>
      <c r="D6576" s="2" t="str">
        <f t="shared" si="101"/>
        <v>OK</v>
      </c>
      <c r="E6576" s="4" t="s">
        <v>1988</v>
      </c>
    </row>
    <row r="6577" spans="1:5" x14ac:dyDescent="0.2">
      <c r="A6577" s="126">
        <v>6516</v>
      </c>
      <c r="B6577" s="1821"/>
      <c r="D6577" s="2" t="str">
        <f t="shared" si="101"/>
        <v>OK</v>
      </c>
      <c r="E6577" s="4" t="s">
        <v>1988</v>
      </c>
    </row>
    <row r="6578" spans="1:5" x14ac:dyDescent="0.2">
      <c r="A6578" s="126">
        <v>6517</v>
      </c>
      <c r="B6578" s="1821"/>
      <c r="D6578" s="2" t="str">
        <f t="shared" si="101"/>
        <v>OK</v>
      </c>
      <c r="E6578" s="4" t="s">
        <v>1988</v>
      </c>
    </row>
    <row r="6579" spans="1:5" x14ac:dyDescent="0.2">
      <c r="A6579" s="126">
        <v>6518</v>
      </c>
      <c r="B6579" s="1821"/>
      <c r="D6579" s="2" t="str">
        <f t="shared" si="101"/>
        <v>OK</v>
      </c>
      <c r="E6579" s="4" t="s">
        <v>1988</v>
      </c>
    </row>
    <row r="6580" spans="1:5" x14ac:dyDescent="0.2">
      <c r="A6580" s="126">
        <v>6519</v>
      </c>
      <c r="B6580" s="1821"/>
      <c r="D6580" s="2" t="str">
        <f t="shared" si="101"/>
        <v>OK</v>
      </c>
      <c r="E6580" s="4" t="s">
        <v>1988</v>
      </c>
    </row>
    <row r="6581" spans="1:5" x14ac:dyDescent="0.2">
      <c r="A6581" s="126">
        <v>6520</v>
      </c>
      <c r="B6581" s="1821"/>
      <c r="D6581" s="2" t="str">
        <f t="shared" si="101"/>
        <v>OK</v>
      </c>
      <c r="E6581" s="4" t="s">
        <v>1988</v>
      </c>
    </row>
    <row r="6582" spans="1:5" x14ac:dyDescent="0.2">
      <c r="A6582" s="126">
        <v>6521</v>
      </c>
      <c r="B6582" s="1821"/>
      <c r="D6582" s="2" t="str">
        <f t="shared" si="101"/>
        <v>OK</v>
      </c>
      <c r="E6582" s="4" t="s">
        <v>1988</v>
      </c>
    </row>
    <row r="6583" spans="1:5" x14ac:dyDescent="0.2">
      <c r="A6583" s="126">
        <v>6522</v>
      </c>
      <c r="B6583" s="1821"/>
      <c r="D6583" s="2" t="str">
        <f t="shared" si="101"/>
        <v>OK</v>
      </c>
      <c r="E6583" s="4" t="s">
        <v>1988</v>
      </c>
    </row>
    <row r="6584" spans="1:5" x14ac:dyDescent="0.2">
      <c r="A6584" s="126">
        <v>6523</v>
      </c>
      <c r="B6584" s="1821"/>
      <c r="D6584" s="2" t="str">
        <f t="shared" si="101"/>
        <v>OK</v>
      </c>
      <c r="E6584" s="4" t="s">
        <v>1988</v>
      </c>
    </row>
    <row r="6585" spans="1:5" x14ac:dyDescent="0.2">
      <c r="A6585" s="126">
        <v>6524</v>
      </c>
      <c r="B6585" s="1821"/>
      <c r="D6585" s="2" t="str">
        <f t="shared" si="101"/>
        <v>OK</v>
      </c>
      <c r="E6585" s="4" t="s">
        <v>1988</v>
      </c>
    </row>
    <row r="6586" spans="1:5" x14ac:dyDescent="0.2">
      <c r="A6586" s="126">
        <v>6525</v>
      </c>
      <c r="B6586" s="1821"/>
      <c r="D6586" s="2" t="str">
        <f t="shared" si="101"/>
        <v>OK</v>
      </c>
      <c r="E6586" s="4" t="s">
        <v>1988</v>
      </c>
    </row>
    <row r="6587" spans="1:5" x14ac:dyDescent="0.2">
      <c r="A6587" s="126">
        <v>6526</v>
      </c>
      <c r="B6587" s="1821"/>
      <c r="D6587" s="2" t="str">
        <f t="shared" si="101"/>
        <v>OK</v>
      </c>
      <c r="E6587" s="4" t="s">
        <v>1988</v>
      </c>
    </row>
    <row r="6588" spans="1:5" x14ac:dyDescent="0.2">
      <c r="A6588" s="126">
        <v>6527</v>
      </c>
      <c r="B6588" s="1821"/>
      <c r="D6588" s="2" t="str">
        <f t="shared" si="101"/>
        <v>OK</v>
      </c>
      <c r="E6588" s="4" t="s">
        <v>1988</v>
      </c>
    </row>
    <row r="6589" spans="1:5" x14ac:dyDescent="0.2">
      <c r="A6589" s="126">
        <v>6528</v>
      </c>
      <c r="B6589" s="1821"/>
      <c r="D6589" s="2" t="str">
        <f t="shared" si="101"/>
        <v>OK</v>
      </c>
      <c r="E6589" s="4" t="s">
        <v>1988</v>
      </c>
    </row>
    <row r="6590" spans="1:5" x14ac:dyDescent="0.2">
      <c r="A6590" s="126">
        <v>6529</v>
      </c>
      <c r="B6590" s="1821"/>
      <c r="D6590" s="2" t="str">
        <f t="shared" si="101"/>
        <v>OK</v>
      </c>
      <c r="E6590" s="4" t="s">
        <v>1988</v>
      </c>
    </row>
    <row r="6591" spans="1:5" x14ac:dyDescent="0.2">
      <c r="A6591" s="126">
        <v>6530</v>
      </c>
      <c r="B6591" s="1821"/>
      <c r="D6591" s="2" t="str">
        <f t="shared" ref="D6591:D6654" si="102">IF(ISBLANK(B6591),"OK",IF(A6591-B6591=0,"OK","Error?"))</f>
        <v>OK</v>
      </c>
      <c r="E6591" s="4" t="s">
        <v>1988</v>
      </c>
    </row>
    <row r="6592" spans="1:5" x14ac:dyDescent="0.2">
      <c r="A6592" s="126">
        <v>6531</v>
      </c>
      <c r="B6592" s="1821"/>
      <c r="D6592" s="2" t="str">
        <f t="shared" si="102"/>
        <v>OK</v>
      </c>
      <c r="E6592" s="4" t="s">
        <v>1988</v>
      </c>
    </row>
    <row r="6593" spans="1:5" x14ac:dyDescent="0.2">
      <c r="A6593" s="126">
        <v>6532</v>
      </c>
      <c r="B6593" s="1821"/>
      <c r="D6593" s="2" t="str">
        <f t="shared" si="102"/>
        <v>OK</v>
      </c>
      <c r="E6593" s="4" t="s">
        <v>1988</v>
      </c>
    </row>
    <row r="6594" spans="1:5" x14ac:dyDescent="0.2">
      <c r="A6594" s="126">
        <v>6533</v>
      </c>
      <c r="B6594" s="1821"/>
      <c r="D6594" s="2" t="str">
        <f t="shared" si="102"/>
        <v>OK</v>
      </c>
      <c r="E6594" s="4" t="s">
        <v>1988</v>
      </c>
    </row>
    <row r="6595" spans="1:5" x14ac:dyDescent="0.2">
      <c r="A6595" s="126">
        <v>6534</v>
      </c>
      <c r="B6595" s="1821"/>
      <c r="D6595" s="2" t="str">
        <f t="shared" si="102"/>
        <v>OK</v>
      </c>
      <c r="E6595" s="4" t="s">
        <v>1988</v>
      </c>
    </row>
    <row r="6596" spans="1:5" x14ac:dyDescent="0.2">
      <c r="A6596" s="126">
        <v>6535</v>
      </c>
      <c r="B6596" s="1821"/>
      <c r="D6596" s="2" t="str">
        <f t="shared" si="102"/>
        <v>OK</v>
      </c>
      <c r="E6596" s="4" t="s">
        <v>1988</v>
      </c>
    </row>
    <row r="6597" spans="1:5" x14ac:dyDescent="0.2">
      <c r="A6597" s="126">
        <v>6536</v>
      </c>
      <c r="B6597" s="1821"/>
      <c r="D6597" s="2" t="str">
        <f t="shared" si="102"/>
        <v>OK</v>
      </c>
      <c r="E6597" s="4" t="s">
        <v>1988</v>
      </c>
    </row>
    <row r="6598" spans="1:5" x14ac:dyDescent="0.2">
      <c r="A6598" s="126">
        <v>6537</v>
      </c>
      <c r="B6598" s="1821"/>
      <c r="D6598" s="2" t="str">
        <f t="shared" si="102"/>
        <v>OK</v>
      </c>
      <c r="E6598" s="4" t="s">
        <v>1988</v>
      </c>
    </row>
    <row r="6599" spans="1:5" x14ac:dyDescent="0.2">
      <c r="A6599" s="126">
        <v>6538</v>
      </c>
      <c r="B6599" s="1821"/>
      <c r="D6599" s="2" t="str">
        <f t="shared" si="102"/>
        <v>OK</v>
      </c>
      <c r="E6599" s="4" t="s">
        <v>1988</v>
      </c>
    </row>
    <row r="6600" spans="1:5" x14ac:dyDescent="0.2">
      <c r="A6600" s="126">
        <v>6539</v>
      </c>
      <c r="B6600" s="1821"/>
      <c r="D6600" s="2" t="str">
        <f t="shared" si="102"/>
        <v>OK</v>
      </c>
      <c r="E6600" s="4" t="s">
        <v>1988</v>
      </c>
    </row>
    <row r="6601" spans="1:5" x14ac:dyDescent="0.2">
      <c r="A6601" s="126">
        <v>6540</v>
      </c>
      <c r="B6601" s="1821"/>
      <c r="D6601" s="2" t="str">
        <f t="shared" si="102"/>
        <v>OK</v>
      </c>
      <c r="E6601" s="4" t="s">
        <v>1988</v>
      </c>
    </row>
    <row r="6602" spans="1:5" x14ac:dyDescent="0.2">
      <c r="A6602" s="126">
        <v>6541</v>
      </c>
      <c r="B6602" s="1821"/>
      <c r="D6602" s="2" t="str">
        <f t="shared" si="102"/>
        <v>OK</v>
      </c>
      <c r="E6602" s="4" t="s">
        <v>1988</v>
      </c>
    </row>
    <row r="6603" spans="1:5" x14ac:dyDescent="0.2">
      <c r="A6603" s="126">
        <v>6542</v>
      </c>
      <c r="B6603" s="1821"/>
      <c r="D6603" s="2" t="str">
        <f t="shared" si="102"/>
        <v>OK</v>
      </c>
      <c r="E6603" s="4" t="s">
        <v>1988</v>
      </c>
    </row>
    <row r="6604" spans="1:5" x14ac:dyDescent="0.2">
      <c r="A6604" s="126">
        <v>6543</v>
      </c>
      <c r="B6604" s="1821"/>
      <c r="D6604" s="2" t="str">
        <f t="shared" si="102"/>
        <v>OK</v>
      </c>
      <c r="E6604" s="4" t="s">
        <v>1988</v>
      </c>
    </row>
    <row r="6605" spans="1:5" x14ac:dyDescent="0.2">
      <c r="A6605" s="126">
        <v>6544</v>
      </c>
      <c r="B6605" s="1821"/>
      <c r="D6605" s="2" t="str">
        <f t="shared" si="102"/>
        <v>OK</v>
      </c>
      <c r="E6605" s="4" t="s">
        <v>1988</v>
      </c>
    </row>
    <row r="6606" spans="1:5" x14ac:dyDescent="0.2">
      <c r="A6606" s="126">
        <v>6545</v>
      </c>
      <c r="B6606" s="1821"/>
      <c r="D6606" s="2" t="str">
        <f t="shared" si="102"/>
        <v>OK</v>
      </c>
      <c r="E6606" s="4" t="s">
        <v>1988</v>
      </c>
    </row>
    <row r="6607" spans="1:5" x14ac:dyDescent="0.2">
      <c r="A6607" s="126">
        <v>6546</v>
      </c>
      <c r="B6607" s="1821"/>
      <c r="D6607" s="2" t="str">
        <f t="shared" si="102"/>
        <v>OK</v>
      </c>
      <c r="E6607" s="4" t="s">
        <v>1988</v>
      </c>
    </row>
    <row r="6608" spans="1:5" x14ac:dyDescent="0.2">
      <c r="A6608" s="126">
        <v>6547</v>
      </c>
      <c r="B6608" s="1821"/>
      <c r="D6608" s="2" t="str">
        <f t="shared" si="102"/>
        <v>OK</v>
      </c>
      <c r="E6608" s="4" t="s">
        <v>1988</v>
      </c>
    </row>
    <row r="6609" spans="1:5" x14ac:dyDescent="0.2">
      <c r="A6609" s="126">
        <v>6548</v>
      </c>
      <c r="B6609" s="1821"/>
      <c r="D6609" s="2" t="str">
        <f t="shared" si="102"/>
        <v>OK</v>
      </c>
      <c r="E6609" s="4" t="s">
        <v>1988</v>
      </c>
    </row>
    <row r="6610" spans="1:5" x14ac:dyDescent="0.2">
      <c r="A6610" s="126">
        <v>6549</v>
      </c>
      <c r="B6610" s="1821"/>
      <c r="D6610" s="2" t="str">
        <f t="shared" si="102"/>
        <v>OK</v>
      </c>
      <c r="E6610" s="4" t="s">
        <v>1988</v>
      </c>
    </row>
    <row r="6611" spans="1:5" x14ac:dyDescent="0.2">
      <c r="A6611" s="126">
        <v>6550</v>
      </c>
      <c r="B6611" s="1821"/>
      <c r="D6611" s="2" t="str">
        <f t="shared" si="102"/>
        <v>OK</v>
      </c>
      <c r="E6611" s="4" t="s">
        <v>1988</v>
      </c>
    </row>
    <row r="6612" spans="1:5" x14ac:dyDescent="0.2">
      <c r="A6612" s="126">
        <v>6551</v>
      </c>
      <c r="B6612" s="1821"/>
      <c r="D6612" s="2" t="str">
        <f t="shared" si="102"/>
        <v>OK</v>
      </c>
      <c r="E6612" s="4" t="s">
        <v>1988</v>
      </c>
    </row>
    <row r="6613" spans="1:5" x14ac:dyDescent="0.2">
      <c r="A6613" s="126">
        <v>6552</v>
      </c>
      <c r="B6613" s="1821"/>
      <c r="D6613" s="2" t="str">
        <f t="shared" si="102"/>
        <v>OK</v>
      </c>
      <c r="E6613" s="4" t="s">
        <v>1988</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1892</v>
      </c>
    </row>
    <row r="6842" spans="1:5" x14ac:dyDescent="0.2">
      <c r="A6842" s="126">
        <v>6781</v>
      </c>
      <c r="B6842" s="1821"/>
      <c r="D6842" s="2" t="str">
        <f t="shared" si="105"/>
        <v>OK</v>
      </c>
      <c r="E6842" s="1" t="s">
        <v>1892</v>
      </c>
    </row>
    <row r="6843" spans="1:5" x14ac:dyDescent="0.2">
      <c r="A6843" s="126">
        <v>6782</v>
      </c>
      <c r="B6843" s="1821"/>
      <c r="D6843" s="2" t="str">
        <f t="shared" si="105"/>
        <v>OK</v>
      </c>
      <c r="E6843" s="1" t="s">
        <v>1892</v>
      </c>
    </row>
    <row r="6844" spans="1:5" x14ac:dyDescent="0.2">
      <c r="A6844">
        <v>6783</v>
      </c>
      <c r="B6844" s="1821">
        <f>'Expenditures 15-22'!I5</f>
        <v>50000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16046</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2678</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13175</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293097</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7154</v>
      </c>
      <c r="D6878" s="2" t="str">
        <f t="shared" si="106"/>
        <v>Error?</v>
      </c>
    </row>
    <row r="6879" spans="1:4" x14ac:dyDescent="0.2">
      <c r="A6879">
        <v>6818</v>
      </c>
      <c r="B6879" s="1821">
        <f>'Expenditures 15-22'!K21</f>
        <v>7154</v>
      </c>
      <c r="D6879" s="2" t="str">
        <f t="shared" si="106"/>
        <v>Error?</v>
      </c>
    </row>
    <row r="6880" spans="1:4" x14ac:dyDescent="0.2">
      <c r="A6880">
        <v>6819</v>
      </c>
      <c r="B6880" s="1821">
        <f>'Expenditures 15-22'!H22</f>
        <v>1624090</v>
      </c>
      <c r="D6880" s="2" t="str">
        <f t="shared" si="106"/>
        <v>Error?</v>
      </c>
    </row>
    <row r="6881" spans="1:4" x14ac:dyDescent="0.2">
      <c r="A6881">
        <v>6820</v>
      </c>
      <c r="B6881" s="1821">
        <f>'Expenditures 15-22'!K22</f>
        <v>1624090</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81899</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36668</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515957</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552625</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19356</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19356</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2272</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5539</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9756</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581737</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231603</v>
      </c>
      <c r="D6983" s="2" t="str">
        <f t="shared" si="108"/>
        <v>Error?</v>
      </c>
    </row>
    <row r="6984" spans="1:4" x14ac:dyDescent="0.2">
      <c r="A6984">
        <v>6923</v>
      </c>
      <c r="B6984" s="1821">
        <f>'Expenditures 15-22'!K86</f>
        <v>231603</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231603</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663636</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139553</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139553</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139553</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187970</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139553</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126622</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2333</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2333</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2333</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3843</v>
      </c>
      <c r="D7079" s="2" t="str">
        <f t="shared" si="109"/>
        <v>Error?</v>
      </c>
    </row>
    <row r="7080" spans="1:4" x14ac:dyDescent="0.2">
      <c r="A7080">
        <v>7019</v>
      </c>
      <c r="B7080" s="1821">
        <f>'Expenditures 15-22'!K226</f>
        <v>3843</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2045</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2045</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2045</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0</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0</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147799</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147799</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187970</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187970</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187970</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187970</v>
      </c>
      <c r="D7224" s="2" t="str">
        <f t="shared" si="111"/>
        <v>Error?</v>
      </c>
    </row>
    <row r="7225" spans="1:4" x14ac:dyDescent="0.2">
      <c r="A7225">
        <v>7164</v>
      </c>
      <c r="B7225" s="1821">
        <f>'Expenditures 15-22'!K343</f>
        <v>-61348</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264506</v>
      </c>
      <c r="D7263" s="2" t="str">
        <f t="shared" si="112"/>
        <v>Error?</v>
      </c>
    </row>
    <row r="7264" spans="1:4" x14ac:dyDescent="0.2">
      <c r="A7264">
        <f t="shared" si="113"/>
        <v>7203</v>
      </c>
      <c r="B7264" s="1821">
        <f>'Expenditures 15-22'!D17</f>
        <v>23889</v>
      </c>
      <c r="D7264" s="2" t="str">
        <f t="shared" si="112"/>
        <v>Error?</v>
      </c>
    </row>
    <row r="7265" spans="1:5" x14ac:dyDescent="0.2">
      <c r="A7265">
        <f t="shared" si="113"/>
        <v>7204</v>
      </c>
      <c r="B7265" s="1821">
        <f>'Expenditures 15-22'!E17</f>
        <v>1256</v>
      </c>
      <c r="D7265" s="2" t="str">
        <f t="shared" si="112"/>
        <v>Error?</v>
      </c>
    </row>
    <row r="7266" spans="1:5" x14ac:dyDescent="0.2">
      <c r="A7266">
        <f t="shared" si="113"/>
        <v>7205</v>
      </c>
      <c r="B7266" s="1821">
        <f>'Expenditures 15-22'!F17</f>
        <v>3446</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807567</v>
      </c>
      <c r="D7624" s="2" t="str">
        <f t="shared" si="124"/>
        <v>Error?</v>
      </c>
      <c r="E7624" s="2" t="s">
        <v>19</v>
      </c>
    </row>
    <row r="7625" spans="1:5" x14ac:dyDescent="0.2">
      <c r="A7625">
        <f t="shared" si="123"/>
        <v>7564</v>
      </c>
      <c r="B7625" s="1821">
        <f>'Cap Outlay Deprec 26'!I17</f>
        <v>80756.7</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906566.7</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1989</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293620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1989</v>
      </c>
    </row>
    <row r="7641" spans="1:6" x14ac:dyDescent="0.2">
      <c r="A7641" s="126">
        <f t="shared" si="125"/>
        <v>7580</v>
      </c>
      <c r="B7641" s="1822"/>
      <c r="D7641" s="2" t="str">
        <f t="shared" si="124"/>
        <v>OK</v>
      </c>
      <c r="E7641" s="4" t="s">
        <v>1989</v>
      </c>
    </row>
    <row r="7642" spans="1:6" x14ac:dyDescent="0.2">
      <c r="A7642" s="126">
        <f t="shared" si="125"/>
        <v>7581</v>
      </c>
      <c r="B7642" s="1822"/>
      <c r="D7642" s="2" t="str">
        <f t="shared" si="124"/>
        <v>OK</v>
      </c>
      <c r="E7642" s="4" t="s">
        <v>1989</v>
      </c>
    </row>
    <row r="7643" spans="1:6" x14ac:dyDescent="0.2">
      <c r="A7643" s="126">
        <f t="shared" si="125"/>
        <v>7582</v>
      </c>
      <c r="B7643" s="1822"/>
      <c r="D7643" s="2" t="str">
        <f t="shared" si="124"/>
        <v>OK</v>
      </c>
      <c r="E7643" s="4" t="s">
        <v>1989</v>
      </c>
    </row>
    <row r="7644" spans="1:6" x14ac:dyDescent="0.2">
      <c r="A7644" s="126">
        <f t="shared" si="125"/>
        <v>7583</v>
      </c>
      <c r="B7644" s="1822"/>
      <c r="D7644" s="2" t="str">
        <f t="shared" si="124"/>
        <v>OK</v>
      </c>
      <c r="E7644" s="4" t="s">
        <v>1989</v>
      </c>
    </row>
    <row r="7645" spans="1:6" x14ac:dyDescent="0.2">
      <c r="A7645" s="126">
        <f t="shared" si="125"/>
        <v>7584</v>
      </c>
      <c r="B7645" s="1822"/>
      <c r="D7645" s="2" t="str">
        <f t="shared" si="124"/>
        <v>OK</v>
      </c>
      <c r="E7645" s="4" t="s">
        <v>1989</v>
      </c>
    </row>
    <row r="7646" spans="1:6" x14ac:dyDescent="0.2">
      <c r="A7646" s="126">
        <f t="shared" si="125"/>
        <v>7585</v>
      </c>
      <c r="B7646" s="1822"/>
      <c r="D7646" s="2" t="str">
        <f t="shared" si="124"/>
        <v>OK</v>
      </c>
      <c r="E7646" s="4" t="s">
        <v>1989</v>
      </c>
    </row>
    <row r="7647" spans="1:6" x14ac:dyDescent="0.2">
      <c r="A7647" s="126">
        <f t="shared" si="125"/>
        <v>7586</v>
      </c>
      <c r="B7647" s="1822"/>
      <c r="D7647" s="2" t="str">
        <f t="shared" si="124"/>
        <v>OK</v>
      </c>
      <c r="E7647" s="4" t="s">
        <v>1989</v>
      </c>
    </row>
    <row r="7648" spans="1:6" x14ac:dyDescent="0.2">
      <c r="A7648" s="126">
        <f t="shared" si="125"/>
        <v>7587</v>
      </c>
      <c r="B7648" s="1822"/>
      <c r="D7648" s="2" t="str">
        <f t="shared" si="124"/>
        <v>OK</v>
      </c>
      <c r="E7648" s="4" t="s">
        <v>1989</v>
      </c>
    </row>
    <row r="7649" spans="1:5" x14ac:dyDescent="0.2">
      <c r="A7649" s="126">
        <f t="shared" si="125"/>
        <v>7588</v>
      </c>
      <c r="B7649" s="1822"/>
      <c r="D7649" s="2" t="str">
        <f t="shared" si="124"/>
        <v>OK</v>
      </c>
      <c r="E7649" s="4" t="s">
        <v>1989</v>
      </c>
    </row>
    <row r="7650" spans="1:5" x14ac:dyDescent="0.2">
      <c r="A7650" s="126">
        <f t="shared" si="125"/>
        <v>7589</v>
      </c>
      <c r="B7650" s="1822"/>
      <c r="D7650" s="2" t="str">
        <f t="shared" si="124"/>
        <v>OK</v>
      </c>
      <c r="E7650" s="4" t="s">
        <v>1989</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40171</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40171</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1945</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21528</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38424</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59952</v>
      </c>
      <c r="D7719" s="2" t="str">
        <f t="shared" si="126"/>
        <v>Error?</v>
      </c>
      <c r="E7719" s="2" t="s">
        <v>821</v>
      </c>
    </row>
    <row r="7720" spans="1:6" x14ac:dyDescent="0.2">
      <c r="A7720">
        <v>7659</v>
      </c>
      <c r="B7720" s="1821">
        <f>'Rest Tax Levies-Tort Im 25'!H14</f>
        <v>256078</v>
      </c>
      <c r="D7720" s="2" t="str">
        <f t="shared" si="126"/>
        <v>Error?</v>
      </c>
      <c r="E7720" s="2" t="s">
        <v>821</v>
      </c>
    </row>
    <row r="7721" spans="1:6" x14ac:dyDescent="0.2">
      <c r="A7721">
        <v>7660</v>
      </c>
      <c r="B7721" s="1821">
        <f>'Rest Tax Levies-Tort Im 25'!K14</f>
        <v>59952</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1991</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1820</v>
      </c>
    </row>
    <row r="7775" spans="1:5" x14ac:dyDescent="0.2">
      <c r="A7775">
        <v>7714</v>
      </c>
      <c r="B7775" s="1821">
        <f>'Expenditures 15-22'!H133</f>
        <v>0</v>
      </c>
      <c r="D7775" s="2" t="str">
        <f t="shared" si="127"/>
        <v>Error?</v>
      </c>
      <c r="E7775" s="4" t="s">
        <v>1820</v>
      </c>
    </row>
    <row r="7776" spans="1:5" x14ac:dyDescent="0.2">
      <c r="A7776">
        <v>7715</v>
      </c>
      <c r="B7776" s="1821">
        <f>'Expenditures 15-22'!K133</f>
        <v>0</v>
      </c>
      <c r="D7776" s="2" t="str">
        <f t="shared" si="127"/>
        <v>Error?</v>
      </c>
      <c r="E7776" s="4" t="s">
        <v>1820</v>
      </c>
    </row>
    <row r="7777" spans="1:5" x14ac:dyDescent="0.2">
      <c r="A7777">
        <v>7716</v>
      </c>
      <c r="B7777" s="1821">
        <f>'Expenditures 15-22'!H157</f>
        <v>0</v>
      </c>
      <c r="D7777" s="2" t="str">
        <f t="shared" si="127"/>
        <v>Error?</v>
      </c>
      <c r="E7777" s="4" t="s">
        <v>1820</v>
      </c>
    </row>
    <row r="7778" spans="1:5" x14ac:dyDescent="0.2">
      <c r="A7778">
        <v>7717</v>
      </c>
      <c r="B7778" s="1821">
        <f>'Expenditures 15-22'!K157</f>
        <v>0</v>
      </c>
      <c r="D7778" s="2" t="str">
        <f t="shared" si="127"/>
        <v>Error?</v>
      </c>
      <c r="E7778" s="4" t="s">
        <v>1820</v>
      </c>
    </row>
    <row r="7779" spans="1:5" x14ac:dyDescent="0.2">
      <c r="A7779">
        <v>7718</v>
      </c>
      <c r="B7779" s="1821">
        <f>'Expenditures 15-22'!H158</f>
        <v>0</v>
      </c>
      <c r="D7779" s="2" t="str">
        <f t="shared" si="127"/>
        <v>Error?</v>
      </c>
      <c r="E7779" s="4" t="s">
        <v>1820</v>
      </c>
    </row>
    <row r="7780" spans="1:5" x14ac:dyDescent="0.2">
      <c r="A7780">
        <v>7719</v>
      </c>
      <c r="B7780" s="1821">
        <f>'Expenditures 15-22'!K158</f>
        <v>0</v>
      </c>
      <c r="D7780" s="2" t="str">
        <f t="shared" si="127"/>
        <v>Error?</v>
      </c>
      <c r="E7780" s="4" t="s">
        <v>1820</v>
      </c>
    </row>
    <row r="7781" spans="1:5" x14ac:dyDescent="0.2">
      <c r="A7781">
        <v>7720</v>
      </c>
      <c r="B7781" s="1821">
        <f>'Expenditures 15-22'!H159</f>
        <v>0</v>
      </c>
      <c r="D7781" s="2" t="str">
        <f t="shared" si="127"/>
        <v>Error?</v>
      </c>
      <c r="E7781" s="4" t="s">
        <v>1820</v>
      </c>
    </row>
    <row r="7782" spans="1:5" x14ac:dyDescent="0.2">
      <c r="A7782">
        <v>7721</v>
      </c>
      <c r="B7782" s="1821">
        <f>'Expenditures 15-22'!K159</f>
        <v>0</v>
      </c>
      <c r="D7782" s="2" t="str">
        <f t="shared" si="127"/>
        <v>Error?</v>
      </c>
      <c r="E7782" s="4" t="s">
        <v>1820</v>
      </c>
    </row>
    <row r="7783" spans="1:5" x14ac:dyDescent="0.2">
      <c r="A7783">
        <v>7722</v>
      </c>
      <c r="B7783" s="1821">
        <f>'Expenditures 15-22'!D282</f>
        <v>0</v>
      </c>
      <c r="D7783" s="2" t="str">
        <f t="shared" si="127"/>
        <v>Error?</v>
      </c>
      <c r="E7783" s="4" t="s">
        <v>1820</v>
      </c>
    </row>
    <row r="7784" spans="1:5" x14ac:dyDescent="0.2">
      <c r="A7784">
        <v>7723</v>
      </c>
      <c r="B7784" s="1821">
        <f>'Expenditures 15-22'!K282</f>
        <v>0</v>
      </c>
      <c r="D7784" s="2" t="str">
        <f t="shared" si="127"/>
        <v>Error?</v>
      </c>
      <c r="E7784" s="4" t="s">
        <v>1820</v>
      </c>
    </row>
    <row r="7785" spans="1:5" x14ac:dyDescent="0.2">
      <c r="A7785">
        <v>7724</v>
      </c>
      <c r="B7785" s="1821">
        <f>'Expenditures 15-22'!H332</f>
        <v>0</v>
      </c>
      <c r="D7785" s="2" t="str">
        <f t="shared" si="127"/>
        <v>Error?</v>
      </c>
      <c r="E7785" s="4" t="s">
        <v>1820</v>
      </c>
    </row>
    <row r="7786" spans="1:5" x14ac:dyDescent="0.2">
      <c r="A7786">
        <v>7725</v>
      </c>
      <c r="B7786" s="1821">
        <f>'Expenditures 15-22'!K332</f>
        <v>0</v>
      </c>
      <c r="D7786" s="2" t="str">
        <f t="shared" si="127"/>
        <v>Error?</v>
      </c>
      <c r="E7786" s="4" t="s">
        <v>1820</v>
      </c>
    </row>
    <row r="7787" spans="1:5" x14ac:dyDescent="0.2">
      <c r="A7787">
        <v>7726</v>
      </c>
      <c r="B7787" s="1821">
        <f>'Expenditures 15-22'!H333</f>
        <v>0</v>
      </c>
      <c r="D7787" s="2" t="str">
        <f t="shared" si="127"/>
        <v>Error?</v>
      </c>
      <c r="E7787" s="4" t="s">
        <v>1820</v>
      </c>
    </row>
    <row r="7788" spans="1:5" x14ac:dyDescent="0.2">
      <c r="A7788">
        <v>7727</v>
      </c>
      <c r="B7788" s="1821">
        <f>'Expenditures 15-22'!K333</f>
        <v>0</v>
      </c>
      <c r="D7788" s="2" t="str">
        <f t="shared" si="127"/>
        <v>Error?</v>
      </c>
      <c r="E7788" s="4" t="s">
        <v>1820</v>
      </c>
    </row>
    <row r="7789" spans="1:5" x14ac:dyDescent="0.2">
      <c r="A7789">
        <v>7728</v>
      </c>
      <c r="B7789" s="1821">
        <f>'Expenditures 15-22'!H334</f>
        <v>0</v>
      </c>
      <c r="D7789" s="2" t="str">
        <f t="shared" si="127"/>
        <v>Error?</v>
      </c>
      <c r="E7789" s="4" t="s">
        <v>1820</v>
      </c>
    </row>
    <row r="7790" spans="1:5" x14ac:dyDescent="0.2">
      <c r="A7790">
        <v>7729</v>
      </c>
      <c r="B7790" s="1821">
        <f>'Expenditures 15-22'!K334</f>
        <v>0</v>
      </c>
      <c r="D7790" s="2" t="str">
        <f t="shared" si="127"/>
        <v>Error?</v>
      </c>
      <c r="E7790" s="4" t="s">
        <v>1820</v>
      </c>
    </row>
    <row r="7791" spans="1:5" x14ac:dyDescent="0.2">
      <c r="A7791">
        <v>7730</v>
      </c>
      <c r="B7791" s="1821">
        <f>'Expenditures 15-22'!H354</f>
        <v>0</v>
      </c>
      <c r="D7791" s="2" t="str">
        <f t="shared" si="127"/>
        <v>Error?</v>
      </c>
      <c r="E7791" s="4" t="s">
        <v>1820</v>
      </c>
    </row>
    <row r="7792" spans="1:5" x14ac:dyDescent="0.2">
      <c r="A7792">
        <v>7731</v>
      </c>
      <c r="B7792" s="1821">
        <f>'Expenditures 15-22'!K354</f>
        <v>0</v>
      </c>
      <c r="D7792" s="2" t="str">
        <f t="shared" si="127"/>
        <v>Error?</v>
      </c>
      <c r="E7792" s="4" t="s">
        <v>1820</v>
      </c>
    </row>
    <row r="7793" spans="1:5" x14ac:dyDescent="0.2">
      <c r="A7793">
        <v>7732</v>
      </c>
      <c r="B7793" s="1821">
        <f>'Expenditures 15-22'!H355</f>
        <v>0</v>
      </c>
      <c r="D7793" s="2" t="str">
        <f t="shared" si="127"/>
        <v>Error?</v>
      </c>
      <c r="E7793" s="4" t="s">
        <v>1820</v>
      </c>
    </row>
    <row r="7794" spans="1:5" x14ac:dyDescent="0.2">
      <c r="A7794">
        <v>7733</v>
      </c>
      <c r="B7794" s="1821">
        <f>'Expenditures 15-22'!K355</f>
        <v>0</v>
      </c>
      <c r="D7794" s="2" t="str">
        <f t="shared" si="127"/>
        <v>Error?</v>
      </c>
      <c r="E7794" s="4" t="s">
        <v>1820</v>
      </c>
    </row>
    <row r="7795" spans="1:5" x14ac:dyDescent="0.2">
      <c r="A7795">
        <v>7734</v>
      </c>
      <c r="B7795" s="1821">
        <f>'Expenditures 15-22'!E138</f>
        <v>0</v>
      </c>
      <c r="D7795" s="2" t="str">
        <f t="shared" si="127"/>
        <v>Error?</v>
      </c>
      <c r="E7795" s="4" t="s">
        <v>1820</v>
      </c>
    </row>
    <row r="7796" spans="1:5" x14ac:dyDescent="0.2">
      <c r="A7796">
        <v>7735</v>
      </c>
      <c r="B7796" s="1821">
        <f>'Acct Summary 7-8'!J15</f>
        <v>0</v>
      </c>
      <c r="D7796" s="2" t="str">
        <f t="shared" si="127"/>
        <v>Error?</v>
      </c>
      <c r="E7796" s="4" t="s">
        <v>1820</v>
      </c>
    </row>
    <row r="7797" spans="1:5" x14ac:dyDescent="0.2">
      <c r="A7797" s="126">
        <v>7736</v>
      </c>
      <c r="B7797" s="1821"/>
      <c r="D7797" s="2" t="str">
        <f t="shared" si="127"/>
        <v>OK</v>
      </c>
      <c r="E7797" s="4" t="s">
        <v>1973</v>
      </c>
    </row>
    <row r="7798" spans="1:5" x14ac:dyDescent="0.2">
      <c r="A7798" s="126">
        <v>7737</v>
      </c>
      <c r="B7798" s="1821"/>
      <c r="D7798" s="2" t="str">
        <f t="shared" si="127"/>
        <v>OK</v>
      </c>
      <c r="E7798" s="4" t="s">
        <v>1973</v>
      </c>
    </row>
    <row r="7799" spans="1:5" x14ac:dyDescent="0.2">
      <c r="A7799" s="126">
        <v>7738</v>
      </c>
      <c r="B7799" s="1821"/>
      <c r="D7799" s="2" t="str">
        <f t="shared" si="127"/>
        <v>OK</v>
      </c>
      <c r="E7799" s="4" t="s">
        <v>1973</v>
      </c>
    </row>
    <row r="7800" spans="1:5" x14ac:dyDescent="0.2">
      <c r="A7800">
        <v>7739</v>
      </c>
      <c r="B7800" s="1821">
        <f>'Rest Tax Levies-Tort Im 25'!K23</f>
        <v>59952</v>
      </c>
      <c r="D7800" s="2" t="str">
        <f t="shared" si="127"/>
        <v>Error?</v>
      </c>
      <c r="E7800" s="4" t="s">
        <v>1960</v>
      </c>
    </row>
    <row r="7801" spans="1:5" x14ac:dyDescent="0.2">
      <c r="A7801">
        <v>7740</v>
      </c>
      <c r="B7801" s="1821">
        <f>'Revenues 9-14'!C120</f>
        <v>0</v>
      </c>
      <c r="D7801" s="2" t="str">
        <f t="shared" si="127"/>
        <v>Error?</v>
      </c>
      <c r="E7801" s="4" t="s">
        <v>1894</v>
      </c>
    </row>
    <row r="7802" spans="1:5" x14ac:dyDescent="0.2">
      <c r="A7802">
        <v>7741</v>
      </c>
      <c r="B7802" s="1821">
        <f>'Revenues 9-14'!D120</f>
        <v>0</v>
      </c>
      <c r="D7802" s="2" t="str">
        <f t="shared" si="127"/>
        <v>Error?</v>
      </c>
      <c r="E7802" s="4" t="s">
        <v>1894</v>
      </c>
    </row>
    <row r="7803" spans="1:5" x14ac:dyDescent="0.2">
      <c r="A7803">
        <v>7742</v>
      </c>
      <c r="B7803" s="1821">
        <f>'Revenues 9-14'!E120</f>
        <v>0</v>
      </c>
      <c r="D7803" s="2" t="str">
        <f t="shared" si="127"/>
        <v>Error?</v>
      </c>
      <c r="E7803" s="4" t="s">
        <v>1894</v>
      </c>
    </row>
    <row r="7804" spans="1:5" x14ac:dyDescent="0.2">
      <c r="A7804">
        <v>7743</v>
      </c>
      <c r="B7804" s="1821">
        <f>'Revenues 9-14'!F120</f>
        <v>0</v>
      </c>
      <c r="D7804" s="2" t="str">
        <f t="shared" si="127"/>
        <v>Error?</v>
      </c>
      <c r="E7804" s="4" t="s">
        <v>1894</v>
      </c>
    </row>
    <row r="7805" spans="1:5" x14ac:dyDescent="0.2">
      <c r="A7805">
        <v>7744</v>
      </c>
      <c r="B7805" s="1821">
        <f>'Revenues 9-14'!G120</f>
        <v>0</v>
      </c>
      <c r="D7805" s="2" t="str">
        <f t="shared" si="127"/>
        <v>Error?</v>
      </c>
      <c r="E7805" s="4" t="s">
        <v>1894</v>
      </c>
    </row>
    <row r="7806" spans="1:5" x14ac:dyDescent="0.2">
      <c r="A7806">
        <v>7745</v>
      </c>
      <c r="B7806" s="1821">
        <f>'Revenues 9-14'!H120</f>
        <v>0</v>
      </c>
      <c r="D7806" s="2" t="str">
        <f t="shared" si="127"/>
        <v>Error?</v>
      </c>
      <c r="E7806" s="4" t="s">
        <v>1894</v>
      </c>
    </row>
    <row r="7807" spans="1:5" x14ac:dyDescent="0.2">
      <c r="A7807">
        <v>7746</v>
      </c>
      <c r="B7807" s="1821">
        <f>'Revenues 9-14'!J120</f>
        <v>0</v>
      </c>
      <c r="D7807" s="2" t="str">
        <f t="shared" ref="D7807:D7821" si="128">IF(ISBLANK(B7807),"OK",IF(A7807-B7807=0,"OK","Error?"))</f>
        <v>Error?</v>
      </c>
      <c r="E7807" s="4" t="s">
        <v>1894</v>
      </c>
    </row>
    <row r="7808" spans="1:5" x14ac:dyDescent="0.2">
      <c r="A7808">
        <v>7747</v>
      </c>
      <c r="B7808" s="1821">
        <f>'Revenues 9-14'!K120</f>
        <v>0</v>
      </c>
      <c r="D7808" s="2" t="str">
        <f t="shared" si="128"/>
        <v>Error?</v>
      </c>
      <c r="E7808" s="4" t="s">
        <v>1894</v>
      </c>
    </row>
    <row r="7809" spans="1:5" x14ac:dyDescent="0.2">
      <c r="A7809">
        <v>7748</v>
      </c>
      <c r="B7809" s="1821">
        <f>'Revenues 9-14'!C261</f>
        <v>0</v>
      </c>
      <c r="D7809" s="2" t="str">
        <f t="shared" si="128"/>
        <v>Error?</v>
      </c>
      <c r="E7809" s="4" t="s">
        <v>1895</v>
      </c>
    </row>
    <row r="7810" spans="1:5" x14ac:dyDescent="0.2">
      <c r="A7810">
        <v>7749</v>
      </c>
      <c r="B7810" s="1821">
        <f>'Revenues 9-14'!D261</f>
        <v>0</v>
      </c>
      <c r="D7810" s="2" t="str">
        <f t="shared" si="128"/>
        <v>Error?</v>
      </c>
      <c r="E7810" s="4" t="s">
        <v>1895</v>
      </c>
    </row>
    <row r="7811" spans="1:5" x14ac:dyDescent="0.2">
      <c r="A7811">
        <v>7750</v>
      </c>
      <c r="B7811" s="1821">
        <f>'Revenues 9-14'!F261</f>
        <v>0</v>
      </c>
      <c r="D7811" s="2" t="str">
        <f t="shared" si="128"/>
        <v>Error?</v>
      </c>
      <c r="E7811" s="4" t="s">
        <v>1895</v>
      </c>
    </row>
    <row r="7812" spans="1:5" x14ac:dyDescent="0.2">
      <c r="A7812">
        <v>7751</v>
      </c>
      <c r="B7812" s="1821">
        <f>'Revenues 9-14'!G261</f>
        <v>0</v>
      </c>
      <c r="D7812" s="2" t="str">
        <f t="shared" si="128"/>
        <v>Error?</v>
      </c>
      <c r="E7812" s="4" t="s">
        <v>1895</v>
      </c>
    </row>
    <row r="7813" spans="1:5" x14ac:dyDescent="0.2">
      <c r="A7813">
        <v>7752</v>
      </c>
      <c r="B7813" s="1821">
        <f>'Revenues 9-14'!C262</f>
        <v>0</v>
      </c>
      <c r="D7813" s="2" t="str">
        <f t="shared" si="128"/>
        <v>Error?</v>
      </c>
      <c r="E7813" s="4" t="s">
        <v>1896</v>
      </c>
    </row>
    <row r="7814" spans="1:5" x14ac:dyDescent="0.2">
      <c r="A7814">
        <v>7753</v>
      </c>
      <c r="B7814" s="1821">
        <f>'Revenues 9-14'!D262</f>
        <v>0</v>
      </c>
      <c r="D7814" s="2" t="str">
        <f t="shared" si="128"/>
        <v>Error?</v>
      </c>
      <c r="E7814" s="4" t="s">
        <v>1896</v>
      </c>
    </row>
    <row r="7815" spans="1:5" x14ac:dyDescent="0.2">
      <c r="A7815">
        <v>7754</v>
      </c>
      <c r="B7815" s="1821">
        <f>'Revenues 9-14'!F262</f>
        <v>0</v>
      </c>
      <c r="D7815" s="2" t="str">
        <f t="shared" si="128"/>
        <v>Error?</v>
      </c>
      <c r="E7815" s="4" t="s">
        <v>1896</v>
      </c>
    </row>
    <row r="7816" spans="1:5" x14ac:dyDescent="0.2">
      <c r="A7816">
        <v>7755</v>
      </c>
      <c r="B7816" s="1821">
        <f>'Revenues 9-14'!G262</f>
        <v>0</v>
      </c>
      <c r="D7816" s="2" t="str">
        <f t="shared" si="128"/>
        <v>Error?</v>
      </c>
      <c r="E7816" s="4" t="s">
        <v>1896</v>
      </c>
    </row>
    <row r="7817" spans="1:5" x14ac:dyDescent="0.2">
      <c r="A7817">
        <v>7756</v>
      </c>
      <c r="B7817" s="1821">
        <f>'Short-Term Long-Term Debt 24'!C49</f>
        <v>53220000</v>
      </c>
      <c r="D7817" s="2" t="str">
        <f t="shared" si="128"/>
        <v>Error?</v>
      </c>
      <c r="E7817" s="4" t="s">
        <v>1960</v>
      </c>
    </row>
    <row r="7818" spans="1:5" x14ac:dyDescent="0.2">
      <c r="A7818">
        <v>7757</v>
      </c>
      <c r="B7818" s="1821">
        <f>'PCTC-OEPP 27-28'!F172</f>
        <v>772433</v>
      </c>
      <c r="D7818" s="2" t="str">
        <f t="shared" si="128"/>
        <v>Error?</v>
      </c>
      <c r="E7818" s="4" t="s">
        <v>1974</v>
      </c>
    </row>
    <row r="7819" spans="1:5" x14ac:dyDescent="0.2">
      <c r="A7819">
        <v>7758</v>
      </c>
      <c r="B7819" s="1821">
        <f>'PCTC-OEPP 27-28'!F173</f>
        <v>26081</v>
      </c>
      <c r="D7819" s="2" t="str">
        <f t="shared" si="128"/>
        <v>Error?</v>
      </c>
      <c r="E7819" s="4" t="s">
        <v>1974</v>
      </c>
    </row>
    <row r="7820" spans="1:5" x14ac:dyDescent="0.2">
      <c r="A7820">
        <v>7759</v>
      </c>
      <c r="B7820" s="1821">
        <f>'ICR Computation 30'!E40</f>
        <v>-63046</v>
      </c>
      <c r="D7820" s="2" t="str">
        <f t="shared" si="128"/>
        <v>Error?</v>
      </c>
    </row>
    <row r="7821" spans="1:5" x14ac:dyDescent="0.2">
      <c r="A7821">
        <v>7760</v>
      </c>
      <c r="B7821" s="1821">
        <f>'ICR Computation 30'!G40</f>
        <v>-63046</v>
      </c>
      <c r="D7821" s="2" t="str">
        <f t="shared" si="128"/>
        <v>Error?</v>
      </c>
    </row>
    <row r="7822" spans="1:5" x14ac:dyDescent="0.2">
      <c r="A7822" s="1">
        <v>7761</v>
      </c>
      <c r="B7822" s="1821">
        <f>'PCTC-OEPP 27-28'!F14</f>
        <v>39178018</v>
      </c>
      <c r="D7822" s="4" t="s">
        <v>1991</v>
      </c>
      <c r="E7822" s="4" t="s">
        <v>1992</v>
      </c>
    </row>
    <row r="7823" spans="1:5" x14ac:dyDescent="0.2">
      <c r="A7823" s="1">
        <v>7762</v>
      </c>
      <c r="B7823" s="1821">
        <f>'PCTC-OEPP 27-28'!F30</f>
        <v>0</v>
      </c>
      <c r="D7823" s="4" t="s">
        <v>1991</v>
      </c>
      <c r="E7823" s="4" t="s">
        <v>1992</v>
      </c>
    </row>
    <row r="7824" spans="1:5" x14ac:dyDescent="0.2">
      <c r="A7824" s="1">
        <v>7763</v>
      </c>
      <c r="B7824" s="1821">
        <f>'PCTC-OEPP 27-28'!F31</f>
        <v>0</v>
      </c>
      <c r="D7824" s="4" t="s">
        <v>1991</v>
      </c>
      <c r="E7824" s="4" t="s">
        <v>1992</v>
      </c>
    </row>
    <row r="7825" spans="1:5" x14ac:dyDescent="0.2">
      <c r="A7825" s="1">
        <v>7764</v>
      </c>
      <c r="B7825" s="1821">
        <f>'PCTC-OEPP 27-28'!F32</f>
        <v>0</v>
      </c>
      <c r="D7825" s="2" t="str">
        <f t="shared" ref="D7825:D7887" si="129">IF(ISBLANK(B7825),"OK",IF(A7825-B7825=0,"OK","Error?"))</f>
        <v>Error?</v>
      </c>
      <c r="E7825" s="4" t="s">
        <v>1992</v>
      </c>
    </row>
    <row r="7826" spans="1:5" x14ac:dyDescent="0.2">
      <c r="A7826">
        <v>7765</v>
      </c>
      <c r="B7826" s="1821">
        <f>'PCTC-OEPP 27-28'!F34</f>
        <v>0</v>
      </c>
      <c r="D7826" s="2" t="str">
        <f t="shared" si="129"/>
        <v>Error?</v>
      </c>
      <c r="E7826" s="4" t="s">
        <v>1992</v>
      </c>
    </row>
    <row r="7827" spans="1:5" x14ac:dyDescent="0.2">
      <c r="A7827">
        <v>7766</v>
      </c>
      <c r="B7827" s="1821">
        <f>'PCTC-OEPP 27-28'!F35</f>
        <v>0</v>
      </c>
      <c r="D7827" s="2" t="str">
        <f t="shared" si="129"/>
        <v>Error?</v>
      </c>
      <c r="E7827" s="4" t="s">
        <v>1992</v>
      </c>
    </row>
    <row r="7828" spans="1:5" x14ac:dyDescent="0.2">
      <c r="A7828">
        <v>7767</v>
      </c>
      <c r="B7828" s="1821">
        <f>'PCTC-OEPP 27-28'!F36</f>
        <v>0</v>
      </c>
      <c r="D7828" s="2" t="str">
        <f t="shared" si="129"/>
        <v>Error?</v>
      </c>
      <c r="E7828" s="4" t="s">
        <v>1992</v>
      </c>
    </row>
    <row r="7829" spans="1:5" x14ac:dyDescent="0.2">
      <c r="A7829">
        <v>7768</v>
      </c>
      <c r="B7829" s="1821">
        <f>'PCTC-OEPP 27-28'!F37</f>
        <v>0</v>
      </c>
      <c r="D7829" s="2" t="str">
        <f t="shared" si="129"/>
        <v>Error?</v>
      </c>
      <c r="E7829" s="4" t="s">
        <v>1992</v>
      </c>
    </row>
    <row r="7830" spans="1:5" x14ac:dyDescent="0.2">
      <c r="A7830">
        <v>7769</v>
      </c>
      <c r="B7830" s="1821">
        <f>'PCTC-OEPP 27-28'!F38</f>
        <v>139335</v>
      </c>
      <c r="D7830" s="2" t="str">
        <f t="shared" si="129"/>
        <v>Error?</v>
      </c>
      <c r="E7830" s="4" t="s">
        <v>1992</v>
      </c>
    </row>
    <row r="7831" spans="1:5" x14ac:dyDescent="0.2">
      <c r="A7831">
        <v>7770</v>
      </c>
      <c r="B7831" s="1821">
        <f>'PCTC-OEPP 27-28'!F52</f>
        <v>173467</v>
      </c>
      <c r="D7831" s="2" t="str">
        <f t="shared" si="129"/>
        <v>Error?</v>
      </c>
      <c r="E7831" s="4" t="s">
        <v>1992</v>
      </c>
    </row>
    <row r="7832" spans="1:5" x14ac:dyDescent="0.2">
      <c r="A7832">
        <v>7771</v>
      </c>
      <c r="B7832" s="1821">
        <f>'PCTC-OEPP 27-28'!F56</f>
        <v>0</v>
      </c>
      <c r="D7832" s="2" t="str">
        <f t="shared" si="129"/>
        <v>Error?</v>
      </c>
      <c r="E7832" s="4" t="s">
        <v>1992</v>
      </c>
    </row>
    <row r="7833" spans="1:5" x14ac:dyDescent="0.2">
      <c r="A7833">
        <v>7772</v>
      </c>
      <c r="B7833" s="1821">
        <f>'PCTC-OEPP 27-28'!F62</f>
        <v>0</v>
      </c>
      <c r="D7833" s="2" t="str">
        <f t="shared" si="129"/>
        <v>Error?</v>
      </c>
      <c r="E7833" s="4" t="s">
        <v>1992</v>
      </c>
    </row>
    <row r="7834" spans="1:5" x14ac:dyDescent="0.2">
      <c r="A7834">
        <v>7773</v>
      </c>
      <c r="B7834" s="1821">
        <f>'PCTC-OEPP 27-28'!F77</f>
        <v>9292366</v>
      </c>
      <c r="D7834" s="2" t="str">
        <f t="shared" si="129"/>
        <v>Error?</v>
      </c>
      <c r="E7834" s="4" t="s">
        <v>1992</v>
      </c>
    </row>
    <row r="7835" spans="1:5" x14ac:dyDescent="0.2">
      <c r="A7835">
        <v>7774</v>
      </c>
      <c r="B7835" s="1821">
        <f>'PCTC-OEPP 27-28'!F78</f>
        <v>29885652</v>
      </c>
      <c r="D7835" s="2" t="str">
        <f t="shared" si="129"/>
        <v>Error?</v>
      </c>
      <c r="E7835" s="4" t="s">
        <v>1992</v>
      </c>
    </row>
    <row r="7836" spans="1:5" x14ac:dyDescent="0.2">
      <c r="A7836" s="126">
        <v>7775</v>
      </c>
      <c r="B7836" s="1821"/>
      <c r="D7836" s="2" t="str">
        <f t="shared" si="129"/>
        <v>OK</v>
      </c>
      <c r="E7836" s="4" t="s">
        <v>1994</v>
      </c>
    </row>
    <row r="7837" spans="1:5" x14ac:dyDescent="0.2">
      <c r="A7837">
        <v>7776</v>
      </c>
      <c r="B7837" s="1821">
        <f>'PCTC-OEPP 27-28'!F80</f>
        <v>15961.999679538536</v>
      </c>
      <c r="D7837" s="2" t="str">
        <f t="shared" si="129"/>
        <v>Error?</v>
      </c>
      <c r="E7837" s="4" t="s">
        <v>1992</v>
      </c>
    </row>
    <row r="7838" spans="1:5" x14ac:dyDescent="0.2">
      <c r="A7838">
        <v>7777</v>
      </c>
      <c r="B7838" s="1821">
        <f>'PCTC-OEPP 27-28'!F96</f>
        <v>747922</v>
      </c>
      <c r="D7838" s="2" t="str">
        <f t="shared" si="129"/>
        <v>Error?</v>
      </c>
      <c r="E7838" s="4" t="s">
        <v>1992</v>
      </c>
    </row>
    <row r="7839" spans="1:5" x14ac:dyDescent="0.2">
      <c r="A7839">
        <v>7778</v>
      </c>
      <c r="B7839" s="1821">
        <f>'PCTC-OEPP 27-28'!F102</f>
        <v>73407</v>
      </c>
      <c r="D7839" s="2" t="str">
        <f t="shared" si="129"/>
        <v>Error?</v>
      </c>
      <c r="E7839" s="4" t="s">
        <v>1992</v>
      </c>
    </row>
    <row r="7840" spans="1:5" x14ac:dyDescent="0.2">
      <c r="A7840">
        <v>7779</v>
      </c>
      <c r="B7840" s="1821">
        <f>'PCTC-OEPP 27-28'!F103</f>
        <v>105592</v>
      </c>
      <c r="D7840" s="2" t="str">
        <f t="shared" si="129"/>
        <v>Error?</v>
      </c>
      <c r="E7840" s="4" t="s">
        <v>1992</v>
      </c>
    </row>
    <row r="7841" spans="1:5" x14ac:dyDescent="0.2">
      <c r="A7841">
        <v>7780</v>
      </c>
      <c r="B7841" s="1821">
        <f>'PCTC-OEPP 27-28'!F104</f>
        <v>0</v>
      </c>
      <c r="D7841" s="2" t="str">
        <f t="shared" si="129"/>
        <v>Error?</v>
      </c>
      <c r="E7841" s="4" t="s">
        <v>1992</v>
      </c>
    </row>
    <row r="7842" spans="1:5" x14ac:dyDescent="0.2">
      <c r="A7842">
        <v>7781</v>
      </c>
      <c r="B7842" s="1821">
        <f>'PCTC-OEPP 27-28'!F106</f>
        <v>728606</v>
      </c>
      <c r="D7842" s="2" t="str">
        <f t="shared" si="129"/>
        <v>Error?</v>
      </c>
      <c r="E7842" s="4" t="s">
        <v>1992</v>
      </c>
    </row>
    <row r="7843" spans="1:5" x14ac:dyDescent="0.2">
      <c r="A7843">
        <v>7782</v>
      </c>
      <c r="B7843" s="1821">
        <f>'PCTC-OEPP 27-28'!F107</f>
        <v>55399</v>
      </c>
      <c r="D7843" s="2" t="str">
        <f t="shared" si="129"/>
        <v>Error?</v>
      </c>
      <c r="E7843" s="4" t="s">
        <v>1992</v>
      </c>
    </row>
    <row r="7844" spans="1:5" x14ac:dyDescent="0.2">
      <c r="A7844">
        <v>7783</v>
      </c>
      <c r="B7844" s="1821">
        <f>'PCTC-OEPP 27-28'!F108</f>
        <v>0</v>
      </c>
      <c r="D7844" s="2" t="str">
        <f t="shared" si="129"/>
        <v>Error?</v>
      </c>
      <c r="E7844" s="4" t="s">
        <v>1992</v>
      </c>
    </row>
    <row r="7845" spans="1:5" x14ac:dyDescent="0.2">
      <c r="A7845">
        <v>7784</v>
      </c>
      <c r="B7845" s="1821">
        <f>'PCTC-OEPP 27-28'!F110</f>
        <v>0</v>
      </c>
      <c r="D7845" s="2" t="str">
        <f t="shared" si="129"/>
        <v>Error?</v>
      </c>
      <c r="E7845" s="4" t="s">
        <v>1992</v>
      </c>
    </row>
    <row r="7846" spans="1:5" x14ac:dyDescent="0.2">
      <c r="A7846">
        <v>7785</v>
      </c>
      <c r="B7846" s="1821">
        <f>'PCTC-OEPP 27-28'!F111</f>
        <v>38424</v>
      </c>
      <c r="D7846" s="2" t="str">
        <f t="shared" si="129"/>
        <v>Error?</v>
      </c>
      <c r="E7846" s="4" t="s">
        <v>1992</v>
      </c>
    </row>
    <row r="7847" spans="1:5" x14ac:dyDescent="0.2">
      <c r="A7847">
        <v>7786</v>
      </c>
      <c r="B7847" s="1821">
        <f>'PCTC-OEPP 27-28'!F112</f>
        <v>765359</v>
      </c>
      <c r="D7847" s="2" t="str">
        <f t="shared" si="129"/>
        <v>Error?</v>
      </c>
      <c r="E7847" s="4" t="s">
        <v>1992</v>
      </c>
    </row>
    <row r="7848" spans="1:5" x14ac:dyDescent="0.2">
      <c r="A7848">
        <v>7787</v>
      </c>
      <c r="B7848" s="1821">
        <f>'PCTC-OEPP 27-28'!F114</f>
        <v>0</v>
      </c>
      <c r="D7848" s="2" t="str">
        <f t="shared" si="129"/>
        <v>Error?</v>
      </c>
      <c r="E7848" s="4" t="s">
        <v>1992</v>
      </c>
    </row>
    <row r="7849" spans="1:5" x14ac:dyDescent="0.2">
      <c r="A7849">
        <v>7788</v>
      </c>
      <c r="B7849" s="1821">
        <f>'PCTC-OEPP 27-28'!F115</f>
        <v>0</v>
      </c>
      <c r="D7849" s="2" t="str">
        <f t="shared" si="129"/>
        <v>Error?</v>
      </c>
      <c r="E7849" s="4" t="s">
        <v>1992</v>
      </c>
    </row>
    <row r="7850" spans="1:5" x14ac:dyDescent="0.2">
      <c r="A7850">
        <v>7789</v>
      </c>
      <c r="B7850" s="1821">
        <f>'PCTC-OEPP 27-28'!F116</f>
        <v>0</v>
      </c>
      <c r="D7850" s="2" t="str">
        <f t="shared" si="129"/>
        <v>Error?</v>
      </c>
      <c r="E7850" s="4" t="s">
        <v>1992</v>
      </c>
    </row>
    <row r="7851" spans="1:5" x14ac:dyDescent="0.2">
      <c r="A7851">
        <v>7790</v>
      </c>
      <c r="B7851" s="1821">
        <f>'PCTC-OEPP 27-28'!F117</f>
        <v>0</v>
      </c>
      <c r="D7851" s="2" t="str">
        <f t="shared" si="129"/>
        <v>Error?</v>
      </c>
      <c r="E7851" s="4" t="s">
        <v>1992</v>
      </c>
    </row>
    <row r="7852" spans="1:5" x14ac:dyDescent="0.2">
      <c r="A7852">
        <v>7791</v>
      </c>
      <c r="B7852" s="1821">
        <f>'PCTC-OEPP 27-28'!F118</f>
        <v>0</v>
      </c>
      <c r="D7852" s="2" t="str">
        <f t="shared" si="129"/>
        <v>Error?</v>
      </c>
      <c r="E7852" s="4" t="s">
        <v>1992</v>
      </c>
    </row>
    <row r="7853" spans="1:5" x14ac:dyDescent="0.2">
      <c r="A7853">
        <v>7792</v>
      </c>
      <c r="B7853" s="1821">
        <f>'PCTC-OEPP 27-28'!F119</f>
        <v>0</v>
      </c>
      <c r="D7853" s="2" t="str">
        <f t="shared" si="129"/>
        <v>Error?</v>
      </c>
      <c r="E7853" s="4" t="s">
        <v>1992</v>
      </c>
    </row>
    <row r="7854" spans="1:5" x14ac:dyDescent="0.2">
      <c r="A7854">
        <v>7793</v>
      </c>
      <c r="B7854" s="1821">
        <f>'PCTC-OEPP 27-28'!F120</f>
        <v>0</v>
      </c>
      <c r="D7854" s="2" t="str">
        <f t="shared" si="129"/>
        <v>Error?</v>
      </c>
      <c r="E7854" s="4" t="s">
        <v>1992</v>
      </c>
    </row>
    <row r="7855" spans="1:5" x14ac:dyDescent="0.2">
      <c r="A7855">
        <v>7794</v>
      </c>
      <c r="B7855" s="1821">
        <f>'PCTC-OEPP 27-28'!F122</f>
        <v>12444</v>
      </c>
      <c r="D7855" s="2" t="str">
        <f t="shared" si="129"/>
        <v>Error?</v>
      </c>
      <c r="E7855" s="4" t="s">
        <v>1992</v>
      </c>
    </row>
    <row r="7856" spans="1:5" x14ac:dyDescent="0.2">
      <c r="A7856">
        <v>7795</v>
      </c>
      <c r="B7856" s="1821">
        <f>'PCTC-OEPP 27-28'!F124</f>
        <v>0</v>
      </c>
      <c r="D7856" s="2" t="str">
        <f t="shared" si="129"/>
        <v>Error?</v>
      </c>
      <c r="E7856" s="4" t="s">
        <v>1992</v>
      </c>
    </row>
    <row r="7857" spans="1:5" x14ac:dyDescent="0.2">
      <c r="A7857">
        <v>7796</v>
      </c>
      <c r="B7857" s="1821">
        <f>'PCTC-OEPP 27-28'!F125</f>
        <v>0</v>
      </c>
      <c r="D7857" s="2" t="str">
        <f t="shared" si="129"/>
        <v>Error?</v>
      </c>
      <c r="E7857" s="4" t="s">
        <v>1992</v>
      </c>
    </row>
    <row r="7858" spans="1:5" x14ac:dyDescent="0.2">
      <c r="A7858">
        <v>7797</v>
      </c>
      <c r="B7858" s="1821">
        <f>'PCTC-OEPP 27-28'!F126</f>
        <v>237871</v>
      </c>
      <c r="D7858" s="2" t="str">
        <f t="shared" si="129"/>
        <v>Error?</v>
      </c>
      <c r="E7858" s="4" t="s">
        <v>1992</v>
      </c>
    </row>
    <row r="7859" spans="1:5" x14ac:dyDescent="0.2">
      <c r="A7859">
        <v>7798</v>
      </c>
      <c r="B7859" s="1821">
        <f>'PCTC-OEPP 27-28'!F127</f>
        <v>280935</v>
      </c>
      <c r="D7859" s="2" t="str">
        <f t="shared" si="129"/>
        <v>Error?</v>
      </c>
      <c r="E7859" s="4" t="s">
        <v>1992</v>
      </c>
    </row>
    <row r="7860" spans="1:5" x14ac:dyDescent="0.2">
      <c r="A7860">
        <v>7799</v>
      </c>
      <c r="B7860" s="1821">
        <f>'PCTC-OEPP 27-28'!F128</f>
        <v>0</v>
      </c>
      <c r="D7860" s="2" t="str">
        <f t="shared" si="129"/>
        <v>Error?</v>
      </c>
      <c r="E7860" s="4" t="s">
        <v>1992</v>
      </c>
    </row>
    <row r="7861" spans="1:5" x14ac:dyDescent="0.2">
      <c r="A7861">
        <v>7800</v>
      </c>
      <c r="B7861" s="1821">
        <f>'PCTC-OEPP 27-28'!F129</f>
        <v>503907</v>
      </c>
      <c r="D7861" s="2" t="str">
        <f t="shared" si="129"/>
        <v>Error?</v>
      </c>
      <c r="E7861" s="4" t="s">
        <v>1992</v>
      </c>
    </row>
    <row r="7862" spans="1:5" x14ac:dyDescent="0.2">
      <c r="A7862">
        <v>7801</v>
      </c>
      <c r="B7862" s="1821">
        <f>'PCTC-OEPP 27-28'!F130</f>
        <v>317642</v>
      </c>
      <c r="D7862" s="2" t="str">
        <f t="shared" si="129"/>
        <v>Error?</v>
      </c>
      <c r="E7862" s="4" t="s">
        <v>1992</v>
      </c>
    </row>
    <row r="7863" spans="1:5" x14ac:dyDescent="0.2">
      <c r="A7863">
        <v>7802</v>
      </c>
      <c r="B7863" s="1821">
        <f>'PCTC-OEPP 27-28'!F131</f>
        <v>0</v>
      </c>
      <c r="D7863" s="2" t="str">
        <f t="shared" si="129"/>
        <v>Error?</v>
      </c>
      <c r="E7863" s="4" t="s">
        <v>1992</v>
      </c>
    </row>
    <row r="7864" spans="1:5" x14ac:dyDescent="0.2">
      <c r="A7864">
        <v>7803</v>
      </c>
      <c r="B7864" s="1821">
        <f>'PCTC-OEPP 27-28'!F132</f>
        <v>0</v>
      </c>
      <c r="D7864" s="2" t="str">
        <f t="shared" si="129"/>
        <v>Error?</v>
      </c>
      <c r="E7864" s="4" t="s">
        <v>1992</v>
      </c>
    </row>
    <row r="7865" spans="1:5" x14ac:dyDescent="0.2">
      <c r="A7865">
        <v>7804</v>
      </c>
      <c r="B7865" s="1821">
        <f>'PCTC-OEPP 27-28'!F133</f>
        <v>47483</v>
      </c>
      <c r="D7865" s="2" t="str">
        <f t="shared" si="129"/>
        <v>Error?</v>
      </c>
      <c r="E7865" s="4" t="s">
        <v>1992</v>
      </c>
    </row>
    <row r="7866" spans="1:5" x14ac:dyDescent="0.2">
      <c r="A7866">
        <v>7805</v>
      </c>
      <c r="B7866" s="1821">
        <f>'PCTC-OEPP 27-28'!F158</f>
        <v>0</v>
      </c>
      <c r="D7866" s="2" t="str">
        <f t="shared" si="129"/>
        <v>Error?</v>
      </c>
      <c r="E7866" s="4" t="s">
        <v>1992</v>
      </c>
    </row>
    <row r="7867" spans="1:5" x14ac:dyDescent="0.2">
      <c r="A7867">
        <v>7806</v>
      </c>
      <c r="B7867" s="1821">
        <f>'PCTC-OEPP 27-28'!F160</f>
        <v>0</v>
      </c>
      <c r="D7867" s="2" t="str">
        <f t="shared" si="129"/>
        <v>Error?</v>
      </c>
      <c r="E7867" s="4" t="s">
        <v>1992</v>
      </c>
    </row>
    <row r="7868" spans="1:5" x14ac:dyDescent="0.2">
      <c r="A7868">
        <v>7807</v>
      </c>
      <c r="B7868" s="1821">
        <f>'PCTC-OEPP 27-28'!F161</f>
        <v>0</v>
      </c>
      <c r="D7868" s="2" t="str">
        <f t="shared" si="129"/>
        <v>Error?</v>
      </c>
      <c r="E7868" s="4" t="s">
        <v>1992</v>
      </c>
    </row>
    <row r="7869" spans="1:5" x14ac:dyDescent="0.2">
      <c r="A7869">
        <v>7808</v>
      </c>
      <c r="B7869" s="1821">
        <f>'PCTC-OEPP 27-28'!F162</f>
        <v>0</v>
      </c>
      <c r="D7869" s="2" t="str">
        <f t="shared" si="129"/>
        <v>Error?</v>
      </c>
      <c r="E7869" s="4" t="s">
        <v>1992</v>
      </c>
    </row>
    <row r="7870" spans="1:5" x14ac:dyDescent="0.2">
      <c r="A7870">
        <v>7809</v>
      </c>
      <c r="B7870" s="1821">
        <f>'PCTC-OEPP 27-28'!F163</f>
        <v>0</v>
      </c>
      <c r="D7870" s="2" t="str">
        <f t="shared" si="129"/>
        <v>Error?</v>
      </c>
      <c r="E7870" s="4" t="s">
        <v>1992</v>
      </c>
    </row>
    <row r="7871" spans="1:5" x14ac:dyDescent="0.2">
      <c r="A7871">
        <v>7810</v>
      </c>
      <c r="B7871" s="1821">
        <f>'PCTC-OEPP 27-28'!F164</f>
        <v>0</v>
      </c>
      <c r="D7871" s="2" t="str">
        <f t="shared" si="129"/>
        <v>Error?</v>
      </c>
      <c r="E7871" s="4" t="s">
        <v>1992</v>
      </c>
    </row>
    <row r="7872" spans="1:5" x14ac:dyDescent="0.2">
      <c r="A7872">
        <v>7811</v>
      </c>
      <c r="B7872" s="1821">
        <f>'PCTC-OEPP 27-28'!F165</f>
        <v>69869</v>
      </c>
      <c r="D7872" s="2" t="str">
        <f t="shared" si="129"/>
        <v>Error?</v>
      </c>
      <c r="E7872" s="4" t="s">
        <v>1992</v>
      </c>
    </row>
    <row r="7873" spans="1:5" x14ac:dyDescent="0.2">
      <c r="A7873">
        <v>7812</v>
      </c>
      <c r="B7873" s="1821">
        <f>'PCTC-OEPP 27-28'!F166</f>
        <v>0</v>
      </c>
      <c r="D7873" s="2" t="str">
        <f t="shared" si="129"/>
        <v>Error?</v>
      </c>
      <c r="E7873" s="4" t="s">
        <v>1992</v>
      </c>
    </row>
    <row r="7874" spans="1:5" x14ac:dyDescent="0.2">
      <c r="A7874">
        <v>7813</v>
      </c>
      <c r="B7874" s="1821">
        <f>'PCTC-OEPP 27-28'!F169</f>
        <v>17055</v>
      </c>
      <c r="D7874" s="2" t="str">
        <f t="shared" si="129"/>
        <v>Error?</v>
      </c>
      <c r="E7874" s="4" t="s">
        <v>1992</v>
      </c>
    </row>
    <row r="7875" spans="1:5" x14ac:dyDescent="0.2">
      <c r="A7875">
        <v>7814</v>
      </c>
      <c r="B7875" s="1821">
        <f>'PCTC-OEPP 27-28'!F170</f>
        <v>97955</v>
      </c>
      <c r="D7875" s="2" t="str">
        <f t="shared" si="129"/>
        <v>Error?</v>
      </c>
      <c r="E7875" s="4" t="s">
        <v>1992</v>
      </c>
    </row>
    <row r="7876" spans="1:5" x14ac:dyDescent="0.2">
      <c r="A7876">
        <v>7815</v>
      </c>
      <c r="B7876" s="1821">
        <f>'PCTC-OEPP 27-28'!F171</f>
        <v>0</v>
      </c>
      <c r="D7876" s="2" t="str">
        <f t="shared" si="129"/>
        <v>Error?</v>
      </c>
      <c r="E7876" s="4" t="s">
        <v>1992</v>
      </c>
    </row>
    <row r="7877" spans="1:5" x14ac:dyDescent="0.2">
      <c r="A7877">
        <v>7816</v>
      </c>
      <c r="B7877" s="1821">
        <f>'PCTC-OEPP 27-28'!F175</f>
        <v>5402672</v>
      </c>
      <c r="D7877" s="2" t="str">
        <f t="shared" si="129"/>
        <v>Error?</v>
      </c>
      <c r="E7877" s="4" t="s">
        <v>1992</v>
      </c>
    </row>
    <row r="7878" spans="1:5" x14ac:dyDescent="0.2">
      <c r="A7878">
        <v>7817</v>
      </c>
      <c r="B7878" s="1821">
        <f>'PCTC-OEPP 27-28'!F176</f>
        <v>24482980</v>
      </c>
      <c r="D7878" s="2" t="str">
        <f t="shared" si="129"/>
        <v>Error?</v>
      </c>
      <c r="E7878" s="4" t="s">
        <v>1992</v>
      </c>
    </row>
    <row r="7879" spans="1:5" x14ac:dyDescent="0.2">
      <c r="A7879">
        <v>7818</v>
      </c>
      <c r="B7879" s="1821">
        <f>'PCTC-OEPP 27-28'!F178</f>
        <v>25389546.699999999</v>
      </c>
      <c r="D7879" s="2" t="str">
        <f t="shared" si="129"/>
        <v>Error?</v>
      </c>
      <c r="E7879" s="4" t="s">
        <v>1992</v>
      </c>
    </row>
    <row r="7880" spans="1:5" x14ac:dyDescent="0.2">
      <c r="A7880">
        <v>7819</v>
      </c>
      <c r="B7880" s="1821">
        <f>'PCTC-OEPP 27-28'!F180</f>
        <v>13560.61886449821</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pageSetUpPr fitToPage="1"/>
  </sheetPr>
  <dimension ref="A1:AC59"/>
  <sheetViews>
    <sheetView showGridLines="0" showZeros="0" topLeftCell="A7" zoomScale="110" zoomScaleNormal="110" workbookViewId="0">
      <selection activeCell="B39" sqref="B39"/>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744" t="s">
        <v>1180</v>
      </c>
      <c r="B2" s="2744"/>
      <c r="C2" s="2744"/>
      <c r="D2" s="2744"/>
      <c r="E2" s="2744"/>
      <c r="F2" s="2744"/>
      <c r="G2" s="2744"/>
      <c r="H2" s="2744"/>
      <c r="I2" s="2744"/>
      <c r="J2" s="2744"/>
      <c r="K2" s="2744"/>
      <c r="L2" s="2744"/>
    </row>
    <row r="3" spans="1:29" ht="13.5" customHeight="1" x14ac:dyDescent="0.2">
      <c r="A3" s="2730" t="s">
        <v>1179</v>
      </c>
      <c r="B3" s="2730"/>
      <c r="C3" s="2730"/>
      <c r="D3" s="2730"/>
      <c r="E3" s="2730"/>
      <c r="F3" s="2730"/>
      <c r="G3" s="2730"/>
      <c r="H3" s="2730"/>
      <c r="I3" s="2730"/>
      <c r="J3" s="2730"/>
      <c r="K3" s="2730"/>
      <c r="L3" s="2730"/>
    </row>
    <row r="4" spans="1:29" ht="13.5" customHeight="1" x14ac:dyDescent="0.2">
      <c r="A4" s="2761" t="str">
        <f>"Year Ending June 30, "&amp;'AFR20'!E2</f>
        <v>Year Ending June 30, 2020</v>
      </c>
      <c r="B4" s="2762"/>
      <c r="C4" s="2762"/>
      <c r="D4" s="2762"/>
      <c r="E4" s="2762"/>
      <c r="F4" s="2762"/>
      <c r="G4" s="2762"/>
      <c r="H4" s="2762"/>
      <c r="I4" s="2762"/>
      <c r="J4" s="2762"/>
      <c r="K4" s="2762"/>
      <c r="L4" s="2762"/>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724" t="str">
        <f>COVER!A17</f>
        <v xml:space="preserve"> McHenry CHSD 156</v>
      </c>
      <c r="B7" s="2725"/>
      <c r="C7" s="2725"/>
      <c r="D7" s="2763"/>
      <c r="E7" s="2764">
        <f>COVER!A13</f>
        <v>44063156016</v>
      </c>
      <c r="F7" s="2765"/>
      <c r="G7" s="2731" t="str">
        <f>COVER!T23</f>
        <v>066-005142</v>
      </c>
      <c r="H7" s="2732"/>
      <c r="I7" s="2732"/>
      <c r="J7" s="2732"/>
      <c r="K7" s="2732"/>
      <c r="L7" s="2733"/>
    </row>
    <row r="8" spans="1:29" ht="13.5" customHeight="1" x14ac:dyDescent="0.2">
      <c r="A8" s="956" t="s">
        <v>1497</v>
      </c>
      <c r="B8" s="957"/>
      <c r="C8" s="958"/>
      <c r="D8" s="958"/>
      <c r="E8" s="963"/>
      <c r="F8" s="962"/>
      <c r="G8" s="964" t="s">
        <v>1175</v>
      </c>
      <c r="H8" s="965"/>
      <c r="I8" s="965"/>
      <c r="J8" s="965"/>
      <c r="K8" s="965"/>
      <c r="L8" s="966"/>
    </row>
    <row r="9" spans="1:29" ht="13.5" customHeight="1" x14ac:dyDescent="0.2">
      <c r="A9" s="2734"/>
      <c r="B9" s="2735"/>
      <c r="C9" s="2735"/>
      <c r="D9" s="2735"/>
      <c r="E9" s="2735"/>
      <c r="F9" s="2736"/>
      <c r="G9" s="2737" t="str">
        <f>COVER!T13</f>
        <v>EDER, CASELLA &amp; CO.</v>
      </c>
      <c r="H9" s="2738"/>
      <c r="I9" s="2738"/>
      <c r="J9" s="2738"/>
      <c r="K9" s="2738"/>
      <c r="L9" s="2739"/>
    </row>
    <row r="10" spans="1:29" ht="13.5" customHeight="1" x14ac:dyDescent="0.2">
      <c r="A10" s="2721" t="str">
        <f>COVER!A38</f>
        <v>DAVID LAWSON</v>
      </c>
      <c r="B10" s="2722"/>
      <c r="C10" s="2722"/>
      <c r="D10" s="2722"/>
      <c r="E10" s="2722"/>
      <c r="F10" s="2723"/>
      <c r="G10" s="2737" t="str">
        <f>COVER!T17</f>
        <v>5400 WEST ELM STREET, SUITE 203</v>
      </c>
      <c r="H10" s="2750"/>
      <c r="I10" s="2750"/>
      <c r="J10" s="2750"/>
      <c r="K10" s="2750"/>
      <c r="L10" s="2751"/>
    </row>
    <row r="11" spans="1:29" ht="13.5" customHeight="1" x14ac:dyDescent="0.2">
      <c r="A11" s="956" t="s">
        <v>1499</v>
      </c>
      <c r="B11" s="957"/>
      <c r="C11" s="958"/>
      <c r="D11" s="963"/>
      <c r="E11" s="958"/>
      <c r="F11" s="962"/>
      <c r="G11" s="2737" t="str">
        <f>COVER!T19</f>
        <v>MCHENRY</v>
      </c>
      <c r="H11" s="2750"/>
      <c r="I11" s="2750"/>
      <c r="J11" s="2750"/>
      <c r="K11" s="2750"/>
      <c r="L11" s="2751"/>
    </row>
    <row r="12" spans="1:29" ht="13.5" customHeight="1" x14ac:dyDescent="0.2">
      <c r="A12" s="2755" t="s">
        <v>1498</v>
      </c>
      <c r="B12" s="2756"/>
      <c r="C12" s="2756"/>
      <c r="D12" s="2756"/>
      <c r="E12" s="2756"/>
      <c r="F12" s="2757"/>
      <c r="G12" s="2752"/>
      <c r="H12" s="2753"/>
      <c r="I12" s="2753"/>
      <c r="J12" s="2753"/>
      <c r="K12" s="2753"/>
      <c r="L12" s="2754"/>
    </row>
    <row r="13" spans="1:29" ht="13.5" customHeight="1" x14ac:dyDescent="0.2">
      <c r="A13" s="2737"/>
      <c r="B13" s="2750"/>
      <c r="C13" s="2750"/>
      <c r="D13" s="2750"/>
      <c r="E13" s="2750"/>
      <c r="F13" s="2751"/>
      <c r="G13" s="2745" t="s">
        <v>1500</v>
      </c>
      <c r="H13" s="2746"/>
      <c r="I13" s="2758" t="str">
        <f>COVER!T25</f>
        <v>CPAS@EDERCASELLA.COM</v>
      </c>
      <c r="J13" s="2759"/>
      <c r="K13" s="2759"/>
      <c r="L13" s="2760"/>
    </row>
    <row r="14" spans="1:29" ht="13.5" customHeight="1" x14ac:dyDescent="0.2">
      <c r="A14" s="2737" t="str">
        <f>COVER!A19</f>
        <v>4716 W CRYSTAL LAKE ROAD</v>
      </c>
      <c r="B14" s="2750"/>
      <c r="C14" s="2750"/>
      <c r="D14" s="2750"/>
      <c r="E14" s="2750"/>
      <c r="F14" s="2751"/>
      <c r="G14" s="967" t="s">
        <v>1174</v>
      </c>
      <c r="H14" s="965"/>
      <c r="I14" s="965"/>
      <c r="J14" s="965"/>
      <c r="K14" s="965"/>
      <c r="L14" s="966"/>
    </row>
    <row r="15" spans="1:29" ht="13.5" customHeight="1" x14ac:dyDescent="0.2">
      <c r="A15" s="2737" t="str">
        <f>COVER!A21</f>
        <v>MCHENRY</v>
      </c>
      <c r="B15" s="2750"/>
      <c r="C15" s="2750"/>
      <c r="D15" s="2750"/>
      <c r="E15" s="2750"/>
      <c r="F15" s="2751"/>
      <c r="G15" s="2747" t="str">
        <f>COVER!T15</f>
        <v>CHERYDEN JUERGENSEN</v>
      </c>
      <c r="H15" s="2748"/>
      <c r="I15" s="2748"/>
      <c r="J15" s="2748"/>
      <c r="K15" s="2748"/>
      <c r="L15" s="2749"/>
    </row>
    <row r="16" spans="1:29" ht="12.2" customHeight="1" x14ac:dyDescent="0.2">
      <c r="A16" s="2727">
        <f>COVER!A25</f>
        <v>0</v>
      </c>
      <c r="B16" s="2728"/>
      <c r="C16" s="2728"/>
      <c r="D16" s="2728"/>
      <c r="E16" s="2728"/>
      <c r="F16" s="2729"/>
      <c r="G16" s="2740"/>
      <c r="H16" s="2741"/>
      <c r="I16" s="2741"/>
      <c r="J16" s="2741"/>
      <c r="K16" s="2741"/>
      <c r="L16" s="2742"/>
    </row>
    <row r="17" spans="1:13" ht="12.2" customHeight="1" x14ac:dyDescent="0.2">
      <c r="A17" s="2743"/>
      <c r="B17" s="2728"/>
      <c r="C17" s="2728"/>
      <c r="D17" s="2728"/>
      <c r="E17" s="2728"/>
      <c r="F17" s="2729"/>
      <c r="G17" s="967" t="s">
        <v>1173</v>
      </c>
      <c r="H17" s="965"/>
      <c r="I17" s="965"/>
      <c r="J17" s="965"/>
      <c r="K17" s="969" t="s">
        <v>1172</v>
      </c>
      <c r="L17" s="962"/>
      <c r="M17" s="955"/>
    </row>
    <row r="18" spans="1:13" ht="12.2" customHeight="1" x14ac:dyDescent="0.2">
      <c r="A18" s="2721"/>
      <c r="B18" s="2722"/>
      <c r="C18" s="2722"/>
      <c r="D18" s="2722"/>
      <c r="E18" s="2722"/>
      <c r="F18" s="2723"/>
      <c r="G18" s="2724" t="str">
        <f>COVER!T21</f>
        <v>815-344-1300</v>
      </c>
      <c r="H18" s="2725"/>
      <c r="I18" s="2725"/>
      <c r="J18" s="2725"/>
      <c r="K18" s="2724" t="str">
        <f>COVER!X21</f>
        <v>815-344-1320</v>
      </c>
      <c r="L18" s="2726"/>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t="s">
        <v>2116</v>
      </c>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t="s">
        <v>2116</v>
      </c>
      <c r="C26" s="974" t="s">
        <v>1674</v>
      </c>
    </row>
    <row r="27" spans="1:13" s="970" customFormat="1" ht="9" customHeight="1" x14ac:dyDescent="0.2">
      <c r="B27" s="975"/>
      <c r="C27" s="974"/>
    </row>
    <row r="28" spans="1:13" s="970" customFormat="1" ht="12.2" customHeight="1" x14ac:dyDescent="0.2">
      <c r="A28" s="977"/>
      <c r="B28" s="973" t="s">
        <v>2116</v>
      </c>
      <c r="C28" s="974" t="s">
        <v>1675</v>
      </c>
    </row>
    <row r="29" spans="1:13" s="970" customFormat="1" ht="9" customHeight="1" x14ac:dyDescent="0.2">
      <c r="A29" s="977"/>
      <c r="B29" s="975"/>
      <c r="C29" s="974"/>
    </row>
    <row r="30" spans="1:13" s="970" customFormat="1" ht="12.2" customHeight="1" x14ac:dyDescent="0.2">
      <c r="B30" s="973" t="s">
        <v>2116</v>
      </c>
      <c r="C30" s="974" t="s">
        <v>1542</v>
      </c>
      <c r="D30" s="968"/>
      <c r="E30" s="968"/>
    </row>
    <row r="31" spans="1:13" s="970" customFormat="1" ht="9" customHeight="1" x14ac:dyDescent="0.2">
      <c r="B31" s="975"/>
      <c r="C31" s="974"/>
      <c r="D31" s="968"/>
      <c r="E31" s="968"/>
    </row>
    <row r="32" spans="1:13" s="970" customFormat="1" ht="12.2" customHeight="1" x14ac:dyDescent="0.2">
      <c r="B32" s="973" t="s">
        <v>2116</v>
      </c>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t="s">
        <v>2116</v>
      </c>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t="s">
        <v>2116</v>
      </c>
      <c r="C38" s="974" t="s">
        <v>1546</v>
      </c>
    </row>
    <row r="39" spans="1:8" ht="9" customHeight="1" x14ac:dyDescent="0.2">
      <c r="B39" s="975"/>
      <c r="C39" s="978"/>
    </row>
    <row r="40" spans="1:8" s="970" customFormat="1" ht="13.5" customHeight="1" x14ac:dyDescent="0.2">
      <c r="B40" s="973" t="s">
        <v>2116</v>
      </c>
      <c r="C40" s="974" t="s">
        <v>1547</v>
      </c>
    </row>
    <row r="41" spans="1:8" ht="9" customHeight="1" x14ac:dyDescent="0.2">
      <c r="A41" s="979"/>
      <c r="B41" s="975"/>
      <c r="C41" s="978"/>
    </row>
    <row r="42" spans="1:8" s="970" customFormat="1" ht="13.5" customHeight="1" x14ac:dyDescent="0.2">
      <c r="B42" s="973"/>
      <c r="C42" s="974" t="s">
        <v>1803</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K127"/>
  <sheetViews>
    <sheetView showGridLines="0" topLeftCell="A46" zoomScale="125" zoomScaleNormal="125" workbookViewId="0">
      <selection sqref="A1:E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766" t="str">
        <f>'Single Audit Cover'!A7</f>
        <v xml:space="preserve"> McHenry CHSD 156</v>
      </c>
      <c r="B1" s="2767"/>
      <c r="C1" s="2767"/>
      <c r="D1" s="2767"/>
    </row>
    <row r="2" spans="1:11" s="984" customFormat="1" ht="12.75" x14ac:dyDescent="0.2">
      <c r="A2" s="2768">
        <f>'Single Audit Cover'!E7</f>
        <v>44063156016</v>
      </c>
      <c r="B2" s="2769"/>
      <c r="C2" s="2769"/>
      <c r="D2" s="2769"/>
    </row>
    <row r="3" spans="1:11" s="984" customFormat="1" ht="12.75" x14ac:dyDescent="0.2">
      <c r="A3" s="2766" t="s">
        <v>1493</v>
      </c>
      <c r="B3" s="2767"/>
      <c r="C3" s="2767"/>
      <c r="D3" s="2767"/>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1963</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1804</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771" t="str">
        <f>'Single Audit Cover'!A7</f>
        <v xml:space="preserve"> McHenry CHSD 156</v>
      </c>
      <c r="B1" s="2771"/>
      <c r="C1" s="2771"/>
      <c r="D1" s="2771"/>
      <c r="E1" s="2771"/>
    </row>
    <row r="2" spans="1:5" x14ac:dyDescent="0.2">
      <c r="A2" s="2772">
        <f>'Single Audit Cover'!E7</f>
        <v>44063156016</v>
      </c>
      <c r="B2" s="2772"/>
      <c r="C2" s="2772"/>
      <c r="D2" s="2772"/>
      <c r="E2" s="2772"/>
    </row>
    <row r="3" spans="1:5" ht="4.5" customHeight="1" x14ac:dyDescent="0.2"/>
    <row r="4" spans="1:5" x14ac:dyDescent="0.2">
      <c r="A4" s="2771" t="s">
        <v>1233</v>
      </c>
      <c r="B4" s="2771"/>
      <c r="C4" s="2771"/>
      <c r="D4" s="2771"/>
      <c r="E4" s="2771"/>
    </row>
    <row r="5" spans="1:5" x14ac:dyDescent="0.2">
      <c r="A5" s="2774" t="str">
        <f>'Single Audit Cover'!A4</f>
        <v>Year Ending June 30, 2020</v>
      </c>
      <c r="B5" s="2774"/>
      <c r="C5" s="2774"/>
      <c r="D5" s="2774"/>
      <c r="E5" s="2774"/>
    </row>
    <row r="6" spans="1:5" x14ac:dyDescent="0.2">
      <c r="A6" s="2771" t="s">
        <v>1232</v>
      </c>
      <c r="B6" s="2771"/>
      <c r="C6" s="2771"/>
      <c r="D6" s="2771"/>
      <c r="E6" s="2771"/>
    </row>
    <row r="8" spans="1:5" x14ac:dyDescent="0.2">
      <c r="A8" s="1029" t="s">
        <v>1231</v>
      </c>
    </row>
    <row r="10" spans="1:5" x14ac:dyDescent="0.2">
      <c r="A10" s="1030" t="s">
        <v>1230</v>
      </c>
      <c r="B10" s="1031" t="s">
        <v>1229</v>
      </c>
      <c r="C10" s="1031"/>
      <c r="D10" s="1032">
        <f>SUM('Acct Summary 7-8'!C7:K7)</f>
        <v>1572717</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1998</v>
      </c>
      <c r="B14" s="1031"/>
      <c r="C14" s="1031"/>
      <c r="D14" s="1033">
        <v>52244</v>
      </c>
    </row>
    <row r="15" spans="1:5" x14ac:dyDescent="0.2">
      <c r="A15" s="1030"/>
      <c r="B15" s="1031"/>
      <c r="C15" s="1031"/>
    </row>
    <row r="16" spans="1:5" x14ac:dyDescent="0.2">
      <c r="A16" s="1030" t="s">
        <v>1809</v>
      </c>
      <c r="B16" s="1031"/>
      <c r="C16" s="1031"/>
    </row>
    <row r="17" spans="1:4" x14ac:dyDescent="0.2">
      <c r="A17" s="1030" t="s">
        <v>1958</v>
      </c>
      <c r="B17" s="1031" t="s">
        <v>1224</v>
      </c>
      <c r="C17" s="1031"/>
      <c r="D17" s="1033">
        <f>-SUM('Revenues 9-14'!C264:D264,'Revenues 9-14'!F264:G264)</f>
        <v>-97955</v>
      </c>
    </row>
    <row r="19" spans="1:4" ht="13.5" thickBot="1" x14ac:dyDescent="0.25">
      <c r="A19" s="1034" t="s">
        <v>1223</v>
      </c>
      <c r="D19" s="1035">
        <f>SUM(D10:D17)</f>
        <v>1527006</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773" t="s">
        <v>2059</v>
      </c>
      <c r="B24" s="2773"/>
      <c r="D24" s="1037">
        <v>202.2</v>
      </c>
    </row>
    <row r="25" spans="1:4" x14ac:dyDescent="0.2">
      <c r="A25" s="2770" t="s">
        <v>2060</v>
      </c>
      <c r="B25" s="2770"/>
      <c r="D25" s="1037">
        <v>508</v>
      </c>
    </row>
    <row r="26" spans="1:4" x14ac:dyDescent="0.2">
      <c r="A26" s="2770" t="s">
        <v>2061</v>
      </c>
      <c r="B26" s="2770"/>
      <c r="D26" s="1037">
        <v>1</v>
      </c>
    </row>
    <row r="27" spans="1:4" x14ac:dyDescent="0.2">
      <c r="A27" s="2770"/>
      <c r="B27" s="2770"/>
      <c r="D27" s="1037"/>
    </row>
    <row r="28" spans="1:4" x14ac:dyDescent="0.2">
      <c r="A28" s="2770"/>
      <c r="B28" s="2770"/>
      <c r="D28" s="1037"/>
    </row>
    <row r="29" spans="1:4" x14ac:dyDescent="0.2">
      <c r="A29" s="2770"/>
      <c r="B29" s="2770"/>
      <c r="D29" s="1037"/>
    </row>
    <row r="30" spans="1:4" x14ac:dyDescent="0.2">
      <c r="A30" s="2770"/>
      <c r="B30" s="2770"/>
      <c r="D30" s="1037"/>
    </row>
    <row r="32" spans="1:4" x14ac:dyDescent="0.2">
      <c r="A32" s="1029" t="s">
        <v>1221</v>
      </c>
      <c r="D32" s="1032">
        <f>SUM(D19:D30)</f>
        <v>1527717.2</v>
      </c>
    </row>
    <row r="33" spans="1:4" x14ac:dyDescent="0.2">
      <c r="D33" s="1038"/>
    </row>
    <row r="34" spans="1:4" x14ac:dyDescent="0.2">
      <c r="A34" s="295" t="s">
        <v>1220</v>
      </c>
    </row>
    <row r="35" spans="1:4" x14ac:dyDescent="0.2">
      <c r="A35" s="295" t="s">
        <v>1219</v>
      </c>
      <c r="B35" s="1027" t="s">
        <v>1218</v>
      </c>
      <c r="D35" s="1039">
        <v>1527717</v>
      </c>
    </row>
    <row r="37" spans="1:4" x14ac:dyDescent="0.2">
      <c r="A37" s="1029" t="s">
        <v>1217</v>
      </c>
    </row>
    <row r="39" spans="1:4" ht="13.35" customHeight="1" x14ac:dyDescent="0.2">
      <c r="A39" s="1036" t="s">
        <v>1216</v>
      </c>
    </row>
    <row r="40" spans="1:4" x14ac:dyDescent="0.2">
      <c r="A40" s="2770"/>
      <c r="B40" s="2770"/>
      <c r="D40" s="1037"/>
    </row>
    <row r="41" spans="1:4" x14ac:dyDescent="0.2">
      <c r="A41" s="2770"/>
      <c r="B41" s="2770"/>
      <c r="D41" s="1040"/>
    </row>
    <row r="42" spans="1:4" x14ac:dyDescent="0.2">
      <c r="A42" s="2770"/>
      <c r="B42" s="2770"/>
      <c r="D42" s="1040"/>
    </row>
    <row r="43" spans="1:4" x14ac:dyDescent="0.2">
      <c r="A43" s="2770"/>
      <c r="B43" s="2770"/>
      <c r="D43" s="1040"/>
    </row>
    <row r="44" spans="1:4" x14ac:dyDescent="0.2">
      <c r="A44" s="2770"/>
      <c r="B44" s="2770"/>
      <c r="D44" s="1040"/>
    </row>
    <row r="45" spans="1:4" x14ac:dyDescent="0.2">
      <c r="A45" s="2770"/>
      <c r="B45" s="2770"/>
      <c r="D45" s="1040"/>
    </row>
    <row r="47" spans="1:4" x14ac:dyDescent="0.2">
      <c r="B47" s="1041" t="s">
        <v>1215</v>
      </c>
      <c r="C47" s="1041"/>
      <c r="D47" s="1042">
        <f>SUM(D35:D45)</f>
        <v>1527717</v>
      </c>
    </row>
    <row r="49" spans="2:4" x14ac:dyDescent="0.2">
      <c r="B49" s="1041" t="s">
        <v>1214</v>
      </c>
      <c r="C49" s="1041"/>
      <c r="D49" s="1042">
        <f>D32-D47</f>
        <v>0.19999999995343387</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sheetPr>
  <dimension ref="B1:N152"/>
  <sheetViews>
    <sheetView showGridLines="0" zoomScaleNormal="100" workbookViewId="0">
      <selection activeCell="B11" sqref="B11:M27"/>
    </sheetView>
  </sheetViews>
  <sheetFormatPr defaultColWidth="33.5703125" defaultRowHeight="12.75" x14ac:dyDescent="0.2"/>
  <cols>
    <col min="1" max="1" width="0.140625" style="295" customWidth="1"/>
    <col min="2" max="2" width="36.570312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730" t="str">
        <f>'Single Audit Cover'!A7</f>
        <v xml:space="preserve"> McHenry CHSD 156</v>
      </c>
      <c r="C1" s="2775"/>
      <c r="D1" s="2775"/>
      <c r="E1" s="2775"/>
      <c r="F1" s="2775"/>
      <c r="G1" s="2775"/>
      <c r="H1" s="2775"/>
      <c r="I1" s="2775"/>
      <c r="J1" s="2775"/>
      <c r="K1" s="2775"/>
      <c r="L1" s="2775"/>
      <c r="M1" s="2775"/>
    </row>
    <row r="2" spans="2:14" ht="15" x14ac:dyDescent="0.2">
      <c r="B2" s="2776">
        <f>'Single Audit Cover'!E7</f>
        <v>44063156016</v>
      </c>
      <c r="C2" s="2776"/>
      <c r="D2" s="2776"/>
      <c r="E2" s="2776"/>
      <c r="F2" s="2776"/>
      <c r="G2" s="2776"/>
      <c r="H2" s="2776"/>
      <c r="I2" s="2776"/>
      <c r="J2" s="2776"/>
      <c r="K2" s="2776"/>
      <c r="L2" s="2776"/>
      <c r="M2" s="2776"/>
      <c r="N2" s="1071"/>
    </row>
    <row r="3" spans="2:14" ht="15" x14ac:dyDescent="0.2">
      <c r="B3" s="2777" t="s">
        <v>1207</v>
      </c>
      <c r="C3" s="2777"/>
      <c r="D3" s="2777"/>
      <c r="E3" s="2777"/>
      <c r="F3" s="2777"/>
      <c r="G3" s="2777"/>
      <c r="H3" s="2777"/>
      <c r="I3" s="2777"/>
      <c r="J3" s="2777"/>
      <c r="K3" s="2777"/>
      <c r="L3" s="2777"/>
      <c r="M3" s="2777"/>
      <c r="N3" s="1071"/>
    </row>
    <row r="4" spans="2:14" ht="15" x14ac:dyDescent="0.2">
      <c r="B4" s="2778" t="str">
        <f>'Single Audit Cover'!A4</f>
        <v>Year Ending June 30, 2020</v>
      </c>
      <c r="C4" s="2778"/>
      <c r="D4" s="2778"/>
      <c r="E4" s="2778"/>
      <c r="F4" s="2778"/>
      <c r="G4" s="2778"/>
      <c r="H4" s="2778"/>
      <c r="I4" s="2778"/>
      <c r="J4" s="2778"/>
      <c r="K4" s="2778"/>
      <c r="L4" s="2778"/>
      <c r="M4" s="2778"/>
      <c r="N4" s="1071"/>
    </row>
    <row r="5" spans="2:14" x14ac:dyDescent="0.2">
      <c r="H5" s="1901"/>
      <c r="J5" s="1901"/>
    </row>
    <row r="6" spans="2:14" x14ac:dyDescent="0.2">
      <c r="B6" s="1072"/>
      <c r="C6" s="1073"/>
      <c r="D6" s="1074" t="s">
        <v>1253</v>
      </c>
      <c r="E6" s="1075" t="s">
        <v>524</v>
      </c>
      <c r="F6" s="1076"/>
      <c r="G6" s="1077" t="s">
        <v>1705</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2062</v>
      </c>
      <c r="C11" s="1810"/>
      <c r="D11" s="1811"/>
      <c r="E11" s="1812"/>
      <c r="F11" s="1812"/>
      <c r="G11" s="1812"/>
      <c r="H11" s="1812"/>
      <c r="I11" s="1812"/>
      <c r="J11" s="1812"/>
      <c r="K11" s="1812"/>
      <c r="L11" s="1812"/>
      <c r="M11" s="1812"/>
    </row>
    <row r="12" spans="2:14" ht="20.100000000000001" customHeight="1" x14ac:dyDescent="0.2">
      <c r="B12" s="1106" t="s">
        <v>2063</v>
      </c>
      <c r="C12" s="1813"/>
      <c r="D12" s="1814"/>
      <c r="E12" s="1815"/>
      <c r="F12" s="1815"/>
      <c r="G12" s="1815"/>
      <c r="H12" s="1815"/>
      <c r="I12" s="1815"/>
      <c r="J12" s="1815"/>
      <c r="K12" s="1815"/>
      <c r="L12" s="1812"/>
      <c r="M12" s="1815"/>
    </row>
    <row r="13" spans="2:14" ht="20.100000000000001" customHeight="1" x14ac:dyDescent="0.2">
      <c r="B13" s="1106" t="s">
        <v>2064</v>
      </c>
      <c r="C13" s="1813"/>
      <c r="D13" s="1814"/>
      <c r="E13" s="1815"/>
      <c r="F13" s="1815"/>
      <c r="G13" s="1815"/>
      <c r="H13" s="1815"/>
      <c r="I13" s="1815"/>
      <c r="J13" s="1815"/>
      <c r="K13" s="1815"/>
      <c r="L13" s="1812"/>
      <c r="M13" s="1815"/>
    </row>
    <row r="14" spans="2:14" ht="20.100000000000001" customHeight="1" x14ac:dyDescent="0.2">
      <c r="B14" s="1106" t="s">
        <v>2065</v>
      </c>
      <c r="C14" s="1813">
        <v>10.555</v>
      </c>
      <c r="D14" s="1814" t="s">
        <v>2066</v>
      </c>
      <c r="E14" s="1815"/>
      <c r="F14" s="1815">
        <v>16716</v>
      </c>
      <c r="G14" s="1815"/>
      <c r="H14" s="1815"/>
      <c r="I14" s="1815">
        <v>16716</v>
      </c>
      <c r="J14" s="1815"/>
      <c r="K14" s="1815"/>
      <c r="L14" s="1812">
        <f t="shared" ref="L14:L25" si="0">+G14+I14+K14</f>
        <v>16716</v>
      </c>
      <c r="M14" s="1815" t="s">
        <v>2067</v>
      </c>
    </row>
    <row r="15" spans="2:14" ht="20.100000000000001" customHeight="1" x14ac:dyDescent="0.2">
      <c r="B15" s="1106" t="s">
        <v>2068</v>
      </c>
      <c r="C15" s="1813"/>
      <c r="D15" s="1814"/>
      <c r="E15" s="1815"/>
      <c r="F15" s="1815"/>
      <c r="G15" s="1815"/>
      <c r="H15" s="1815"/>
      <c r="I15" s="1815"/>
      <c r="J15" s="1815"/>
      <c r="K15" s="1815"/>
      <c r="L15" s="1812"/>
      <c r="M15" s="1815"/>
    </row>
    <row r="16" spans="2:14" ht="20.100000000000001" customHeight="1" x14ac:dyDescent="0.2">
      <c r="B16" s="1106" t="s">
        <v>2065</v>
      </c>
      <c r="C16" s="1813">
        <v>10.555</v>
      </c>
      <c r="D16" s="1814" t="s">
        <v>2066</v>
      </c>
      <c r="E16" s="1815"/>
      <c r="F16" s="1815">
        <v>35528</v>
      </c>
      <c r="G16" s="1815"/>
      <c r="H16" s="1815"/>
      <c r="I16" s="1815">
        <v>35528</v>
      </c>
      <c r="J16" s="1815"/>
      <c r="K16" s="1815"/>
      <c r="L16" s="1812">
        <f t="shared" si="0"/>
        <v>35528</v>
      </c>
      <c r="M16" s="1815" t="s">
        <v>2067</v>
      </c>
    </row>
    <row r="17" spans="2:14" ht="20.100000000000001" customHeight="1" x14ac:dyDescent="0.2">
      <c r="B17" s="1106" t="s">
        <v>2069</v>
      </c>
      <c r="C17" s="1813">
        <v>10.555</v>
      </c>
      <c r="D17" s="1814" t="s">
        <v>2070</v>
      </c>
      <c r="E17" s="1815">
        <v>213761</v>
      </c>
      <c r="F17" s="1815">
        <v>46552</v>
      </c>
      <c r="G17" s="1815">
        <v>213761</v>
      </c>
      <c r="H17" s="1815"/>
      <c r="I17" s="1815">
        <v>46552</v>
      </c>
      <c r="J17" s="1815"/>
      <c r="K17" s="1815"/>
      <c r="L17" s="1812">
        <f t="shared" si="0"/>
        <v>260313</v>
      </c>
      <c r="M17" s="1815" t="s">
        <v>2067</v>
      </c>
    </row>
    <row r="18" spans="2:14" ht="20.100000000000001" customHeight="1" x14ac:dyDescent="0.2">
      <c r="B18" s="1106" t="s">
        <v>2069</v>
      </c>
      <c r="C18" s="1813">
        <v>10.555</v>
      </c>
      <c r="D18" s="1814" t="s">
        <v>2071</v>
      </c>
      <c r="E18" s="1815"/>
      <c r="F18" s="1815">
        <v>159302</v>
      </c>
      <c r="G18" s="1815"/>
      <c r="H18" s="1815"/>
      <c r="I18" s="1815">
        <v>159302</v>
      </c>
      <c r="J18" s="1815"/>
      <c r="K18" s="1815"/>
      <c r="L18" s="1812">
        <f t="shared" si="0"/>
        <v>159302</v>
      </c>
      <c r="M18" s="1815" t="s">
        <v>2067</v>
      </c>
    </row>
    <row r="19" spans="2:14" ht="20.100000000000001" customHeight="1" x14ac:dyDescent="0.2">
      <c r="B19" s="1106" t="s">
        <v>2072</v>
      </c>
      <c r="C19" s="1813"/>
      <c r="D19" s="1814"/>
      <c r="E19" s="1815">
        <f>SUM(E14:E18)</f>
        <v>213761</v>
      </c>
      <c r="F19" s="1815">
        <f>SUM(F14:F18)</f>
        <v>258098</v>
      </c>
      <c r="G19" s="1815">
        <f>SUM(G14:G18)</f>
        <v>213761</v>
      </c>
      <c r="H19" s="1815"/>
      <c r="I19" s="1815">
        <f>SUM(I14:I18)</f>
        <v>258098</v>
      </c>
      <c r="J19" s="1815"/>
      <c r="K19" s="1815"/>
      <c r="L19" s="1812">
        <f t="shared" si="0"/>
        <v>471859</v>
      </c>
      <c r="M19" s="1815"/>
    </row>
    <row r="20" spans="2:14" ht="20.100000000000001" customHeight="1" x14ac:dyDescent="0.2">
      <c r="B20" s="1106" t="s">
        <v>2073</v>
      </c>
      <c r="C20" s="1813">
        <v>10.553000000000001</v>
      </c>
      <c r="D20" s="1814" t="s">
        <v>2074</v>
      </c>
      <c r="E20" s="1815">
        <v>29399</v>
      </c>
      <c r="F20" s="1815">
        <v>4611</v>
      </c>
      <c r="G20" s="1815">
        <v>29399</v>
      </c>
      <c r="H20" s="1815"/>
      <c r="I20" s="1815">
        <v>4611</v>
      </c>
      <c r="J20" s="1815"/>
      <c r="K20" s="1815"/>
      <c r="L20" s="1812">
        <f t="shared" si="0"/>
        <v>34010</v>
      </c>
      <c r="M20" s="1815" t="s">
        <v>2067</v>
      </c>
    </row>
    <row r="21" spans="2:14" ht="20.100000000000001" customHeight="1" x14ac:dyDescent="0.2">
      <c r="B21" s="1106" t="s">
        <v>2073</v>
      </c>
      <c r="C21" s="1813">
        <v>10.553000000000001</v>
      </c>
      <c r="D21" s="1814" t="s">
        <v>2075</v>
      </c>
      <c r="E21" s="1815"/>
      <c r="F21" s="1815">
        <v>20519</v>
      </c>
      <c r="G21" s="1815"/>
      <c r="H21" s="1815"/>
      <c r="I21" s="1815">
        <v>20519</v>
      </c>
      <c r="J21" s="1815"/>
      <c r="K21" s="1815"/>
      <c r="L21" s="1812">
        <f t="shared" si="0"/>
        <v>20519</v>
      </c>
      <c r="M21" s="1815" t="s">
        <v>2067</v>
      </c>
    </row>
    <row r="22" spans="2:14" ht="20.100000000000001" customHeight="1" x14ac:dyDescent="0.2">
      <c r="B22" s="1106" t="s">
        <v>2076</v>
      </c>
      <c r="C22" s="1813"/>
      <c r="D22" s="1814"/>
      <c r="E22" s="1815">
        <f>SUM(E20:E21)</f>
        <v>29399</v>
      </c>
      <c r="F22" s="1815">
        <f>SUM(F20:F21)</f>
        <v>25130</v>
      </c>
      <c r="G22" s="1815">
        <f>SUM(G20:G21)</f>
        <v>29399</v>
      </c>
      <c r="H22" s="1815"/>
      <c r="I22" s="1815">
        <f>SUM(I20:I21)</f>
        <v>25130</v>
      </c>
      <c r="J22" s="1815"/>
      <c r="K22" s="1815"/>
      <c r="L22" s="1812">
        <f>+G22+I22+K22</f>
        <v>54529</v>
      </c>
      <c r="M22" s="1815"/>
    </row>
    <row r="23" spans="2:14" ht="20.100000000000001" customHeight="1" x14ac:dyDescent="0.2">
      <c r="B23" s="1106" t="s">
        <v>2077</v>
      </c>
      <c r="C23" s="1813">
        <v>10.558999999999999</v>
      </c>
      <c r="D23" s="1814" t="s">
        <v>2078</v>
      </c>
      <c r="E23" s="1815"/>
      <c r="F23" s="1815">
        <v>6887</v>
      </c>
      <c r="G23" s="1815"/>
      <c r="H23" s="1815"/>
      <c r="I23" s="1815">
        <v>6887</v>
      </c>
      <c r="J23" s="1815"/>
      <c r="K23" s="1815"/>
      <c r="L23" s="1812">
        <f t="shared" si="0"/>
        <v>6887</v>
      </c>
      <c r="M23" s="1815" t="s">
        <v>2067</v>
      </c>
    </row>
    <row r="24" spans="2:14" ht="20.100000000000001" customHeight="1" x14ac:dyDescent="0.2">
      <c r="B24" s="1106" t="s">
        <v>2079</v>
      </c>
      <c r="C24" s="1813"/>
      <c r="D24" s="1814"/>
      <c r="E24" s="1815">
        <f>E19+E22+E23</f>
        <v>243160</v>
      </c>
      <c r="F24" s="1815">
        <f>F19+F22+F23</f>
        <v>290115</v>
      </c>
      <c r="G24" s="1815">
        <f>G19+G22+G23</f>
        <v>243160</v>
      </c>
      <c r="H24" s="1815"/>
      <c r="I24" s="1815">
        <f>I19+I22+I23</f>
        <v>290115</v>
      </c>
      <c r="J24" s="1815"/>
      <c r="K24" s="1815"/>
      <c r="L24" s="1812">
        <f t="shared" si="0"/>
        <v>533275</v>
      </c>
      <c r="M24" s="1815"/>
    </row>
    <row r="25" spans="2:14" ht="20.100000000000001" customHeight="1" x14ac:dyDescent="0.2">
      <c r="B25" s="1106" t="s">
        <v>2080</v>
      </c>
      <c r="C25" s="1813"/>
      <c r="D25" s="1814"/>
      <c r="E25" s="1815">
        <f>E24</f>
        <v>243160</v>
      </c>
      <c r="F25" s="1815">
        <f>F24</f>
        <v>290115</v>
      </c>
      <c r="G25" s="1815">
        <f>G24</f>
        <v>243160</v>
      </c>
      <c r="H25" s="1815"/>
      <c r="I25" s="1815">
        <f>I24</f>
        <v>290115</v>
      </c>
      <c r="J25" s="1815"/>
      <c r="K25" s="1815"/>
      <c r="L25" s="1812">
        <f t="shared" si="0"/>
        <v>533275</v>
      </c>
      <c r="M25" s="1815"/>
    </row>
    <row r="26" spans="2:14" ht="20.100000000000001" customHeight="1" x14ac:dyDescent="0.2">
      <c r="B26" s="1106" t="s">
        <v>2081</v>
      </c>
      <c r="C26" s="1813"/>
      <c r="D26" s="1814"/>
      <c r="E26" s="1815"/>
      <c r="F26" s="1815"/>
      <c r="G26" s="1815"/>
      <c r="H26" s="1815"/>
      <c r="I26" s="1815"/>
      <c r="J26" s="1815"/>
      <c r="K26" s="1815"/>
      <c r="L26" s="1812"/>
      <c r="M26" s="1815"/>
    </row>
    <row r="27" spans="2:14" ht="20.100000000000001" customHeight="1" x14ac:dyDescent="0.2">
      <c r="B27" s="1106" t="s">
        <v>2082</v>
      </c>
      <c r="C27" s="1813"/>
      <c r="D27" s="1814"/>
      <c r="E27" s="1815"/>
      <c r="F27" s="1815"/>
      <c r="G27" s="1815"/>
      <c r="H27" s="1815"/>
      <c r="I27" s="1815"/>
      <c r="J27" s="1815"/>
      <c r="K27" s="1815"/>
      <c r="L27" s="1812"/>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785DB-98B3-4D25-92F0-A2C8ABC1EC0E}">
  <sheetPr>
    <tabColor rgb="FF00B0F0"/>
  </sheetPr>
  <dimension ref="B1:N152"/>
  <sheetViews>
    <sheetView showGridLines="0" zoomScaleNormal="100" workbookViewId="0">
      <selection activeCell="F23" sqref="F23"/>
    </sheetView>
  </sheetViews>
  <sheetFormatPr defaultColWidth="33.5703125" defaultRowHeight="12.75" x14ac:dyDescent="0.2"/>
  <cols>
    <col min="1" max="1" width="0.140625" style="2043" customWidth="1"/>
    <col min="2" max="2" width="36.5703125" style="2043" customWidth="1"/>
    <col min="3" max="3" width="8.7109375" style="2097" customWidth="1"/>
    <col min="4" max="4" width="12.7109375" style="2098" customWidth="1"/>
    <col min="5" max="6" width="11.7109375" style="2043" customWidth="1"/>
    <col min="7" max="7" width="11.7109375" style="2046" customWidth="1"/>
    <col min="8" max="8" width="13.7109375" style="2046" bestFit="1" customWidth="1"/>
    <col min="9" max="9" width="11.7109375" style="2046" customWidth="1"/>
    <col min="10" max="10" width="13.7109375" style="2046" customWidth="1"/>
    <col min="11" max="12" width="11.7109375" style="2046" customWidth="1"/>
    <col min="13" max="13" width="11.7109375" style="2043" customWidth="1"/>
    <col min="14" max="14" width="2.7109375" style="2043" customWidth="1"/>
    <col min="15" max="16384" width="33.5703125" style="2043"/>
  </cols>
  <sheetData>
    <row r="1" spans="2:14" ht="11.85" customHeight="1" x14ac:dyDescent="0.2">
      <c r="B1" s="2730" t="str">
        <f>'Single Audit Cover'!A7</f>
        <v xml:space="preserve"> McHenry CHSD 156</v>
      </c>
      <c r="C1" s="2775"/>
      <c r="D1" s="2775"/>
      <c r="E1" s="2775"/>
      <c r="F1" s="2775"/>
      <c r="G1" s="2775"/>
      <c r="H1" s="2775"/>
      <c r="I1" s="2775"/>
      <c r="J1" s="2775"/>
      <c r="K1" s="2775"/>
      <c r="L1" s="2775"/>
      <c r="M1" s="2775"/>
    </row>
    <row r="2" spans="2:14" ht="15" x14ac:dyDescent="0.2">
      <c r="B2" s="2776">
        <f>'Single Audit Cover'!E7</f>
        <v>44063156016</v>
      </c>
      <c r="C2" s="2776"/>
      <c r="D2" s="2776"/>
      <c r="E2" s="2776"/>
      <c r="F2" s="2776"/>
      <c r="G2" s="2776"/>
      <c r="H2" s="2776"/>
      <c r="I2" s="2776"/>
      <c r="J2" s="2776"/>
      <c r="K2" s="2776"/>
      <c r="L2" s="2776"/>
      <c r="M2" s="2776"/>
      <c r="N2" s="2053"/>
    </row>
    <row r="3" spans="2:14" ht="15" x14ac:dyDescent="0.2">
      <c r="B3" s="2777" t="s">
        <v>1207</v>
      </c>
      <c r="C3" s="2777"/>
      <c r="D3" s="2777"/>
      <c r="E3" s="2777"/>
      <c r="F3" s="2777"/>
      <c r="G3" s="2777"/>
      <c r="H3" s="2777"/>
      <c r="I3" s="2777"/>
      <c r="J3" s="2777"/>
      <c r="K3" s="2777"/>
      <c r="L3" s="2777"/>
      <c r="M3" s="2777"/>
      <c r="N3" s="2053"/>
    </row>
    <row r="4" spans="2:14" ht="15" x14ac:dyDescent="0.2">
      <c r="B4" s="2778" t="str">
        <f>'Single Audit Cover'!A4</f>
        <v>Year Ending June 30, 2020</v>
      </c>
      <c r="C4" s="2778"/>
      <c r="D4" s="2778"/>
      <c r="E4" s="2778"/>
      <c r="F4" s="2778"/>
      <c r="G4" s="2778"/>
      <c r="H4" s="2778"/>
      <c r="I4" s="2778"/>
      <c r="J4" s="2778"/>
      <c r="K4" s="2778"/>
      <c r="L4" s="2778"/>
      <c r="M4" s="2778"/>
      <c r="N4" s="2053"/>
    </row>
    <row r="5" spans="2:14" x14ac:dyDescent="0.2">
      <c r="H5" s="2124"/>
      <c r="J5" s="2124"/>
    </row>
    <row r="6" spans="2:14" x14ac:dyDescent="0.2">
      <c r="B6" s="2054"/>
      <c r="C6" s="2055"/>
      <c r="D6" s="2056" t="s">
        <v>1253</v>
      </c>
      <c r="E6" s="2057" t="s">
        <v>524</v>
      </c>
      <c r="F6" s="2058"/>
      <c r="G6" s="2059" t="s">
        <v>1705</v>
      </c>
      <c r="H6" s="2057"/>
      <c r="I6" s="2057"/>
      <c r="J6" s="2125"/>
      <c r="K6" s="2060"/>
      <c r="L6" s="2061"/>
      <c r="M6" s="2062"/>
    </row>
    <row r="7" spans="2:14" x14ac:dyDescent="0.2">
      <c r="B7" s="2063" t="s">
        <v>1561</v>
      </c>
      <c r="C7" s="2064"/>
      <c r="D7" s="2065"/>
      <c r="E7" s="2066"/>
      <c r="F7" s="2067"/>
      <c r="G7" s="2066"/>
      <c r="H7" s="2068" t="s">
        <v>1250</v>
      </c>
      <c r="I7" s="2066"/>
      <c r="J7" s="2069" t="s">
        <v>1250</v>
      </c>
      <c r="K7" s="2070"/>
      <c r="L7" s="2071" t="s">
        <v>1248</v>
      </c>
      <c r="M7" s="2072"/>
    </row>
    <row r="8" spans="2:14" x14ac:dyDescent="0.2">
      <c r="B8" s="2114"/>
      <c r="C8" s="2064" t="s">
        <v>1252</v>
      </c>
      <c r="D8" s="2065" t="s">
        <v>1251</v>
      </c>
      <c r="E8" s="2073" t="s">
        <v>1250</v>
      </c>
      <c r="F8" s="2074" t="s">
        <v>1250</v>
      </c>
      <c r="G8" s="2075" t="s">
        <v>1250</v>
      </c>
      <c r="H8" s="2115" t="str">
        <f>"7/1/"&amp;MID('AFR20'!$E$2,3,2)-2&amp;"-6/30/"&amp;MID('AFR20'!$E$2,3,2)-1</f>
        <v>7/1/18-6/30/19</v>
      </c>
      <c r="I8" s="2070" t="s">
        <v>1250</v>
      </c>
      <c r="J8" s="2116" t="str">
        <f>"7/1/"&amp;MID('AFR20'!$E$2,3,2)-1&amp;"-6/30/"&amp;MID('AFR20'!$E$2,3,2)</f>
        <v>7/1/19-6/30/20</v>
      </c>
      <c r="K8" s="2070" t="s">
        <v>1249</v>
      </c>
      <c r="L8" s="2071" t="s">
        <v>1245</v>
      </c>
      <c r="M8" s="2072" t="s">
        <v>30</v>
      </c>
    </row>
    <row r="9" spans="2:14" ht="14.25" x14ac:dyDescent="0.2">
      <c r="B9" s="2076" t="s">
        <v>1247</v>
      </c>
      <c r="C9" s="2064" t="s">
        <v>1706</v>
      </c>
      <c r="D9" s="2065" t="s">
        <v>1707</v>
      </c>
      <c r="E9" s="2123" t="str">
        <f>"7/1/"&amp;MID('AFR20'!$E$2,3,2)-2&amp;"-6/30/"&amp;MID('AFR20'!$E$2,3,2)-1</f>
        <v>7/1/18-6/30/19</v>
      </c>
      <c r="F9" s="2123" t="str">
        <f>"7/1/"&amp;MID('AFR20'!$E$2,3,2)-1&amp;"-6/30/"&amp;MID('AFR20'!$E$2,3,2)</f>
        <v>7/1/19-6/30/20</v>
      </c>
      <c r="G9" s="2123" t="str">
        <f>"7/1/"&amp;MID('AFR20'!$E$2,3,2)-2&amp;"-6/30/"&amp;MID('AFR20'!$E$2,3,2)-1</f>
        <v>7/1/18-6/30/19</v>
      </c>
      <c r="H9" s="2068" t="s">
        <v>1562</v>
      </c>
      <c r="I9" s="2123" t="str">
        <f>"7/1/"&amp;MID('AFR20'!$E$2,3,2)-1&amp;"-6/30/"&amp;MID('AFR20'!$E$2,3,2)</f>
        <v>7/1/19-6/30/20</v>
      </c>
      <c r="J9" s="2069" t="s">
        <v>1562</v>
      </c>
      <c r="K9" s="2070" t="s">
        <v>1246</v>
      </c>
      <c r="L9" s="2077" t="s">
        <v>1563</v>
      </c>
      <c r="M9" s="2072"/>
    </row>
    <row r="10" spans="2:14" ht="11.85" customHeight="1" x14ac:dyDescent="0.2">
      <c r="B10" s="2076" t="s">
        <v>1244</v>
      </c>
      <c r="C10" s="2078" t="s">
        <v>1243</v>
      </c>
      <c r="D10" s="2079" t="s">
        <v>1242</v>
      </c>
      <c r="E10" s="2080" t="s">
        <v>1241</v>
      </c>
      <c r="F10" s="2081" t="s">
        <v>1240</v>
      </c>
      <c r="G10" s="2082" t="s">
        <v>1239</v>
      </c>
      <c r="H10" s="2083" t="s">
        <v>1254</v>
      </c>
      <c r="I10" s="2084" t="s">
        <v>1238</v>
      </c>
      <c r="J10" s="2085" t="s">
        <v>1254</v>
      </c>
      <c r="K10" s="2086" t="s">
        <v>1237</v>
      </c>
      <c r="L10" s="2086" t="s">
        <v>1236</v>
      </c>
      <c r="M10" s="2087" t="s">
        <v>1235</v>
      </c>
    </row>
    <row r="11" spans="2:14" ht="20.100000000000001" customHeight="1" x14ac:dyDescent="0.2">
      <c r="B11" s="2126" t="s">
        <v>2083</v>
      </c>
      <c r="C11" s="2117"/>
      <c r="D11" s="2118"/>
      <c r="E11" s="2119"/>
      <c r="F11" s="2119"/>
      <c r="G11" s="2119"/>
      <c r="H11" s="2119"/>
      <c r="I11" s="2119"/>
      <c r="J11" s="2119"/>
      <c r="K11" s="2119"/>
      <c r="L11" s="2119"/>
      <c r="M11" s="2119"/>
    </row>
    <row r="12" spans="2:14" ht="20.100000000000001" customHeight="1" x14ac:dyDescent="0.2">
      <c r="B12" s="2126" t="s">
        <v>2084</v>
      </c>
      <c r="C12" s="2120"/>
      <c r="D12" s="2121"/>
      <c r="E12" s="2122"/>
      <c r="F12" s="2122"/>
      <c r="G12" s="2122"/>
      <c r="H12" s="2122"/>
      <c r="I12" s="2122"/>
      <c r="J12" s="2122"/>
      <c r="K12" s="2122"/>
      <c r="L12" s="2119"/>
      <c r="M12" s="2122"/>
    </row>
    <row r="13" spans="2:14" ht="20.100000000000001" customHeight="1" x14ac:dyDescent="0.2">
      <c r="B13" s="2126" t="s">
        <v>2085</v>
      </c>
      <c r="C13" s="2120"/>
      <c r="D13" s="2121"/>
      <c r="E13" s="2122"/>
      <c r="F13" s="2122"/>
      <c r="G13" s="2122"/>
      <c r="H13" s="2122"/>
      <c r="I13" s="2122"/>
      <c r="J13" s="2122"/>
      <c r="K13" s="2122"/>
      <c r="L13" s="2119"/>
      <c r="M13" s="2122"/>
    </row>
    <row r="14" spans="2:14" ht="20.100000000000001" customHeight="1" x14ac:dyDescent="0.2">
      <c r="B14" s="2126" t="s">
        <v>2174</v>
      </c>
      <c r="C14" s="2127">
        <v>84.027000000000001</v>
      </c>
      <c r="D14" s="2128" t="s">
        <v>2086</v>
      </c>
      <c r="E14" s="2129">
        <v>99035</v>
      </c>
      <c r="F14" s="2130">
        <v>120595</v>
      </c>
      <c r="G14" s="2130">
        <v>128132</v>
      </c>
      <c r="H14" s="2130"/>
      <c r="I14" s="2130">
        <v>91498</v>
      </c>
      <c r="J14" s="2122"/>
      <c r="K14" s="2122"/>
      <c r="L14" s="2119">
        <f t="shared" ref="L14:L27" si="0">+G14+I14+K14</f>
        <v>219630</v>
      </c>
      <c r="M14" s="2122" t="s">
        <v>2067</v>
      </c>
    </row>
    <row r="15" spans="2:14" ht="20.100000000000001" customHeight="1" x14ac:dyDescent="0.2">
      <c r="B15" s="2126" t="s">
        <v>2174</v>
      </c>
      <c r="C15" s="2127">
        <v>84.027000000000001</v>
      </c>
      <c r="D15" s="2128" t="s">
        <v>2087</v>
      </c>
      <c r="E15" s="2129"/>
      <c r="F15" s="2130">
        <v>197047</v>
      </c>
      <c r="G15" s="2130"/>
      <c r="H15" s="2130"/>
      <c r="I15" s="2130">
        <v>215302</v>
      </c>
      <c r="J15" s="2122"/>
      <c r="K15" s="2122"/>
      <c r="L15" s="2119">
        <f t="shared" si="0"/>
        <v>215302</v>
      </c>
      <c r="M15" s="2122" t="s">
        <v>2067</v>
      </c>
    </row>
    <row r="16" spans="2:14" ht="20.100000000000001" customHeight="1" x14ac:dyDescent="0.2">
      <c r="B16" s="2126" t="s">
        <v>2088</v>
      </c>
      <c r="C16" s="2127"/>
      <c r="D16" s="2128"/>
      <c r="E16" s="2129"/>
      <c r="F16" s="2130"/>
      <c r="G16" s="2130"/>
      <c r="H16" s="2130"/>
      <c r="I16" s="2130"/>
      <c r="J16" s="2122"/>
      <c r="K16" s="2122"/>
      <c r="L16" s="2119"/>
      <c r="M16" s="2122"/>
    </row>
    <row r="17" spans="2:14" ht="20.100000000000001" customHeight="1" x14ac:dyDescent="0.2">
      <c r="B17" s="2126" t="s">
        <v>2175</v>
      </c>
      <c r="C17" s="2127">
        <v>84.027000000000001</v>
      </c>
      <c r="D17" s="2128" t="s">
        <v>2089</v>
      </c>
      <c r="E17" s="2129">
        <v>322262</v>
      </c>
      <c r="F17" s="2130">
        <v>150752</v>
      </c>
      <c r="G17" s="2130">
        <v>473014</v>
      </c>
      <c r="H17" s="2130"/>
      <c r="I17" s="2130">
        <v>0</v>
      </c>
      <c r="J17" s="2122"/>
      <c r="K17" s="2122"/>
      <c r="L17" s="2119">
        <f t="shared" si="0"/>
        <v>473014</v>
      </c>
      <c r="M17" s="2122">
        <v>551769</v>
      </c>
    </row>
    <row r="18" spans="2:14" ht="20.100000000000001" customHeight="1" x14ac:dyDescent="0.2">
      <c r="B18" s="2126" t="s">
        <v>2175</v>
      </c>
      <c r="C18" s="2127">
        <v>84.027000000000001</v>
      </c>
      <c r="D18" s="2128" t="s">
        <v>2090</v>
      </c>
      <c r="E18" s="2129"/>
      <c r="F18" s="2129">
        <v>353155</v>
      </c>
      <c r="G18" s="2129"/>
      <c r="H18" s="2129"/>
      <c r="I18" s="2130">
        <v>466134</v>
      </c>
      <c r="J18" s="2122"/>
      <c r="K18" s="2122"/>
      <c r="L18" s="2119">
        <f t="shared" si="0"/>
        <v>466134</v>
      </c>
      <c r="M18" s="2122">
        <v>530396</v>
      </c>
    </row>
    <row r="19" spans="2:14" ht="20.100000000000001" customHeight="1" x14ac:dyDescent="0.2">
      <c r="B19" s="2126" t="s">
        <v>2091</v>
      </c>
      <c r="C19" s="2120"/>
      <c r="D19" s="2121"/>
      <c r="E19" s="2122">
        <f>SUM(E14:E18)</f>
        <v>421297</v>
      </c>
      <c r="F19" s="2122">
        <f>SUM(F14:F18)</f>
        <v>821549</v>
      </c>
      <c r="G19" s="2122">
        <f>SUM(G14:G18)</f>
        <v>601146</v>
      </c>
      <c r="H19" s="2122"/>
      <c r="I19" s="2122">
        <f>SUM(I14:I18)</f>
        <v>772934</v>
      </c>
      <c r="J19" s="2122"/>
      <c r="K19" s="2122"/>
      <c r="L19" s="2119">
        <f t="shared" si="0"/>
        <v>1374080</v>
      </c>
      <c r="M19" s="2122"/>
    </row>
    <row r="20" spans="2:14" ht="20.100000000000001" customHeight="1" x14ac:dyDescent="0.2">
      <c r="B20" s="2126" t="s">
        <v>2092</v>
      </c>
      <c r="C20" s="2120"/>
      <c r="D20" s="2121"/>
      <c r="E20" s="2122">
        <f>E19</f>
        <v>421297</v>
      </c>
      <c r="F20" s="2122">
        <f>F19</f>
        <v>821549</v>
      </c>
      <c r="G20" s="2122">
        <f>G19</f>
        <v>601146</v>
      </c>
      <c r="H20" s="2122"/>
      <c r="I20" s="2122">
        <f>I19</f>
        <v>772934</v>
      </c>
      <c r="J20" s="2122"/>
      <c r="K20" s="2122"/>
      <c r="L20" s="2119">
        <f t="shared" si="0"/>
        <v>1374080</v>
      </c>
      <c r="M20" s="2122"/>
    </row>
    <row r="21" spans="2:14" ht="20.100000000000001" customHeight="1" x14ac:dyDescent="0.2">
      <c r="B21" s="2126"/>
      <c r="C21" s="2120"/>
      <c r="D21" s="2121"/>
      <c r="E21" s="2122"/>
      <c r="F21" s="2122"/>
      <c r="G21" s="2122"/>
      <c r="H21" s="2122"/>
      <c r="I21" s="2122"/>
      <c r="J21" s="2122"/>
      <c r="K21" s="2122"/>
      <c r="L21" s="2119"/>
      <c r="M21" s="2122"/>
    </row>
    <row r="22" spans="2:14" ht="20.100000000000001" customHeight="1" x14ac:dyDescent="0.2">
      <c r="B22" s="2126" t="s">
        <v>2085</v>
      </c>
      <c r="C22" s="2120"/>
      <c r="D22" s="2121"/>
      <c r="E22" s="2122"/>
      <c r="F22" s="2122"/>
      <c r="G22" s="2122"/>
      <c r="H22" s="2122"/>
      <c r="I22" s="2122"/>
      <c r="J22" s="2122"/>
      <c r="K22" s="2122"/>
      <c r="L22" s="2119"/>
      <c r="M22" s="2122"/>
    </row>
    <row r="23" spans="2:14" ht="20.100000000000001" customHeight="1" x14ac:dyDescent="0.2">
      <c r="B23" s="2126" t="s">
        <v>2093</v>
      </c>
      <c r="C23" s="2131">
        <v>84.01</v>
      </c>
      <c r="D23" s="2132" t="s">
        <v>2094</v>
      </c>
      <c r="E23" s="2133">
        <v>198630</v>
      </c>
      <c r="F23" s="2133">
        <v>77632</v>
      </c>
      <c r="G23" s="2133">
        <v>276262</v>
      </c>
      <c r="H23" s="2133"/>
      <c r="I23" s="2133">
        <v>0</v>
      </c>
      <c r="J23" s="2122"/>
      <c r="K23" s="2122"/>
      <c r="L23" s="2119">
        <f t="shared" si="0"/>
        <v>276262</v>
      </c>
      <c r="M23" s="2211">
        <v>352203</v>
      </c>
    </row>
    <row r="24" spans="2:14" ht="20.100000000000001" customHeight="1" x14ac:dyDescent="0.2">
      <c r="B24" s="2126" t="s">
        <v>2093</v>
      </c>
      <c r="C24" s="2131">
        <v>84.01</v>
      </c>
      <c r="D24" s="2132" t="s">
        <v>2095</v>
      </c>
      <c r="E24" s="2133"/>
      <c r="F24" s="2133">
        <v>203303</v>
      </c>
      <c r="G24" s="2133"/>
      <c r="H24" s="2133"/>
      <c r="I24" s="2133">
        <v>318521</v>
      </c>
      <c r="J24" s="2122"/>
      <c r="K24" s="2122"/>
      <c r="L24" s="2119">
        <f t="shared" si="0"/>
        <v>318521</v>
      </c>
      <c r="M24" s="2211">
        <v>334173</v>
      </c>
    </row>
    <row r="25" spans="2:14" ht="20.100000000000001" customHeight="1" x14ac:dyDescent="0.2">
      <c r="B25" s="2126" t="s">
        <v>2096</v>
      </c>
      <c r="C25" s="2131"/>
      <c r="D25" s="2132"/>
      <c r="E25" s="2122">
        <f>SUM(E23:E24)</f>
        <v>198630</v>
      </c>
      <c r="F25" s="2122">
        <f>SUM(F23:F24)</f>
        <v>280935</v>
      </c>
      <c r="G25" s="2122">
        <f>SUM(G23:G24)</f>
        <v>276262</v>
      </c>
      <c r="H25" s="2122"/>
      <c r="I25" s="2122">
        <f>SUM(I23:I24)</f>
        <v>318521</v>
      </c>
      <c r="J25" s="2122"/>
      <c r="K25" s="2122"/>
      <c r="L25" s="2119">
        <f t="shared" si="0"/>
        <v>594783</v>
      </c>
      <c r="M25" s="2211"/>
    </row>
    <row r="26" spans="2:14" ht="20.100000000000001" customHeight="1" x14ac:dyDescent="0.2">
      <c r="B26" s="2126" t="s">
        <v>2097</v>
      </c>
      <c r="C26" s="2131">
        <v>84.367000000000004</v>
      </c>
      <c r="D26" s="2132" t="s">
        <v>2098</v>
      </c>
      <c r="E26" s="2134">
        <v>66115</v>
      </c>
      <c r="F26" s="2135">
        <v>18927</v>
      </c>
      <c r="G26" s="2135">
        <v>85042</v>
      </c>
      <c r="H26" s="2135"/>
      <c r="I26" s="2135">
        <v>0</v>
      </c>
      <c r="J26" s="2122"/>
      <c r="K26" s="2122"/>
      <c r="L26" s="2119">
        <f t="shared" si="0"/>
        <v>85042</v>
      </c>
      <c r="M26" s="2211">
        <v>121772</v>
      </c>
    </row>
    <row r="27" spans="2:14" ht="20.100000000000001" customHeight="1" x14ac:dyDescent="0.2">
      <c r="B27" s="2216" t="s">
        <v>2097</v>
      </c>
      <c r="C27" s="2218">
        <v>84.367000000000004</v>
      </c>
      <c r="D27" s="2220" t="s">
        <v>2099</v>
      </c>
      <c r="E27" s="2227"/>
      <c r="F27" s="2228">
        <v>50942</v>
      </c>
      <c r="G27" s="2228"/>
      <c r="H27" s="2228"/>
      <c r="I27" s="2228">
        <v>57444</v>
      </c>
      <c r="J27" s="2227"/>
      <c r="K27" s="2227"/>
      <c r="L27" s="2210">
        <f t="shared" si="0"/>
        <v>57444</v>
      </c>
      <c r="M27" s="2227">
        <v>105992</v>
      </c>
      <c r="N27" s="2088"/>
    </row>
    <row r="28" spans="2:14" s="2136" customFormat="1" ht="20.100000000000001" customHeight="1" x14ac:dyDescent="0.2">
      <c r="B28" s="2216" t="s">
        <v>2100</v>
      </c>
      <c r="C28" s="2218"/>
      <c r="D28" s="2220"/>
      <c r="E28" s="2227">
        <f>SUM(E26:E27)</f>
        <v>66115</v>
      </c>
      <c r="F28" s="2227">
        <f>SUM(F26:F27)</f>
        <v>69869</v>
      </c>
      <c r="G28" s="2227">
        <f>SUM(G26:G27)</f>
        <v>85042</v>
      </c>
      <c r="H28" s="2227"/>
      <c r="I28" s="2227">
        <f>SUM(I26:I27)</f>
        <v>57444</v>
      </c>
      <c r="J28" s="2227"/>
      <c r="K28" s="2227"/>
      <c r="L28" s="2210">
        <f>+G28+I28+K28</f>
        <v>142486</v>
      </c>
      <c r="M28" s="2227"/>
      <c r="N28" s="2181"/>
    </row>
    <row r="29" spans="2:14" x14ac:dyDescent="0.2">
      <c r="B29" s="2045"/>
      <c r="C29" s="2089"/>
      <c r="D29" s="2090"/>
      <c r="E29" s="2045"/>
      <c r="F29" s="2045"/>
      <c r="G29" s="2044"/>
      <c r="H29" s="2044"/>
      <c r="I29" s="2044"/>
      <c r="J29" s="2044"/>
      <c r="K29" s="2044"/>
      <c r="L29" s="2044"/>
      <c r="M29" s="2045"/>
      <c r="N29" s="2088"/>
    </row>
    <row r="30" spans="2:14" ht="13.5" customHeight="1" x14ac:dyDescent="0.2">
      <c r="B30" s="2050" t="s">
        <v>1708</v>
      </c>
      <c r="C30" s="2089"/>
      <c r="D30" s="2090"/>
      <c r="E30" s="2045"/>
      <c r="F30" s="2045"/>
      <c r="G30" s="2044"/>
      <c r="H30" s="2044"/>
      <c r="I30" s="2044"/>
      <c r="J30" s="2044"/>
      <c r="K30" s="2044"/>
      <c r="L30" s="2044"/>
      <c r="M30" s="2045"/>
      <c r="N30" s="2088"/>
    </row>
    <row r="31" spans="2:14" ht="8.25" customHeight="1" x14ac:dyDescent="0.2">
      <c r="B31" s="2050"/>
      <c r="C31" s="2089"/>
      <c r="D31" s="2090"/>
      <c r="E31" s="2045"/>
      <c r="F31" s="2045"/>
      <c r="G31" s="2044"/>
      <c r="H31" s="2044"/>
      <c r="I31" s="2044"/>
      <c r="J31" s="2044"/>
      <c r="K31" s="2044"/>
      <c r="L31" s="2044"/>
      <c r="M31" s="2045"/>
      <c r="N31" s="2088"/>
    </row>
    <row r="32" spans="2:14" x14ac:dyDescent="0.2">
      <c r="B32" s="2091" t="s">
        <v>1806</v>
      </c>
      <c r="C32" s="2092"/>
      <c r="D32" s="2093"/>
      <c r="E32" s="2094"/>
      <c r="F32" s="2094"/>
      <c r="G32" s="2094"/>
      <c r="H32" s="2094"/>
      <c r="I32" s="2043"/>
      <c r="J32" s="2043"/>
    </row>
    <row r="33" spans="2:13" x14ac:dyDescent="0.2">
      <c r="B33" s="2048"/>
      <c r="C33" s="2095"/>
      <c r="D33" s="2096"/>
      <c r="E33" s="2049"/>
      <c r="F33" s="2049"/>
      <c r="G33" s="2043"/>
      <c r="H33" s="2043"/>
      <c r="I33" s="2043"/>
      <c r="J33" s="2043"/>
    </row>
    <row r="34" spans="2:13" ht="13.5" customHeight="1" x14ac:dyDescent="0.2">
      <c r="B34" s="2047" t="s">
        <v>1234</v>
      </c>
      <c r="G34" s="2043"/>
      <c r="H34" s="2043"/>
      <c r="I34" s="2043"/>
      <c r="J34" s="2043"/>
    </row>
    <row r="35" spans="2:13" ht="13.5" customHeight="1" x14ac:dyDescent="0.2">
      <c r="B35" s="2099"/>
      <c r="C35" s="2100"/>
      <c r="D35" s="2101"/>
      <c r="E35" s="2051"/>
      <c r="F35" s="2051"/>
      <c r="G35" s="2051"/>
      <c r="H35" s="2051"/>
      <c r="I35" s="2051"/>
      <c r="J35" s="2051"/>
      <c r="K35" s="2102"/>
      <c r="L35" s="2102"/>
      <c r="M35" s="2051"/>
    </row>
    <row r="36" spans="2:13" ht="9.6" customHeight="1" x14ac:dyDescent="0.2">
      <c r="B36" s="2103"/>
      <c r="G36" s="2043"/>
      <c r="H36" s="2043"/>
      <c r="I36" s="2043"/>
      <c r="J36" s="2043"/>
    </row>
    <row r="37" spans="2:13" ht="11.25" customHeight="1" x14ac:dyDescent="0.2">
      <c r="B37" s="2104" t="s">
        <v>1709</v>
      </c>
      <c r="C37" s="2105"/>
      <c r="D37" s="2105"/>
      <c r="E37" s="2105"/>
      <c r="F37" s="2105"/>
      <c r="G37" s="2105"/>
      <c r="H37" s="2105"/>
      <c r="I37" s="2106"/>
      <c r="J37" s="2106"/>
      <c r="K37" s="2106"/>
      <c r="L37" s="2106"/>
      <c r="M37" s="2106"/>
    </row>
    <row r="38" spans="2:13" ht="11.25" customHeight="1" x14ac:dyDescent="0.2">
      <c r="B38" s="2107" t="s">
        <v>1564</v>
      </c>
      <c r="C38" s="2106"/>
      <c r="D38" s="2106"/>
      <c r="E38" s="2106"/>
      <c r="F38" s="2106"/>
      <c r="G38" s="2106"/>
      <c r="H38" s="2106"/>
      <c r="I38" s="2106"/>
      <c r="J38" s="2106"/>
      <c r="K38" s="2106"/>
      <c r="L38" s="2106"/>
      <c r="M38" s="2106"/>
    </row>
    <row r="39" spans="2:13" ht="3.95" customHeight="1" x14ac:dyDescent="0.2">
      <c r="B39" s="2107"/>
      <c r="C39" s="2106"/>
      <c r="D39" s="2106"/>
      <c r="E39" s="2106"/>
      <c r="F39" s="2106"/>
      <c r="G39" s="2106"/>
      <c r="H39" s="2106"/>
      <c r="I39" s="2106"/>
      <c r="J39" s="2106"/>
      <c r="K39" s="2106"/>
      <c r="L39" s="2106"/>
      <c r="M39" s="2106"/>
    </row>
    <row r="40" spans="2:13" ht="11.25" customHeight="1" x14ac:dyDescent="0.2">
      <c r="B40" s="2104" t="s">
        <v>1710</v>
      </c>
      <c r="C40" s="2106"/>
      <c r="D40" s="2106"/>
      <c r="E40" s="2106"/>
      <c r="F40" s="2106"/>
      <c r="G40" s="2106"/>
      <c r="H40" s="2106"/>
      <c r="I40" s="2106"/>
      <c r="J40" s="2106"/>
      <c r="K40" s="2106"/>
      <c r="L40" s="2106"/>
      <c r="M40" s="2106"/>
    </row>
    <row r="41" spans="2:13" ht="11.25" customHeight="1" x14ac:dyDescent="0.2">
      <c r="B41" s="2052" t="s">
        <v>1565</v>
      </c>
      <c r="C41" s="2108"/>
      <c r="D41" s="2109"/>
      <c r="E41" s="2052"/>
      <c r="F41" s="2052"/>
      <c r="G41" s="2052"/>
      <c r="H41" s="2052"/>
      <c r="I41" s="2052"/>
      <c r="J41" s="2052"/>
      <c r="K41" s="2110"/>
      <c r="L41" s="2110"/>
      <c r="M41" s="2052"/>
    </row>
    <row r="42" spans="2:13" ht="3.95" customHeight="1" x14ac:dyDescent="0.2">
      <c r="B42" s="2052"/>
      <c r="C42" s="2108"/>
      <c r="D42" s="2109"/>
      <c r="E42" s="2052"/>
      <c r="F42" s="2052"/>
      <c r="G42" s="2052"/>
      <c r="H42" s="2052"/>
      <c r="I42" s="2052"/>
      <c r="J42" s="2052"/>
      <c r="K42" s="2110"/>
      <c r="L42" s="2110"/>
      <c r="M42" s="2052"/>
    </row>
    <row r="43" spans="2:13" ht="11.25" customHeight="1" x14ac:dyDescent="0.2">
      <c r="B43" s="2111" t="s">
        <v>1711</v>
      </c>
      <c r="C43" s="2108"/>
      <c r="D43" s="2109"/>
      <c r="E43" s="2052"/>
      <c r="F43" s="2052"/>
      <c r="G43" s="2052"/>
      <c r="H43" s="2052"/>
      <c r="I43" s="2052"/>
      <c r="J43" s="2052"/>
      <c r="K43" s="2110"/>
      <c r="L43" s="2110"/>
      <c r="M43" s="2052"/>
    </row>
    <row r="44" spans="2:13" ht="3.95" customHeight="1" x14ac:dyDescent="0.2">
      <c r="B44" s="2111"/>
      <c r="C44" s="2108"/>
      <c r="D44" s="2109"/>
      <c r="E44" s="2052"/>
      <c r="F44" s="2052"/>
      <c r="G44" s="2052"/>
      <c r="H44" s="2052"/>
      <c r="I44" s="2052"/>
      <c r="J44" s="2052"/>
      <c r="K44" s="2110"/>
      <c r="L44" s="2110"/>
      <c r="M44" s="2052"/>
    </row>
    <row r="45" spans="2:13" ht="11.25" customHeight="1" x14ac:dyDescent="0.2">
      <c r="B45" s="2112" t="s">
        <v>1712</v>
      </c>
      <c r="C45" s="2108"/>
      <c r="D45" s="2109"/>
      <c r="E45" s="2052"/>
      <c r="F45" s="2052"/>
      <c r="G45" s="2052"/>
      <c r="H45" s="2052"/>
      <c r="I45" s="2052"/>
      <c r="J45" s="2052"/>
      <c r="K45" s="2110"/>
      <c r="L45" s="2110"/>
      <c r="M45" s="2052"/>
    </row>
    <row r="46" spans="2:13" ht="11.25" customHeight="1" x14ac:dyDescent="0.2">
      <c r="B46" s="2052" t="s">
        <v>1566</v>
      </c>
      <c r="G46" s="2043"/>
      <c r="H46" s="2043"/>
      <c r="I46" s="2043"/>
      <c r="J46" s="2043"/>
    </row>
    <row r="47" spans="2:13" ht="11.1" customHeight="1" x14ac:dyDescent="0.2">
      <c r="B47" s="2052"/>
      <c r="G47" s="2043"/>
      <c r="H47" s="2043"/>
      <c r="I47" s="2043"/>
      <c r="J47" s="2043"/>
    </row>
    <row r="48" spans="2:13" ht="11.1" customHeight="1" x14ac:dyDescent="0.2">
      <c r="B48" s="2052"/>
      <c r="G48" s="2043"/>
      <c r="H48" s="2043"/>
      <c r="I48" s="2043"/>
      <c r="J48" s="2043"/>
    </row>
    <row r="49" spans="7:13" ht="13.5" customHeight="1" x14ac:dyDescent="0.2">
      <c r="M49" s="2113"/>
    </row>
    <row r="50" spans="7:13" ht="13.5" customHeight="1" x14ac:dyDescent="0.2">
      <c r="M50" s="2113"/>
    </row>
    <row r="51" spans="7:13" ht="13.5" customHeight="1" x14ac:dyDescent="0.2">
      <c r="M51" s="2113"/>
    </row>
    <row r="52" spans="7:13" ht="13.5" customHeight="1" x14ac:dyDescent="0.2">
      <c r="G52" s="2043"/>
      <c r="H52" s="2043"/>
      <c r="I52" s="2043"/>
      <c r="J52" s="2043"/>
    </row>
    <row r="53" spans="7:13" ht="13.5" customHeight="1" x14ac:dyDescent="0.2">
      <c r="G53" s="2043"/>
      <c r="H53" s="2043"/>
      <c r="I53" s="2043"/>
      <c r="J53" s="2043"/>
    </row>
    <row r="54" spans="7:13" ht="13.5" customHeight="1" x14ac:dyDescent="0.2">
      <c r="G54" s="2043"/>
      <c r="H54" s="2043"/>
      <c r="I54" s="2043"/>
      <c r="J54" s="2043"/>
    </row>
    <row r="55" spans="7:13" ht="13.5" customHeight="1" x14ac:dyDescent="0.2">
      <c r="G55" s="2043"/>
      <c r="H55" s="2043"/>
      <c r="I55" s="2043"/>
      <c r="J55" s="2043"/>
    </row>
    <row r="56" spans="7:13" ht="13.5" customHeight="1" x14ac:dyDescent="0.2">
      <c r="G56" s="2043"/>
      <c r="H56" s="2043"/>
      <c r="I56" s="2043"/>
      <c r="J56" s="2043"/>
    </row>
    <row r="57" spans="7:13" ht="13.5" customHeight="1" x14ac:dyDescent="0.2">
      <c r="G57" s="2043"/>
      <c r="H57" s="2043"/>
      <c r="I57" s="2043"/>
      <c r="J57" s="2043"/>
    </row>
    <row r="58" spans="7:13" ht="13.5" customHeight="1" x14ac:dyDescent="0.2">
      <c r="G58" s="2043"/>
      <c r="H58" s="2043"/>
      <c r="I58" s="2043"/>
      <c r="J58" s="2043"/>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FF00"/>
  </sheetPr>
  <dimension ref="A1:K143"/>
  <sheetViews>
    <sheetView showGridLines="0" defaultGridColor="0" topLeftCell="A89" colorId="8" zoomScaleNormal="100" workbookViewId="0">
      <selection activeCell="D121" sqref="D12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358" t="s">
        <v>1157</v>
      </c>
      <c r="B2" s="2358"/>
      <c r="C2" s="2358"/>
      <c r="D2" s="2358"/>
      <c r="E2" s="2358"/>
      <c r="F2" s="2358"/>
      <c r="G2" s="2358"/>
      <c r="H2" s="2358"/>
      <c r="I2" s="2358"/>
      <c r="J2" s="2358"/>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372" t="s">
        <v>1613</v>
      </c>
      <c r="B35" s="2373"/>
      <c r="C35" s="2373"/>
      <c r="D35" s="2373"/>
      <c r="E35" s="2374"/>
      <c r="F35" s="2374"/>
      <c r="G35" s="2374"/>
      <c r="H35" s="2374"/>
      <c r="I35" s="237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372" t="s">
        <v>310</v>
      </c>
      <c r="B47" s="2375"/>
      <c r="C47" s="2375"/>
      <c r="D47" s="2375"/>
      <c r="E47" s="2376"/>
      <c r="F47" s="2376"/>
      <c r="G47" s="2376"/>
      <c r="H47" s="2376"/>
      <c r="I47" s="237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2116</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379"/>
      <c r="C57" s="2380"/>
      <c r="D57" s="2380"/>
      <c r="E57" s="2380"/>
      <c r="F57" s="2380"/>
      <c r="G57" s="2380"/>
      <c r="H57" s="2380"/>
      <c r="I57" s="2380"/>
      <c r="J57" s="2381"/>
    </row>
    <row r="58" spans="1:10" s="176" customFormat="1" x14ac:dyDescent="0.2">
      <c r="A58" s="248"/>
      <c r="B58" s="2382"/>
      <c r="C58" s="2383"/>
      <c r="D58" s="2383"/>
      <c r="E58" s="2383"/>
      <c r="F58" s="2383"/>
      <c r="G58" s="2383"/>
      <c r="H58" s="2383"/>
      <c r="I58" s="2383"/>
      <c r="J58" s="2384"/>
    </row>
    <row r="59" spans="1:10" s="176" customFormat="1" x14ac:dyDescent="0.2">
      <c r="A59" s="248"/>
      <c r="B59" s="2382"/>
      <c r="C59" s="2383"/>
      <c r="D59" s="2383"/>
      <c r="E59" s="2383"/>
      <c r="F59" s="2383"/>
      <c r="G59" s="2383"/>
      <c r="H59" s="2383"/>
      <c r="I59" s="2383"/>
      <c r="J59" s="2384"/>
    </row>
    <row r="60" spans="1:10" s="176" customFormat="1" x14ac:dyDescent="0.2">
      <c r="A60" s="248"/>
      <c r="B60" s="2382"/>
      <c r="C60" s="2383"/>
      <c r="D60" s="2383"/>
      <c r="E60" s="2383"/>
      <c r="F60" s="2383"/>
      <c r="G60" s="2383"/>
      <c r="H60" s="2383"/>
      <c r="I60" s="2383"/>
      <c r="J60" s="2384"/>
    </row>
    <row r="61" spans="1:10" s="176" customFormat="1" x14ac:dyDescent="0.2">
      <c r="A61" s="248"/>
      <c r="B61" s="2382"/>
      <c r="C61" s="2383"/>
      <c r="D61" s="2383"/>
      <c r="E61" s="2383"/>
      <c r="F61" s="2383"/>
      <c r="G61" s="2383"/>
      <c r="H61" s="2383"/>
      <c r="I61" s="2383"/>
      <c r="J61" s="2384"/>
    </row>
    <row r="62" spans="1:10" s="176" customFormat="1" x14ac:dyDescent="0.2">
      <c r="A62" s="248"/>
      <c r="B62" s="2382"/>
      <c r="C62" s="2383"/>
      <c r="D62" s="2383"/>
      <c r="E62" s="2383"/>
      <c r="F62" s="2383"/>
      <c r="G62" s="2383"/>
      <c r="H62" s="2383"/>
      <c r="I62" s="2383"/>
      <c r="J62" s="2384"/>
    </row>
    <row r="63" spans="1:10" s="176" customFormat="1" x14ac:dyDescent="0.2">
      <c r="A63" s="248"/>
      <c r="B63" s="2382"/>
      <c r="C63" s="2383"/>
      <c r="D63" s="2383"/>
      <c r="E63" s="2383"/>
      <c r="F63" s="2383"/>
      <c r="G63" s="2383"/>
      <c r="H63" s="2383"/>
      <c r="I63" s="2383"/>
      <c r="J63" s="2384"/>
    </row>
    <row r="64" spans="1:10" s="176" customFormat="1" x14ac:dyDescent="0.2">
      <c r="A64" s="248"/>
      <c r="B64" s="2382"/>
      <c r="C64" s="2383"/>
      <c r="D64" s="2383"/>
      <c r="E64" s="2383"/>
      <c r="F64" s="2383"/>
      <c r="G64" s="2383"/>
      <c r="H64" s="2383"/>
      <c r="I64" s="2383"/>
      <c r="J64" s="2384"/>
    </row>
    <row r="65" spans="1:11" s="176" customFormat="1" x14ac:dyDescent="0.2">
      <c r="A65" s="248"/>
      <c r="B65" s="2382"/>
      <c r="C65" s="2383"/>
      <c r="D65" s="2383"/>
      <c r="E65" s="2383"/>
      <c r="F65" s="2383"/>
      <c r="G65" s="2383"/>
      <c r="H65" s="2383"/>
      <c r="I65" s="2383"/>
      <c r="J65" s="2384"/>
    </row>
    <row r="66" spans="1:11" s="176" customFormat="1" x14ac:dyDescent="0.2">
      <c r="A66" s="248"/>
      <c r="B66" s="2382"/>
      <c r="C66" s="2383"/>
      <c r="D66" s="2383"/>
      <c r="E66" s="2383"/>
      <c r="F66" s="2383"/>
      <c r="G66" s="2383"/>
      <c r="H66" s="2383"/>
      <c r="I66" s="2383"/>
      <c r="J66" s="2384"/>
    </row>
    <row r="67" spans="1:11" s="176" customFormat="1" ht="9" customHeight="1" x14ac:dyDescent="0.2">
      <c r="A67" s="249"/>
      <c r="B67" s="2385"/>
      <c r="C67" s="2386"/>
      <c r="D67" s="2386"/>
      <c r="E67" s="2386"/>
      <c r="F67" s="2386"/>
      <c r="G67" s="2386"/>
      <c r="H67" s="2386"/>
      <c r="I67" s="2386"/>
      <c r="J67" s="238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372" t="s">
        <v>1311</v>
      </c>
      <c r="B70" s="2375"/>
      <c r="C70" s="2375"/>
      <c r="D70" s="2375"/>
      <c r="E70" s="2376"/>
      <c r="F70" s="2376"/>
      <c r="G70" s="2376"/>
      <c r="H70" s="2376"/>
      <c r="I70" s="2376"/>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377" t="s">
        <v>1308</v>
      </c>
      <c r="B83" s="2377"/>
      <c r="C83" s="2377"/>
      <c r="D83" s="2378"/>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388" t="s">
        <v>1983</v>
      </c>
      <c r="B85" s="2388"/>
      <c r="C85" s="2388"/>
      <c r="D85" s="2389"/>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390" t="s">
        <v>1983</v>
      </c>
      <c r="B88" s="2391"/>
      <c r="C88" s="2391"/>
      <c r="D88" s="2392"/>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359"/>
      <c r="C102" s="2360"/>
      <c r="D102" s="2360"/>
      <c r="E102" s="2360"/>
      <c r="F102" s="2360"/>
      <c r="G102" s="2360"/>
      <c r="H102" s="2360"/>
      <c r="I102" s="2361"/>
    </row>
    <row r="103" spans="1:9" s="176" customFormat="1" ht="11.25" customHeight="1" x14ac:dyDescent="0.2">
      <c r="A103" s="294"/>
      <c r="B103" s="2362"/>
      <c r="C103" s="2363"/>
      <c r="D103" s="2363"/>
      <c r="E103" s="2363"/>
      <c r="F103" s="2363"/>
      <c r="G103" s="2363"/>
      <c r="H103" s="2363"/>
      <c r="I103" s="2364"/>
    </row>
    <row r="104" spans="1:9" s="176" customFormat="1" ht="11.25" customHeight="1" x14ac:dyDescent="0.2">
      <c r="A104" s="294"/>
      <c r="B104" s="2362"/>
      <c r="C104" s="2363"/>
      <c r="D104" s="2363"/>
      <c r="E104" s="2363"/>
      <c r="F104" s="2363"/>
      <c r="G104" s="2363"/>
      <c r="H104" s="2363"/>
      <c r="I104" s="2364"/>
    </row>
    <row r="105" spans="1:9" s="176" customFormat="1" x14ac:dyDescent="0.2">
      <c r="A105" s="294"/>
      <c r="B105" s="2362"/>
      <c r="C105" s="2363"/>
      <c r="D105" s="2363"/>
      <c r="E105" s="2363"/>
      <c r="F105" s="2363"/>
      <c r="G105" s="2363"/>
      <c r="H105" s="2363"/>
      <c r="I105" s="2364"/>
    </row>
    <row r="106" spans="1:9" s="176" customFormat="1" ht="11.25" customHeight="1" x14ac:dyDescent="0.2">
      <c r="A106" s="294"/>
      <c r="B106" s="2362"/>
      <c r="C106" s="2363"/>
      <c r="D106" s="2363"/>
      <c r="E106" s="2363"/>
      <c r="F106" s="2363"/>
      <c r="G106" s="2363"/>
      <c r="H106" s="2363"/>
      <c r="I106" s="2364"/>
    </row>
    <row r="107" spans="1:9" s="176" customFormat="1" ht="11.25" customHeight="1" x14ac:dyDescent="0.2">
      <c r="A107" s="294"/>
      <c r="B107" s="2362"/>
      <c r="C107" s="2363"/>
      <c r="D107" s="2363"/>
      <c r="E107" s="2363"/>
      <c r="F107" s="2363"/>
      <c r="G107" s="2363"/>
      <c r="H107" s="2363"/>
      <c r="I107" s="2364"/>
    </row>
    <row r="108" spans="1:9" s="176" customFormat="1" ht="11.25" customHeight="1" x14ac:dyDescent="0.2">
      <c r="A108" s="294"/>
      <c r="B108" s="2362"/>
      <c r="C108" s="2363"/>
      <c r="D108" s="2363"/>
      <c r="E108" s="2363"/>
      <c r="F108" s="2363"/>
      <c r="G108" s="2363"/>
      <c r="H108" s="2363"/>
      <c r="I108" s="2364"/>
    </row>
    <row r="109" spans="1:9" s="176" customFormat="1" ht="11.25" customHeight="1" x14ac:dyDescent="0.2">
      <c r="A109" s="294"/>
      <c r="B109" s="2362"/>
      <c r="C109" s="2363"/>
      <c r="D109" s="2363"/>
      <c r="E109" s="2363"/>
      <c r="F109" s="2363"/>
      <c r="G109" s="2363"/>
      <c r="H109" s="2363"/>
      <c r="I109" s="2364"/>
    </row>
    <row r="110" spans="1:9" s="176" customFormat="1" ht="11.25" customHeight="1" x14ac:dyDescent="0.2">
      <c r="A110" s="294"/>
      <c r="B110" s="2362"/>
      <c r="C110" s="2363"/>
      <c r="D110" s="2363"/>
      <c r="E110" s="2363"/>
      <c r="F110" s="2363"/>
      <c r="G110" s="2363"/>
      <c r="H110" s="2363"/>
      <c r="I110" s="2364"/>
    </row>
    <row r="111" spans="1:9" s="176" customFormat="1" ht="11.25" customHeight="1" x14ac:dyDescent="0.2">
      <c r="A111" s="294"/>
      <c r="B111" s="2362"/>
      <c r="C111" s="2363"/>
      <c r="D111" s="2363"/>
      <c r="E111" s="2363"/>
      <c r="F111" s="2363"/>
      <c r="G111" s="2363"/>
      <c r="H111" s="2363"/>
      <c r="I111" s="2364"/>
    </row>
    <row r="112" spans="1:9" s="176" customFormat="1" ht="11.25" customHeight="1" x14ac:dyDescent="0.2">
      <c r="A112" s="294"/>
      <c r="B112" s="2365"/>
      <c r="C112" s="2366"/>
      <c r="D112" s="2366"/>
      <c r="E112" s="2366"/>
      <c r="F112" s="2366"/>
      <c r="G112" s="2366"/>
      <c r="H112" s="2366"/>
      <c r="I112" s="236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368" t="s">
        <v>2012</v>
      </c>
      <c r="D114" s="236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369" t="s">
        <v>1318</v>
      </c>
      <c r="D117" s="2370"/>
      <c r="E117" s="2371"/>
      <c r="F117" s="2371"/>
      <c r="G117" s="2371"/>
      <c r="H117" s="2371"/>
      <c r="I117" s="282"/>
    </row>
    <row r="118" spans="1:9" s="176" customFormat="1" ht="24" customHeight="1" x14ac:dyDescent="0.2">
      <c r="A118" s="294"/>
      <c r="B118" s="294"/>
      <c r="C118" s="294"/>
      <c r="D118" s="301" t="s">
        <v>2177</v>
      </c>
      <c r="E118" s="300"/>
      <c r="F118" s="302"/>
      <c r="G118" s="1466"/>
      <c r="H118" s="300"/>
      <c r="I118" s="282"/>
    </row>
    <row r="119" spans="1:9" s="176" customFormat="1" ht="11.25" customHeight="1" x14ac:dyDescent="0.2">
      <c r="A119" s="303"/>
      <c r="B119" s="303"/>
      <c r="C119" s="304"/>
      <c r="D119" s="305" t="s">
        <v>358</v>
      </c>
      <c r="E119" s="288"/>
      <c r="F119" s="1465" t="s">
        <v>1867</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9"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B5D7A-AB44-4D7A-BA84-72E9672AC7D3}">
  <sheetPr>
    <tabColor rgb="FF00B0F0"/>
  </sheetPr>
  <dimension ref="B1:N152"/>
  <sheetViews>
    <sheetView showGridLines="0" zoomScaleNormal="100" workbookViewId="0">
      <selection activeCell="B11" sqref="B11:M28"/>
    </sheetView>
  </sheetViews>
  <sheetFormatPr defaultColWidth="33.5703125" defaultRowHeight="12.75" x14ac:dyDescent="0.2"/>
  <cols>
    <col min="1" max="1" width="0.140625" style="2136" customWidth="1"/>
    <col min="2" max="2" width="36.5703125" style="2136" customWidth="1"/>
    <col min="3" max="3" width="8.7109375" style="2190" customWidth="1"/>
    <col min="4" max="4" width="12.7109375" style="2191" customWidth="1"/>
    <col min="5" max="6" width="11.7109375" style="2136" customWidth="1"/>
    <col min="7" max="7" width="11.7109375" style="2139" customWidth="1"/>
    <col min="8" max="8" width="13.7109375" style="2139" bestFit="1" customWidth="1"/>
    <col min="9" max="9" width="11.7109375" style="2139" customWidth="1"/>
    <col min="10" max="10" width="13.7109375" style="2139" customWidth="1"/>
    <col min="11" max="12" width="11.7109375" style="2139" customWidth="1"/>
    <col min="13" max="13" width="11.7109375" style="2136" customWidth="1"/>
    <col min="14" max="14" width="2.7109375" style="2136" customWidth="1"/>
    <col min="15" max="16384" width="33.5703125" style="2136"/>
  </cols>
  <sheetData>
    <row r="1" spans="2:14" ht="11.85" customHeight="1" x14ac:dyDescent="0.2">
      <c r="B1" s="2730" t="str">
        <f>'Single Audit Cover'!A7</f>
        <v xml:space="preserve"> McHenry CHSD 156</v>
      </c>
      <c r="C1" s="2775"/>
      <c r="D1" s="2775"/>
      <c r="E1" s="2775"/>
      <c r="F1" s="2775"/>
      <c r="G1" s="2775"/>
      <c r="H1" s="2775"/>
      <c r="I1" s="2775"/>
      <c r="J1" s="2775"/>
      <c r="K1" s="2775"/>
      <c r="L1" s="2775"/>
      <c r="M1" s="2775"/>
    </row>
    <row r="2" spans="2:14" ht="15" x14ac:dyDescent="0.2">
      <c r="B2" s="2776">
        <f>'Single Audit Cover'!E7</f>
        <v>44063156016</v>
      </c>
      <c r="C2" s="2776"/>
      <c r="D2" s="2776"/>
      <c r="E2" s="2776"/>
      <c r="F2" s="2776"/>
      <c r="G2" s="2776"/>
      <c r="H2" s="2776"/>
      <c r="I2" s="2776"/>
      <c r="J2" s="2776"/>
      <c r="K2" s="2776"/>
      <c r="L2" s="2776"/>
      <c r="M2" s="2776"/>
      <c r="N2" s="2146"/>
    </row>
    <row r="3" spans="2:14" ht="15" x14ac:dyDescent="0.2">
      <c r="B3" s="2777" t="s">
        <v>1207</v>
      </c>
      <c r="C3" s="2777"/>
      <c r="D3" s="2777"/>
      <c r="E3" s="2777"/>
      <c r="F3" s="2777"/>
      <c r="G3" s="2777"/>
      <c r="H3" s="2777"/>
      <c r="I3" s="2777"/>
      <c r="J3" s="2777"/>
      <c r="K3" s="2777"/>
      <c r="L3" s="2777"/>
      <c r="M3" s="2777"/>
      <c r="N3" s="2146"/>
    </row>
    <row r="4" spans="2:14" ht="15" x14ac:dyDescent="0.2">
      <c r="B4" s="2778" t="str">
        <f>'Single Audit Cover'!A4</f>
        <v>Year Ending June 30, 2020</v>
      </c>
      <c r="C4" s="2778"/>
      <c r="D4" s="2778"/>
      <c r="E4" s="2778"/>
      <c r="F4" s="2778"/>
      <c r="G4" s="2778"/>
      <c r="H4" s="2778"/>
      <c r="I4" s="2778"/>
      <c r="J4" s="2778"/>
      <c r="K4" s="2778"/>
      <c r="L4" s="2778"/>
      <c r="M4" s="2778"/>
      <c r="N4" s="2146"/>
    </row>
    <row r="5" spans="2:14" x14ac:dyDescent="0.2">
      <c r="H5" s="2213"/>
      <c r="J5" s="2213"/>
    </row>
    <row r="6" spans="2:14" x14ac:dyDescent="0.2">
      <c r="B6" s="2147"/>
      <c r="C6" s="2148"/>
      <c r="D6" s="2149" t="s">
        <v>1253</v>
      </c>
      <c r="E6" s="2150" t="s">
        <v>524</v>
      </c>
      <c r="F6" s="2151"/>
      <c r="G6" s="2152" t="s">
        <v>1705</v>
      </c>
      <c r="H6" s="2150"/>
      <c r="I6" s="2150"/>
      <c r="J6" s="2214"/>
      <c r="K6" s="2153"/>
      <c r="L6" s="2154"/>
      <c r="M6" s="2155"/>
    </row>
    <row r="7" spans="2:14" x14ac:dyDescent="0.2">
      <c r="B7" s="2156" t="s">
        <v>1561</v>
      </c>
      <c r="C7" s="2157"/>
      <c r="D7" s="2158"/>
      <c r="E7" s="2159"/>
      <c r="F7" s="2160"/>
      <c r="G7" s="2159"/>
      <c r="H7" s="2161" t="s">
        <v>1250</v>
      </c>
      <c r="I7" s="2159"/>
      <c r="J7" s="2162" t="s">
        <v>1250</v>
      </c>
      <c r="K7" s="2163"/>
      <c r="L7" s="2164" t="s">
        <v>1248</v>
      </c>
      <c r="M7" s="2165"/>
    </row>
    <row r="8" spans="2:14" x14ac:dyDescent="0.2">
      <c r="B8" s="2207"/>
      <c r="C8" s="2157" t="s">
        <v>1252</v>
      </c>
      <c r="D8" s="2158" t="s">
        <v>1251</v>
      </c>
      <c r="E8" s="2166" t="s">
        <v>1250</v>
      </c>
      <c r="F8" s="2167" t="s">
        <v>1250</v>
      </c>
      <c r="G8" s="2168" t="s">
        <v>1250</v>
      </c>
      <c r="H8" s="2208" t="str">
        <f>"7/1/"&amp;MID('AFR20'!$E$2,3,2)-2&amp;"-6/30/"&amp;MID('AFR20'!$E$2,3,2)-1</f>
        <v>7/1/18-6/30/19</v>
      </c>
      <c r="I8" s="2163" t="s">
        <v>1250</v>
      </c>
      <c r="J8" s="2209" t="str">
        <f>"7/1/"&amp;MID('AFR20'!$E$2,3,2)-1&amp;"-6/30/"&amp;MID('AFR20'!$E$2,3,2)</f>
        <v>7/1/19-6/30/20</v>
      </c>
      <c r="K8" s="2163" t="s">
        <v>1249</v>
      </c>
      <c r="L8" s="2164" t="s">
        <v>1245</v>
      </c>
      <c r="M8" s="2165" t="s">
        <v>30</v>
      </c>
    </row>
    <row r="9" spans="2:14" ht="14.25" x14ac:dyDescent="0.2">
      <c r="B9" s="2169" t="s">
        <v>1247</v>
      </c>
      <c r="C9" s="2157" t="s">
        <v>1706</v>
      </c>
      <c r="D9" s="2158" t="s">
        <v>1707</v>
      </c>
      <c r="E9" s="2212" t="str">
        <f>"7/1/"&amp;MID('AFR20'!$E$2,3,2)-2&amp;"-6/30/"&amp;MID('AFR20'!$E$2,3,2)-1</f>
        <v>7/1/18-6/30/19</v>
      </c>
      <c r="F9" s="2212" t="str">
        <f>"7/1/"&amp;MID('AFR20'!$E$2,3,2)-1&amp;"-6/30/"&amp;MID('AFR20'!$E$2,3,2)</f>
        <v>7/1/19-6/30/20</v>
      </c>
      <c r="G9" s="2212" t="str">
        <f>"7/1/"&amp;MID('AFR20'!$E$2,3,2)-2&amp;"-6/30/"&amp;MID('AFR20'!$E$2,3,2)-1</f>
        <v>7/1/18-6/30/19</v>
      </c>
      <c r="H9" s="2161" t="s">
        <v>1562</v>
      </c>
      <c r="I9" s="2212" t="str">
        <f>"7/1/"&amp;MID('AFR20'!$E$2,3,2)-1&amp;"-6/30/"&amp;MID('AFR20'!$E$2,3,2)</f>
        <v>7/1/19-6/30/20</v>
      </c>
      <c r="J9" s="2162" t="s">
        <v>1562</v>
      </c>
      <c r="K9" s="2163" t="s">
        <v>1246</v>
      </c>
      <c r="L9" s="2170" t="s">
        <v>1563</v>
      </c>
      <c r="M9" s="2165"/>
    </row>
    <row r="10" spans="2:14" ht="11.85" customHeight="1" x14ac:dyDescent="0.2">
      <c r="B10" s="2169" t="s">
        <v>1244</v>
      </c>
      <c r="C10" s="2171" t="s">
        <v>1243</v>
      </c>
      <c r="D10" s="2172" t="s">
        <v>1242</v>
      </c>
      <c r="E10" s="2173" t="s">
        <v>1241</v>
      </c>
      <c r="F10" s="2174" t="s">
        <v>1240</v>
      </c>
      <c r="G10" s="2175" t="s">
        <v>1239</v>
      </c>
      <c r="H10" s="2176" t="s">
        <v>1254</v>
      </c>
      <c r="I10" s="2177" t="s">
        <v>1238</v>
      </c>
      <c r="J10" s="2178" t="s">
        <v>1254</v>
      </c>
      <c r="K10" s="2179" t="s">
        <v>1237</v>
      </c>
      <c r="L10" s="2179" t="s">
        <v>1236</v>
      </c>
      <c r="M10" s="2180" t="s">
        <v>1235</v>
      </c>
    </row>
    <row r="11" spans="2:14" ht="20.100000000000001" customHeight="1" x14ac:dyDescent="0.2">
      <c r="B11" s="2216" t="s">
        <v>2136</v>
      </c>
      <c r="C11" s="2219" t="s">
        <v>2111</v>
      </c>
      <c r="D11" s="2220" t="s">
        <v>2112</v>
      </c>
      <c r="E11" s="2222"/>
      <c r="F11" s="2222">
        <v>0</v>
      </c>
      <c r="G11" s="2222"/>
      <c r="H11" s="2222"/>
      <c r="I11" s="2223">
        <v>38572</v>
      </c>
      <c r="J11" s="2210"/>
      <c r="K11" s="2210"/>
      <c r="L11" s="2210">
        <f>+G11+I11+K11</f>
        <v>38572</v>
      </c>
      <c r="M11" s="2210">
        <v>215314</v>
      </c>
    </row>
    <row r="12" spans="2:14" ht="20.100000000000001" customHeight="1" x14ac:dyDescent="0.2">
      <c r="B12" s="2216" t="s">
        <v>2084</v>
      </c>
      <c r="C12" s="2218"/>
      <c r="D12" s="2220"/>
      <c r="E12" s="2222"/>
      <c r="F12" s="2222"/>
      <c r="G12" s="2222"/>
      <c r="H12" s="2222"/>
      <c r="I12" s="2222"/>
      <c r="J12" s="2211"/>
      <c r="K12" s="2211"/>
      <c r="L12" s="2210"/>
      <c r="M12" s="2211"/>
    </row>
    <row r="13" spans="2:14" ht="20.100000000000001" customHeight="1" x14ac:dyDescent="0.2">
      <c r="B13" s="2216" t="s">
        <v>2101</v>
      </c>
      <c r="C13" s="2218"/>
      <c r="D13" s="2220"/>
      <c r="E13" s="2222"/>
      <c r="F13" s="2222"/>
      <c r="G13" s="2222"/>
      <c r="H13" s="2222"/>
      <c r="I13" s="2222"/>
      <c r="J13" s="2211"/>
      <c r="K13" s="2211"/>
      <c r="L13" s="2210"/>
      <c r="M13" s="2211"/>
    </row>
    <row r="14" spans="2:14" ht="20.100000000000001" customHeight="1" x14ac:dyDescent="0.2">
      <c r="B14" s="2216" t="s">
        <v>2102</v>
      </c>
      <c r="C14" s="2218">
        <v>84.048000000000002</v>
      </c>
      <c r="D14" s="2220" t="s">
        <v>2113</v>
      </c>
      <c r="E14" s="2222"/>
      <c r="F14" s="2223">
        <v>47483</v>
      </c>
      <c r="G14" s="2222"/>
      <c r="H14" s="2222"/>
      <c r="I14" s="2223">
        <v>47483</v>
      </c>
      <c r="J14" s="2211"/>
      <c r="K14" s="2211"/>
      <c r="L14" s="2210">
        <f t="shared" ref="L14:L25" si="0">+G14+I14+K14</f>
        <v>47483</v>
      </c>
      <c r="M14" s="2224" t="s">
        <v>2067</v>
      </c>
    </row>
    <row r="15" spans="2:14" ht="20.100000000000001" customHeight="1" x14ac:dyDescent="0.2">
      <c r="B15" s="2216" t="s">
        <v>2103</v>
      </c>
      <c r="C15" s="2218"/>
      <c r="D15" s="2220"/>
      <c r="E15" s="2211">
        <f>' SEFA (2)'!E20+' SEFA (2)'!E25+' SEFA (2)'!E28+' SEFA (3)'!E11+E14</f>
        <v>686042</v>
      </c>
      <c r="F15" s="2215">
        <f>' SEFA (2)'!F20+' SEFA (2)'!F25+' SEFA (2)'!F28+' SEFA (3)'!F11+F14</f>
        <v>1219836</v>
      </c>
      <c r="G15" s="2215">
        <f>' SEFA (2)'!G20+' SEFA (2)'!G25+' SEFA (2)'!G28+' SEFA (3)'!G11+G14</f>
        <v>962450</v>
      </c>
      <c r="H15" s="2215"/>
      <c r="I15" s="2215">
        <f>' SEFA (2)'!I20+' SEFA (2)'!I25+' SEFA (2)'!I28+' SEFA (3)'!I11+I14</f>
        <v>1234954</v>
      </c>
      <c r="J15" s="2211"/>
      <c r="K15" s="2211"/>
      <c r="L15" s="2210">
        <f t="shared" si="0"/>
        <v>2197404</v>
      </c>
      <c r="M15" s="2224"/>
    </row>
    <row r="16" spans="2:14" ht="20.100000000000001" customHeight="1" x14ac:dyDescent="0.2">
      <c r="B16" s="2216"/>
      <c r="C16" s="2218"/>
      <c r="D16" s="2220"/>
      <c r="E16" s="2227"/>
      <c r="F16" s="2227"/>
      <c r="G16" s="2227"/>
      <c r="H16" s="2227"/>
      <c r="I16" s="2227"/>
      <c r="J16" s="2227"/>
      <c r="K16" s="2227"/>
      <c r="L16" s="2210"/>
      <c r="M16" s="2224"/>
    </row>
    <row r="17" spans="2:14" ht="20.100000000000001" customHeight="1" x14ac:dyDescent="0.2">
      <c r="B17" s="2216" t="s">
        <v>2104</v>
      </c>
      <c r="C17" s="2218"/>
      <c r="D17" s="2220"/>
      <c r="E17" s="2227"/>
      <c r="F17" s="2227"/>
      <c r="G17" s="2227"/>
      <c r="H17" s="2227"/>
      <c r="I17" s="2227"/>
      <c r="J17" s="2227"/>
      <c r="K17" s="2227"/>
      <c r="L17" s="2210"/>
      <c r="M17" s="2224"/>
    </row>
    <row r="18" spans="2:14" ht="20.100000000000001" customHeight="1" x14ac:dyDescent="0.2">
      <c r="B18" s="2216" t="s">
        <v>2105</v>
      </c>
      <c r="C18" s="2218"/>
      <c r="D18" s="2220"/>
      <c r="E18" s="2227"/>
      <c r="F18" s="2227"/>
      <c r="G18" s="2227"/>
      <c r="H18" s="2227"/>
      <c r="I18" s="2227"/>
      <c r="J18" s="2227"/>
      <c r="K18" s="2227"/>
      <c r="L18" s="2210"/>
      <c r="M18" s="2224"/>
    </row>
    <row r="19" spans="2:14" ht="20.100000000000001" customHeight="1" x14ac:dyDescent="0.2">
      <c r="B19" s="2216" t="s">
        <v>2106</v>
      </c>
      <c r="C19" s="2218"/>
      <c r="D19" s="2220"/>
      <c r="E19" s="2227"/>
      <c r="F19" s="2227"/>
      <c r="G19" s="2227"/>
      <c r="H19" s="2227"/>
      <c r="I19" s="2227"/>
      <c r="J19" s="2227"/>
      <c r="K19" s="2227"/>
      <c r="L19" s="2210"/>
      <c r="M19" s="2224"/>
    </row>
    <row r="20" spans="2:14" ht="20.100000000000001" customHeight="1" x14ac:dyDescent="0.2">
      <c r="B20" s="2216" t="s">
        <v>2107</v>
      </c>
      <c r="C20" s="2218">
        <v>93.778000000000006</v>
      </c>
      <c r="D20" s="2220" t="s">
        <v>2114</v>
      </c>
      <c r="E20" s="2227">
        <v>9629</v>
      </c>
      <c r="F20" s="2227">
        <v>5055</v>
      </c>
      <c r="G20" s="2227">
        <v>9629</v>
      </c>
      <c r="H20" s="2227"/>
      <c r="I20" s="2227">
        <v>5055</v>
      </c>
      <c r="J20" s="2227"/>
      <c r="K20" s="2227"/>
      <c r="L20" s="2210">
        <f t="shared" si="0"/>
        <v>14684</v>
      </c>
      <c r="M20" s="2224" t="s">
        <v>2067</v>
      </c>
    </row>
    <row r="21" spans="2:14" ht="20.100000000000001" customHeight="1" x14ac:dyDescent="0.2">
      <c r="B21" s="2216" t="s">
        <v>2107</v>
      </c>
      <c r="C21" s="2218">
        <v>93.778000000000006</v>
      </c>
      <c r="D21" s="2220" t="s">
        <v>2115</v>
      </c>
      <c r="E21" s="2227"/>
      <c r="F21" s="2227">
        <v>12711</v>
      </c>
      <c r="G21" s="2227"/>
      <c r="H21" s="2227"/>
      <c r="I21" s="2228">
        <v>21564</v>
      </c>
      <c r="J21" s="2227"/>
      <c r="K21" s="2227"/>
      <c r="L21" s="2210">
        <f t="shared" si="0"/>
        <v>21564</v>
      </c>
      <c r="M21" s="2224" t="s">
        <v>2067</v>
      </c>
    </row>
    <row r="22" spans="2:14" ht="20.100000000000001" customHeight="1" x14ac:dyDescent="0.2">
      <c r="B22" s="2216" t="s">
        <v>2108</v>
      </c>
      <c r="C22" s="2218"/>
      <c r="D22" s="2220"/>
      <c r="E22" s="2211">
        <f>SUM(E20:E21)</f>
        <v>9629</v>
      </c>
      <c r="F22" s="2211">
        <f>SUM(F20:F21)</f>
        <v>17766</v>
      </c>
      <c r="G22" s="2211">
        <f>SUM(G20:G21)</f>
        <v>9629</v>
      </c>
      <c r="H22" s="2211"/>
      <c r="I22" s="2211">
        <f>SUM(I20:I21)</f>
        <v>26619</v>
      </c>
      <c r="J22" s="2211"/>
      <c r="K22" s="2211"/>
      <c r="L22" s="2210">
        <v>36248</v>
      </c>
      <c r="M22" s="2224"/>
    </row>
    <row r="23" spans="2:14" ht="20.100000000000001" customHeight="1" x14ac:dyDescent="0.2">
      <c r="B23" s="2216" t="s">
        <v>2109</v>
      </c>
      <c r="C23" s="2218"/>
      <c r="D23" s="2220"/>
      <c r="E23" s="2211">
        <f>E22</f>
        <v>9629</v>
      </c>
      <c r="F23" s="2211">
        <f>F22</f>
        <v>17766</v>
      </c>
      <c r="G23" s="2211">
        <f>G22</f>
        <v>9629</v>
      </c>
      <c r="H23" s="2211"/>
      <c r="I23" s="2211">
        <f>I22</f>
        <v>26619</v>
      </c>
      <c r="J23" s="2211"/>
      <c r="K23" s="2211"/>
      <c r="L23" s="2210">
        <f t="shared" si="0"/>
        <v>36248</v>
      </c>
      <c r="M23" s="2224"/>
    </row>
    <row r="24" spans="2:14" ht="20.100000000000001" customHeight="1" x14ac:dyDescent="0.2">
      <c r="B24" s="2217"/>
      <c r="C24" s="2219"/>
      <c r="D24" s="2221"/>
      <c r="E24" s="2211"/>
      <c r="F24" s="2211"/>
      <c r="G24" s="2211"/>
      <c r="H24" s="2211"/>
      <c r="I24" s="2211"/>
      <c r="J24" s="2211"/>
      <c r="K24" s="2211"/>
      <c r="L24" s="2210"/>
      <c r="M24" s="2225"/>
    </row>
    <row r="25" spans="2:14" ht="20.100000000000001" customHeight="1" x14ac:dyDescent="0.2">
      <c r="B25" s="2217" t="s">
        <v>2110</v>
      </c>
      <c r="C25" s="2219"/>
      <c r="D25" s="2221"/>
      <c r="E25" s="2211">
        <f>' SEFA'!E25+' SEFA (3)'!E15+' SEFA (3)'!E23</f>
        <v>938831</v>
      </c>
      <c r="F25" s="2211">
        <f>' SEFA'!F25+' SEFA (3)'!F15+' SEFA (3)'!F23</f>
        <v>1527717</v>
      </c>
      <c r="G25" s="2211">
        <f>' SEFA'!G25+' SEFA (3)'!G15+' SEFA (3)'!G23</f>
        <v>1215239</v>
      </c>
      <c r="H25" s="2211"/>
      <c r="I25" s="2211">
        <f>' SEFA'!I25+' SEFA (3)'!I15+' SEFA (3)'!I23</f>
        <v>1551688</v>
      </c>
      <c r="J25" s="2211"/>
      <c r="K25" s="2211"/>
      <c r="L25" s="2210">
        <f t="shared" si="0"/>
        <v>2766927</v>
      </c>
      <c r="M25" s="2225"/>
    </row>
    <row r="26" spans="2:14" ht="20.100000000000001" customHeight="1" x14ac:dyDescent="0.2">
      <c r="B26" s="2217"/>
      <c r="C26" s="2219"/>
      <c r="D26" s="2221"/>
      <c r="E26" s="2211"/>
      <c r="F26" s="2215"/>
      <c r="G26" s="2215"/>
      <c r="H26" s="2215"/>
      <c r="I26" s="2215"/>
      <c r="J26" s="2211"/>
      <c r="K26" s="2211"/>
      <c r="L26" s="2210"/>
      <c r="M26" s="2225"/>
    </row>
    <row r="27" spans="2:14" ht="20.100000000000001" customHeight="1" x14ac:dyDescent="0.2">
      <c r="B27" s="2217"/>
      <c r="C27" s="2219"/>
      <c r="D27" s="2221"/>
      <c r="E27" s="2211"/>
      <c r="F27" s="2215"/>
      <c r="G27" s="2215"/>
      <c r="H27" s="2215"/>
      <c r="I27" s="2215"/>
      <c r="J27" s="2040"/>
      <c r="K27" s="2040"/>
      <c r="L27" s="2041"/>
      <c r="M27" s="2225"/>
      <c r="N27" s="2181"/>
    </row>
    <row r="28" spans="2:14" ht="12.75" customHeight="1" x14ac:dyDescent="0.2">
      <c r="B28" s="2217"/>
      <c r="C28" s="2219"/>
      <c r="D28" s="2221"/>
      <c r="E28" s="2042"/>
      <c r="F28" s="2042"/>
      <c r="G28" s="2042"/>
      <c r="H28" s="2042"/>
      <c r="I28" s="2042"/>
      <c r="J28" s="2042"/>
      <c r="K28" s="2042"/>
      <c r="L28" s="2042"/>
      <c r="M28" s="2225"/>
      <c r="N28" s="2181"/>
    </row>
    <row r="29" spans="2:14" x14ac:dyDescent="0.2">
      <c r="B29" s="2138"/>
      <c r="C29" s="2182"/>
      <c r="D29" s="2183"/>
      <c r="E29" s="2138"/>
      <c r="F29" s="2138"/>
      <c r="G29" s="2137"/>
      <c r="H29" s="2137"/>
      <c r="I29" s="2137"/>
      <c r="J29" s="2137"/>
      <c r="K29" s="2137"/>
      <c r="L29" s="2137"/>
      <c r="M29" s="2138"/>
      <c r="N29" s="2181"/>
    </row>
    <row r="30" spans="2:14" ht="13.5" customHeight="1" x14ac:dyDescent="0.2">
      <c r="B30" s="2143" t="s">
        <v>1708</v>
      </c>
      <c r="C30" s="2182"/>
      <c r="D30" s="2183"/>
      <c r="E30" s="2138"/>
      <c r="F30" s="2138"/>
      <c r="G30" s="2137"/>
      <c r="H30" s="2137"/>
      <c r="I30" s="2137"/>
      <c r="J30" s="2137"/>
      <c r="K30" s="2137"/>
      <c r="L30" s="2137"/>
      <c r="M30" s="2138"/>
      <c r="N30" s="2181"/>
    </row>
    <row r="31" spans="2:14" ht="8.25" customHeight="1" x14ac:dyDescent="0.2">
      <c r="B31" s="2143"/>
      <c r="C31" s="2182"/>
      <c r="D31" s="2183"/>
      <c r="E31" s="2138"/>
      <c r="F31" s="2138"/>
      <c r="G31" s="2137"/>
      <c r="H31" s="2137"/>
      <c r="I31" s="2137"/>
      <c r="J31" s="2137"/>
      <c r="K31" s="2137"/>
      <c r="L31" s="2137"/>
      <c r="M31" s="2138"/>
      <c r="N31" s="2181"/>
    </row>
    <row r="32" spans="2:14" x14ac:dyDescent="0.2">
      <c r="B32" s="2184" t="s">
        <v>1806</v>
      </c>
      <c r="C32" s="2185"/>
      <c r="D32" s="2186"/>
      <c r="E32" s="2187"/>
      <c r="F32" s="2187"/>
      <c r="G32" s="2187"/>
      <c r="H32" s="2187"/>
      <c r="I32" s="2136"/>
      <c r="J32" s="2136"/>
    </row>
    <row r="33" spans="2:13" x14ac:dyDescent="0.2">
      <c r="B33" s="2141"/>
      <c r="C33" s="2188"/>
      <c r="D33" s="2189"/>
      <c r="E33" s="2142"/>
      <c r="F33" s="2142"/>
      <c r="G33" s="2136"/>
      <c r="H33" s="2136"/>
      <c r="I33" s="2136"/>
      <c r="J33" s="2136"/>
    </row>
    <row r="34" spans="2:13" ht="13.5" customHeight="1" x14ac:dyDescent="0.2">
      <c r="B34" s="2140" t="s">
        <v>1234</v>
      </c>
      <c r="G34" s="2136"/>
      <c r="H34" s="2136"/>
      <c r="I34" s="2136"/>
      <c r="J34" s="2136"/>
    </row>
    <row r="35" spans="2:13" ht="13.5" customHeight="1" x14ac:dyDescent="0.2">
      <c r="B35" s="2192"/>
      <c r="C35" s="2193"/>
      <c r="D35" s="2194"/>
      <c r="E35" s="2144"/>
      <c r="F35" s="2144"/>
      <c r="G35" s="2144"/>
      <c r="H35" s="2144"/>
      <c r="I35" s="2144"/>
      <c r="J35" s="2144"/>
      <c r="K35" s="2195"/>
      <c r="L35" s="2195"/>
      <c r="M35" s="2144"/>
    </row>
    <row r="36" spans="2:13" ht="9.6" customHeight="1" x14ac:dyDescent="0.2">
      <c r="B36" s="2196"/>
      <c r="G36" s="2136"/>
      <c r="H36" s="2136"/>
      <c r="I36" s="2136"/>
      <c r="J36" s="2136"/>
    </row>
    <row r="37" spans="2:13" ht="11.25" customHeight="1" x14ac:dyDescent="0.2">
      <c r="B37" s="2197" t="s">
        <v>1709</v>
      </c>
      <c r="C37" s="2198"/>
      <c r="D37" s="2198"/>
      <c r="E37" s="2198"/>
      <c r="F37" s="2198"/>
      <c r="G37" s="2198"/>
      <c r="H37" s="2198"/>
      <c r="I37" s="2199"/>
      <c r="J37" s="2199"/>
      <c r="K37" s="2199"/>
      <c r="L37" s="2199"/>
      <c r="M37" s="2199"/>
    </row>
    <row r="38" spans="2:13" ht="11.25" customHeight="1" x14ac:dyDescent="0.2">
      <c r="B38" s="2200" t="s">
        <v>1564</v>
      </c>
      <c r="C38" s="2199"/>
      <c r="D38" s="2199"/>
      <c r="E38" s="2199"/>
      <c r="F38" s="2199"/>
      <c r="G38" s="2199"/>
      <c r="H38" s="2199"/>
      <c r="I38" s="2199"/>
      <c r="J38" s="2199"/>
      <c r="K38" s="2199"/>
      <c r="L38" s="2199"/>
      <c r="M38" s="2199"/>
    </row>
    <row r="39" spans="2:13" ht="3.95" customHeight="1" x14ac:dyDescent="0.2">
      <c r="B39" s="2200"/>
      <c r="C39" s="2199"/>
      <c r="D39" s="2199"/>
      <c r="E39" s="2199"/>
      <c r="F39" s="2199"/>
      <c r="G39" s="2199"/>
      <c r="H39" s="2199"/>
      <c r="I39" s="2199"/>
      <c r="J39" s="2199"/>
      <c r="K39" s="2199"/>
      <c r="L39" s="2199"/>
      <c r="M39" s="2199"/>
    </row>
    <row r="40" spans="2:13" ht="11.25" customHeight="1" x14ac:dyDescent="0.2">
      <c r="B40" s="2197" t="s">
        <v>1710</v>
      </c>
      <c r="C40" s="2199"/>
      <c r="D40" s="2199"/>
      <c r="E40" s="2199"/>
      <c r="F40" s="2199"/>
      <c r="G40" s="2199"/>
      <c r="H40" s="2199"/>
      <c r="I40" s="2199"/>
      <c r="J40" s="2199"/>
      <c r="K40" s="2199"/>
      <c r="L40" s="2199"/>
      <c r="M40" s="2199"/>
    </row>
    <row r="41" spans="2:13" ht="11.25" customHeight="1" x14ac:dyDescent="0.2">
      <c r="B41" s="2145" t="s">
        <v>1565</v>
      </c>
      <c r="C41" s="2201"/>
      <c r="D41" s="2202"/>
      <c r="E41" s="2145"/>
      <c r="F41" s="2145"/>
      <c r="G41" s="2145"/>
      <c r="H41" s="2145"/>
      <c r="I41" s="2145"/>
      <c r="J41" s="2145"/>
      <c r="K41" s="2203"/>
      <c r="L41" s="2203"/>
      <c r="M41" s="2145"/>
    </row>
    <row r="42" spans="2:13" ht="3.95" customHeight="1" x14ac:dyDescent="0.2">
      <c r="B42" s="2145"/>
      <c r="C42" s="2201"/>
      <c r="D42" s="2202"/>
      <c r="E42" s="2145"/>
      <c r="F42" s="2145"/>
      <c r="G42" s="2145"/>
      <c r="H42" s="2145"/>
      <c r="I42" s="2145"/>
      <c r="J42" s="2145"/>
      <c r="K42" s="2203"/>
      <c r="L42" s="2203"/>
      <c r="M42" s="2145"/>
    </row>
    <row r="43" spans="2:13" ht="11.25" customHeight="1" x14ac:dyDescent="0.2">
      <c r="B43" s="2204" t="s">
        <v>1711</v>
      </c>
      <c r="C43" s="2201"/>
      <c r="D43" s="2202"/>
      <c r="E43" s="2145"/>
      <c r="F43" s="2145"/>
      <c r="G43" s="2145"/>
      <c r="H43" s="2145"/>
      <c r="I43" s="2145"/>
      <c r="J43" s="2145"/>
      <c r="K43" s="2203"/>
      <c r="L43" s="2203"/>
      <c r="M43" s="2145"/>
    </row>
    <row r="44" spans="2:13" ht="3.95" customHeight="1" x14ac:dyDescent="0.2">
      <c r="B44" s="2204"/>
      <c r="C44" s="2201"/>
      <c r="D44" s="2202"/>
      <c r="E44" s="2145"/>
      <c r="F44" s="2145"/>
      <c r="G44" s="2145"/>
      <c r="H44" s="2145"/>
      <c r="I44" s="2145"/>
      <c r="J44" s="2145"/>
      <c r="K44" s="2203"/>
      <c r="L44" s="2203"/>
      <c r="M44" s="2145"/>
    </row>
    <row r="45" spans="2:13" ht="11.25" customHeight="1" x14ac:dyDescent="0.2">
      <c r="B45" s="2205" t="s">
        <v>1712</v>
      </c>
      <c r="C45" s="2201"/>
      <c r="D45" s="2202"/>
      <c r="E45" s="2145"/>
      <c r="F45" s="2145"/>
      <c r="G45" s="2145"/>
      <c r="H45" s="2145"/>
      <c r="I45" s="2145"/>
      <c r="J45" s="2145"/>
      <c r="K45" s="2203"/>
      <c r="L45" s="2203"/>
      <c r="M45" s="2145"/>
    </row>
    <row r="46" spans="2:13" ht="11.25" customHeight="1" x14ac:dyDescent="0.2">
      <c r="B46" s="2145" t="s">
        <v>1566</v>
      </c>
      <c r="G46" s="2136"/>
      <c r="H46" s="2136"/>
      <c r="I46" s="2136"/>
      <c r="J46" s="2136"/>
    </row>
    <row r="47" spans="2:13" ht="11.1" customHeight="1" x14ac:dyDescent="0.2">
      <c r="B47" s="2145"/>
      <c r="G47" s="2136"/>
      <c r="H47" s="2136"/>
      <c r="I47" s="2136"/>
      <c r="J47" s="2136"/>
    </row>
    <row r="48" spans="2:13" ht="11.1" customHeight="1" x14ac:dyDescent="0.2">
      <c r="B48" s="2145"/>
      <c r="G48" s="2136"/>
      <c r="H48" s="2136"/>
      <c r="I48" s="2136"/>
      <c r="J48" s="2136"/>
    </row>
    <row r="49" spans="7:13" ht="13.5" customHeight="1" x14ac:dyDescent="0.2">
      <c r="M49" s="2206"/>
    </row>
    <row r="50" spans="7:13" ht="13.5" customHeight="1" x14ac:dyDescent="0.2">
      <c r="M50" s="2206"/>
    </row>
    <row r="51" spans="7:13" ht="13.5" customHeight="1" x14ac:dyDescent="0.2">
      <c r="M51" s="2206"/>
    </row>
    <row r="52" spans="7:13" ht="13.5" customHeight="1" x14ac:dyDescent="0.2">
      <c r="G52" s="2136"/>
      <c r="H52" s="2136"/>
      <c r="I52" s="2136"/>
      <c r="J52" s="2136"/>
    </row>
    <row r="53" spans="7:13" ht="13.5" customHeight="1" x14ac:dyDescent="0.2">
      <c r="G53" s="2136"/>
      <c r="H53" s="2136"/>
      <c r="I53" s="2136"/>
      <c r="J53" s="2136"/>
    </row>
    <row r="54" spans="7:13" ht="13.5" customHeight="1" x14ac:dyDescent="0.2">
      <c r="G54" s="2136"/>
      <c r="H54" s="2136"/>
      <c r="I54" s="2136"/>
      <c r="J54" s="2136"/>
    </row>
    <row r="55" spans="7:13" ht="13.5" customHeight="1" x14ac:dyDescent="0.2">
      <c r="G55" s="2136"/>
      <c r="H55" s="2136"/>
      <c r="I55" s="2136"/>
      <c r="J55" s="2136"/>
    </row>
    <row r="56" spans="7:13" ht="13.5" customHeight="1" x14ac:dyDescent="0.2">
      <c r="G56" s="2136"/>
      <c r="H56" s="2136"/>
      <c r="I56" s="2136"/>
      <c r="J56" s="2136"/>
    </row>
    <row r="57" spans="7:13" ht="13.5" customHeight="1" x14ac:dyDescent="0.2">
      <c r="G57" s="2136"/>
      <c r="H57" s="2136"/>
      <c r="I57" s="2136"/>
      <c r="J57" s="2136"/>
    </row>
    <row r="58" spans="7:13" ht="13.5" customHeight="1" x14ac:dyDescent="0.2">
      <c r="G58" s="2136"/>
      <c r="H58" s="2136"/>
      <c r="I58" s="2136"/>
      <c r="J58" s="213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780" t="str">
        <f>'Single Audit Cover'!A7</f>
        <v xml:space="preserve"> McHenry CHSD 156</v>
      </c>
      <c r="B1" s="2780"/>
      <c r="C1" s="2780"/>
      <c r="D1" s="2780"/>
      <c r="E1" s="2780"/>
      <c r="F1" s="2780"/>
    </row>
    <row r="2" spans="1:7" ht="13.5" customHeight="1" x14ac:dyDescent="0.2">
      <c r="A2" s="2776">
        <f>'Single Audit Cover'!E7</f>
        <v>44063156016</v>
      </c>
      <c r="B2" s="2776"/>
      <c r="C2" s="2776"/>
      <c r="D2" s="2776"/>
      <c r="E2" s="2776"/>
      <c r="F2" s="2776"/>
      <c r="G2" s="1044"/>
    </row>
    <row r="3" spans="1:7" ht="15.75" customHeight="1" x14ac:dyDescent="0.2">
      <c r="A3" s="2781" t="s">
        <v>1259</v>
      </c>
      <c r="B3" s="2781"/>
      <c r="C3" s="2781"/>
      <c r="D3" s="2781"/>
      <c r="E3" s="2781"/>
      <c r="F3" s="2781"/>
    </row>
    <row r="4" spans="1:7" ht="13.5" customHeight="1" x14ac:dyDescent="0.2">
      <c r="A4" s="2782" t="str">
        <f>'Single Audit Cover'!A4</f>
        <v>Year Ending June 30, 2020</v>
      </c>
      <c r="B4" s="2782"/>
      <c r="C4" s="2782"/>
      <c r="D4" s="2782"/>
      <c r="E4" s="2782"/>
      <c r="F4" s="2782"/>
    </row>
    <row r="5" spans="1:7" ht="8.25" customHeight="1" x14ac:dyDescent="0.2">
      <c r="C5" s="295"/>
      <c r="D5" s="295"/>
    </row>
    <row r="6" spans="1:7" ht="13.5" customHeight="1" x14ac:dyDescent="0.2">
      <c r="A6" s="1045" t="s">
        <v>1702</v>
      </c>
      <c r="C6" s="295"/>
      <c r="D6" s="295"/>
    </row>
    <row r="7" spans="1:7" ht="60.95" customHeight="1" x14ac:dyDescent="0.2">
      <c r="A7" s="2779" t="s">
        <v>2137</v>
      </c>
      <c r="B7" s="2779"/>
      <c r="C7" s="2779"/>
      <c r="D7" s="2779"/>
      <c r="E7" s="2779"/>
      <c r="F7" s="2779"/>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2116</v>
      </c>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24" customHeight="1" x14ac:dyDescent="0.2">
      <c r="A13" s="2779" t="s">
        <v>2138</v>
      </c>
      <c r="B13" s="2779"/>
      <c r="C13" s="2779"/>
      <c r="D13" s="2779"/>
      <c r="E13" s="2779"/>
      <c r="F13" s="2779"/>
    </row>
    <row r="14" spans="1:7" ht="9.75" customHeight="1" x14ac:dyDescent="0.2">
      <c r="C14" s="1029"/>
      <c r="D14" s="1029"/>
    </row>
    <row r="15" spans="1:7" ht="13.5" customHeight="1" x14ac:dyDescent="0.2">
      <c r="C15" s="1469" t="s">
        <v>1258</v>
      </c>
      <c r="D15" s="2784" t="s">
        <v>1257</v>
      </c>
      <c r="E15" s="2784"/>
      <c r="F15" s="2784"/>
    </row>
    <row r="16" spans="1:7" ht="13.5" customHeight="1" x14ac:dyDescent="0.2">
      <c r="A16" s="1051"/>
      <c r="B16" s="1045" t="s">
        <v>1256</v>
      </c>
      <c r="C16" s="1469" t="s">
        <v>1255</v>
      </c>
      <c r="D16" s="2785" t="s">
        <v>1568</v>
      </c>
      <c r="E16" s="2785"/>
      <c r="F16" s="2785"/>
    </row>
    <row r="17" spans="1:6" ht="20.45" customHeight="1" x14ac:dyDescent="0.2">
      <c r="A17" s="1052"/>
      <c r="B17" s="1053" t="s">
        <v>2139</v>
      </c>
      <c r="C17" s="1054"/>
      <c r="D17" s="2783"/>
      <c r="E17" s="2783"/>
      <c r="F17" s="2783"/>
    </row>
    <row r="18" spans="1:6" ht="20.65" customHeight="1" x14ac:dyDescent="0.2">
      <c r="A18" s="1052"/>
      <c r="B18" s="1053"/>
      <c r="C18" s="1054"/>
      <c r="D18" s="2783"/>
      <c r="E18" s="2783"/>
      <c r="F18" s="2783"/>
    </row>
    <row r="19" spans="1:6" ht="20.65" customHeight="1" x14ac:dyDescent="0.2">
      <c r="A19" s="1052"/>
      <c r="B19" s="1053"/>
      <c r="C19" s="1054"/>
      <c r="D19" s="2783"/>
      <c r="E19" s="2783"/>
      <c r="F19" s="2783"/>
    </row>
    <row r="20" spans="1:6" ht="20.65" customHeight="1" x14ac:dyDescent="0.2">
      <c r="A20" s="1052"/>
      <c r="B20" s="1053"/>
      <c r="C20" s="1054"/>
      <c r="D20" s="2783"/>
      <c r="E20" s="2783"/>
      <c r="F20" s="2783"/>
    </row>
    <row r="21" spans="1:6" ht="20.65" customHeight="1" x14ac:dyDescent="0.2">
      <c r="A21" s="1052"/>
      <c r="B21" s="1053"/>
      <c r="C21" s="1054"/>
      <c r="D21" s="2783"/>
      <c r="E21" s="2783"/>
      <c r="F21" s="2783"/>
    </row>
    <row r="22" spans="1:6" ht="20.65" customHeight="1" x14ac:dyDescent="0.2">
      <c r="A22" s="1052"/>
      <c r="B22" s="1053"/>
      <c r="C22" s="1054"/>
      <c r="D22" s="2783"/>
      <c r="E22" s="2783"/>
      <c r="F22" s="2783"/>
    </row>
    <row r="23" spans="1:6" ht="20.65" customHeight="1" x14ac:dyDescent="0.2">
      <c r="A23" s="1052"/>
      <c r="B23" s="1053"/>
      <c r="C23" s="1054"/>
      <c r="D23" s="2783"/>
      <c r="E23" s="2783"/>
      <c r="F23" s="2783"/>
    </row>
    <row r="24" spans="1:6" ht="20.65" customHeight="1" x14ac:dyDescent="0.2">
      <c r="A24" s="1052"/>
      <c r="B24" s="1053"/>
      <c r="C24" s="1054"/>
      <c r="D24" s="2783"/>
      <c r="E24" s="2783"/>
      <c r="F24" s="2783"/>
    </row>
    <row r="25" spans="1:6" ht="20.65" customHeight="1" x14ac:dyDescent="0.2">
      <c r="A25" s="1052"/>
      <c r="B25" s="1053"/>
      <c r="C25" s="1054"/>
      <c r="D25" s="2783"/>
      <c r="E25" s="2783"/>
      <c r="F25" s="2783"/>
    </row>
    <row r="26" spans="1:6" ht="20.65" customHeight="1" x14ac:dyDescent="0.2">
      <c r="A26" s="1052"/>
      <c r="B26" s="1053"/>
      <c r="C26" s="1054"/>
      <c r="D26" s="2783"/>
      <c r="E26" s="2783"/>
      <c r="F26" s="2783"/>
    </row>
    <row r="27" spans="1:6" ht="20.65" customHeight="1" x14ac:dyDescent="0.2">
      <c r="A27" s="1052"/>
      <c r="B27" s="1053"/>
      <c r="C27" s="1054"/>
      <c r="D27" s="2783"/>
      <c r="E27" s="2783"/>
      <c r="F27" s="2783"/>
    </row>
    <row r="28" spans="1:6" ht="20.65" customHeight="1" x14ac:dyDescent="0.2">
      <c r="A28" s="1052"/>
      <c r="B28" s="1053"/>
      <c r="C28" s="1054"/>
      <c r="D28" s="2783"/>
      <c r="E28" s="2783"/>
      <c r="F28" s="2783"/>
    </row>
    <row r="29" spans="1:6" ht="20.65" customHeight="1" x14ac:dyDescent="0.2">
      <c r="A29" s="1052"/>
      <c r="B29" s="1053"/>
      <c r="C29" s="1054"/>
      <c r="D29" s="2783"/>
      <c r="E29" s="2783"/>
      <c r="F29" s="2783"/>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787" t="s">
        <v>2140</v>
      </c>
      <c r="B32" s="2787"/>
      <c r="C32" s="2787"/>
      <c r="D32" s="2787"/>
      <c r="E32" s="2787"/>
      <c r="F32" s="2787"/>
    </row>
    <row r="33" spans="1:6" ht="13.5" customHeight="1" x14ac:dyDescent="0.2">
      <c r="A33" s="306" t="s">
        <v>1414</v>
      </c>
      <c r="B33" s="306"/>
      <c r="C33" s="1057">
        <v>52244</v>
      </c>
      <c r="D33" s="1519"/>
      <c r="E33" s="1055"/>
    </row>
    <row r="34" spans="1:6" ht="13.5" customHeight="1" x14ac:dyDescent="0.2">
      <c r="A34" s="306" t="s">
        <v>1805</v>
      </c>
      <c r="B34" s="306"/>
      <c r="C34" s="1058">
        <v>0</v>
      </c>
      <c r="D34" s="1519" t="s">
        <v>1569</v>
      </c>
      <c r="E34" s="2788">
        <f>+C33+C34</f>
        <v>52244</v>
      </c>
      <c r="F34" s="2789"/>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t="s">
        <v>380</v>
      </c>
      <c r="D38" s="1519"/>
      <c r="E38" s="1055"/>
    </row>
    <row r="39" spans="1:6" ht="14.25" customHeight="1" x14ac:dyDescent="0.2">
      <c r="A39" s="306"/>
      <c r="B39" s="306" t="s">
        <v>1416</v>
      </c>
      <c r="C39" s="1061" t="s">
        <v>380</v>
      </c>
      <c r="D39" s="1519"/>
      <c r="E39" s="1055"/>
    </row>
    <row r="40" spans="1:6" ht="14.25" customHeight="1" x14ac:dyDescent="0.2">
      <c r="A40" s="306"/>
      <c r="B40" s="306" t="s">
        <v>1417</v>
      </c>
      <c r="C40" s="1061" t="s">
        <v>380</v>
      </c>
      <c r="D40" s="1519"/>
      <c r="E40" s="1055"/>
    </row>
    <row r="41" spans="1:6" ht="14.25" customHeight="1" x14ac:dyDescent="0.2">
      <c r="A41" s="306"/>
      <c r="B41" s="306" t="s">
        <v>1418</v>
      </c>
      <c r="C41" s="1061" t="s">
        <v>380</v>
      </c>
      <c r="D41" s="1519"/>
      <c r="E41" s="1055"/>
    </row>
    <row r="42" spans="1:6" ht="14.25" customHeight="1" x14ac:dyDescent="0.2">
      <c r="A42" s="306" t="s">
        <v>1419</v>
      </c>
      <c r="B42" s="306"/>
      <c r="C42" s="1517" t="s">
        <v>380</v>
      </c>
      <c r="D42" s="1519"/>
      <c r="E42" s="1055"/>
    </row>
    <row r="43" spans="1:6" ht="14.25" customHeight="1" x14ac:dyDescent="0.2">
      <c r="A43" s="306" t="s">
        <v>1420</v>
      </c>
      <c r="B43" s="306"/>
      <c r="C43" s="1062" t="s">
        <v>380</v>
      </c>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1704</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790" t="s">
        <v>1570</v>
      </c>
      <c r="C49" s="2790"/>
      <c r="D49" s="2790"/>
      <c r="E49" s="1161"/>
    </row>
    <row r="50" spans="1:5" s="1069" customFormat="1" ht="3.75" customHeight="1" x14ac:dyDescent="0.2">
      <c r="A50" s="1068"/>
      <c r="B50" s="1468"/>
      <c r="C50" s="1468"/>
      <c r="D50" s="1468"/>
      <c r="E50" s="1161"/>
    </row>
    <row r="51" spans="1:5" s="1069" customFormat="1" ht="20.25" customHeight="1" x14ac:dyDescent="0.2">
      <c r="A51" s="1070">
        <v>6</v>
      </c>
      <c r="B51" s="2786" t="s">
        <v>1531</v>
      </c>
      <c r="C51" s="2786"/>
      <c r="D51" s="2786"/>
    </row>
    <row r="52" spans="1:5" ht="14.25" customHeight="1" x14ac:dyDescent="0.2">
      <c r="A52" s="1070"/>
      <c r="B52" s="2786"/>
      <c r="C52" s="2786"/>
      <c r="D52" s="278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J63"/>
  <sheetViews>
    <sheetView showGridLines="0" zoomScale="110" zoomScaleNormal="110" workbookViewId="0">
      <selection activeCell="D30" sqref="D30"/>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95" t="str">
        <f>'Single Audit Cover'!A7</f>
        <v xml:space="preserve"> McHenry CHSD 156</v>
      </c>
      <c r="C1" s="2796"/>
      <c r="D1" s="2796"/>
      <c r="E1" s="2796"/>
      <c r="F1" s="2796"/>
      <c r="G1" s="2796"/>
      <c r="H1" s="2796"/>
      <c r="I1" s="2796"/>
      <c r="J1" s="1171"/>
    </row>
    <row r="2" spans="2:10" s="295" customFormat="1" ht="12.75" customHeight="1" x14ac:dyDescent="0.2">
      <c r="B2" s="2797">
        <f>'Single Audit Cover'!E7</f>
        <v>44063156016</v>
      </c>
      <c r="C2" s="2798"/>
      <c r="D2" s="2798"/>
      <c r="E2" s="2798"/>
      <c r="F2" s="2798"/>
      <c r="G2" s="2798"/>
      <c r="H2" s="2798"/>
      <c r="I2" s="2798"/>
      <c r="J2" s="1171"/>
    </row>
    <row r="3" spans="2:10" s="295" customFormat="1" ht="12.75" customHeight="1" x14ac:dyDescent="0.2">
      <c r="B3" s="2799" t="s">
        <v>1273</v>
      </c>
      <c r="C3" s="2800"/>
      <c r="D3" s="2800"/>
      <c r="E3" s="2800"/>
      <c r="F3" s="2800"/>
      <c r="G3" s="2800"/>
      <c r="H3" s="2800"/>
      <c r="I3" s="2800"/>
      <c r="J3" s="1172"/>
    </row>
    <row r="4" spans="2:10" s="295" customFormat="1" ht="12.75" customHeight="1" x14ac:dyDescent="0.2">
      <c r="B4" s="2799" t="str">
        <f>'Single Audit Cover'!A4</f>
        <v>Year Ending June 30, 2020</v>
      </c>
      <c r="C4" s="2800"/>
      <c r="D4" s="2800"/>
      <c r="E4" s="2800"/>
      <c r="F4" s="2800"/>
      <c r="G4" s="2800"/>
      <c r="H4" s="2800"/>
      <c r="I4" s="2800"/>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799" t="s">
        <v>1272</v>
      </c>
      <c r="C7" s="2800"/>
      <c r="D7" s="2800"/>
      <c r="E7" s="2800"/>
      <c r="F7" s="2800"/>
      <c r="G7" s="2800"/>
      <c r="H7" s="2800"/>
      <c r="I7" s="2800"/>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801" t="s">
        <v>2141</v>
      </c>
      <c r="D11" s="2801"/>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t="s">
        <v>2116</v>
      </c>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t="s">
        <v>2116</v>
      </c>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t="s">
        <v>2116</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t="s">
        <v>2116</v>
      </c>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t="s">
        <v>2116</v>
      </c>
      <c r="H27" s="1069" t="s">
        <v>1264</v>
      </c>
      <c r="I27" s="1069"/>
    </row>
    <row r="28" spans="2:9" s="295" customFormat="1" ht="12.75" customHeight="1" x14ac:dyDescent="0.2">
      <c r="B28" s="1131"/>
      <c r="C28" s="1051"/>
      <c r="E28" s="1027"/>
    </row>
    <row r="29" spans="2:9" s="295" customFormat="1" ht="12.75" customHeight="1" x14ac:dyDescent="0.2">
      <c r="B29" s="1131" t="s">
        <v>1263</v>
      </c>
      <c r="C29" s="1051"/>
      <c r="D29" s="2802" t="s">
        <v>2152</v>
      </c>
      <c r="E29" s="2802"/>
      <c r="F29" s="2802"/>
      <c r="G29" s="2802"/>
      <c r="H29" s="2802"/>
      <c r="I29" s="2802"/>
    </row>
    <row r="30" spans="2:9" s="295" customFormat="1" x14ac:dyDescent="0.2">
      <c r="B30" s="1131"/>
      <c r="C30" s="300"/>
      <c r="D30" s="1182" t="s">
        <v>1719</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t="s">
        <v>2116</v>
      </c>
      <c r="H33" s="1069" t="s">
        <v>99</v>
      </c>
    </row>
    <row r="35" spans="2:9" x14ac:dyDescent="0.2">
      <c r="B35" s="1190" t="s">
        <v>1720</v>
      </c>
      <c r="C35" s="1191"/>
      <c r="D35" s="1036"/>
    </row>
    <row r="36" spans="2:9" ht="6" customHeight="1" x14ac:dyDescent="0.2">
      <c r="B36" s="1190"/>
      <c r="C36" s="1191"/>
      <c r="D36" s="1036"/>
    </row>
    <row r="37" spans="2:9" ht="17.25" customHeight="1" x14ac:dyDescent="0.2">
      <c r="B37" s="1192" t="s">
        <v>1721</v>
      </c>
      <c r="C37" s="2803" t="s">
        <v>1722</v>
      </c>
      <c r="D37" s="2804"/>
      <c r="E37" s="2804"/>
      <c r="F37" s="2805"/>
      <c r="G37" s="2803" t="s">
        <v>1572</v>
      </c>
      <c r="H37" s="2804"/>
      <c r="I37" s="2805"/>
    </row>
    <row r="38" spans="2:9" ht="16.5" customHeight="1" x14ac:dyDescent="0.2">
      <c r="B38" s="1193">
        <v>84.027000000000001</v>
      </c>
      <c r="C38" s="2791" t="s">
        <v>2142</v>
      </c>
      <c r="D38" s="2792"/>
      <c r="E38" s="2792"/>
      <c r="F38" s="2793"/>
      <c r="G38" s="2806">
        <v>772934</v>
      </c>
      <c r="H38" s="2807"/>
      <c r="I38" s="2808"/>
    </row>
    <row r="39" spans="2:9" ht="16.5" customHeight="1" x14ac:dyDescent="0.2">
      <c r="B39" s="1193"/>
      <c r="C39" s="2791"/>
      <c r="D39" s="2792"/>
      <c r="E39" s="2792"/>
      <c r="F39" s="2793"/>
      <c r="G39" s="2794"/>
      <c r="H39" s="2794"/>
      <c r="I39" s="2794"/>
    </row>
    <row r="40" spans="2:9" ht="16.5" customHeight="1" x14ac:dyDescent="0.2">
      <c r="B40" s="1193"/>
      <c r="C40" s="2791"/>
      <c r="D40" s="2792"/>
      <c r="E40" s="2792"/>
      <c r="F40" s="2793"/>
      <c r="G40" s="2794"/>
      <c r="H40" s="2794"/>
      <c r="I40" s="2794"/>
    </row>
    <row r="41" spans="2:9" ht="16.5" customHeight="1" x14ac:dyDescent="0.2">
      <c r="B41" s="1193"/>
      <c r="C41" s="2791"/>
      <c r="D41" s="2792"/>
      <c r="E41" s="2792"/>
      <c r="F41" s="2793"/>
      <c r="G41" s="2794"/>
      <c r="H41" s="2794"/>
      <c r="I41" s="2794"/>
    </row>
    <row r="42" spans="2:9" ht="16.5" customHeight="1" x14ac:dyDescent="0.2">
      <c r="B42" s="1193"/>
      <c r="C42" s="2791"/>
      <c r="D42" s="2792"/>
      <c r="E42" s="2792"/>
      <c r="F42" s="2793"/>
      <c r="G42" s="2794"/>
      <c r="H42" s="2794"/>
      <c r="I42" s="2794"/>
    </row>
    <row r="43" spans="2:9" ht="16.5" customHeight="1" x14ac:dyDescent="0.2">
      <c r="B43" s="1193"/>
      <c r="C43" s="2809" t="s">
        <v>1573</v>
      </c>
      <c r="D43" s="2810"/>
      <c r="E43" s="2810"/>
      <c r="F43" s="2811"/>
      <c r="G43" s="2812">
        <f>SUM(G38:I42)</f>
        <v>772934</v>
      </c>
      <c r="H43" s="2812"/>
      <c r="I43" s="2812"/>
    </row>
    <row r="44" spans="2:9" ht="12.75" customHeight="1" x14ac:dyDescent="0.2"/>
    <row r="45" spans="2:9" ht="12.75" customHeight="1" x14ac:dyDescent="0.2">
      <c r="B45" s="1903" t="str">
        <f>"Total Federal Expenditures for 7/1/"&amp;MID('AFR20'!E2,3,2)-1&amp;"-6/30/"&amp;MID('AFR20'!E2,3,2)</f>
        <v>Total Federal Expenditures for 7/1/19-6/30/20</v>
      </c>
      <c r="C45" s="1904"/>
      <c r="D45" s="2813">
        <v>1551688</v>
      </c>
      <c r="E45" s="2814"/>
    </row>
    <row r="46" spans="2:9" ht="5.25" customHeight="1" x14ac:dyDescent="0.2">
      <c r="B46" s="1194"/>
      <c r="D46" s="1195"/>
      <c r="E46" s="1196"/>
    </row>
    <row r="47" spans="2:9" ht="12.75" customHeight="1" x14ac:dyDescent="0.2">
      <c r="B47" s="1069" t="s">
        <v>1574</v>
      </c>
      <c r="C47" s="1069"/>
      <c r="D47" s="1197">
        <f>+G43/D45</f>
        <v>0.4981246229912199</v>
      </c>
      <c r="E47" s="1198"/>
      <c r="F47" s="1199"/>
      <c r="I47" s="1200"/>
    </row>
    <row r="48" spans="2:9" ht="9.9499999999999993" customHeight="1" x14ac:dyDescent="0.2"/>
    <row r="49" spans="1:9" x14ac:dyDescent="0.2">
      <c r="B49" s="1131" t="s">
        <v>1261</v>
      </c>
      <c r="C49" s="1051"/>
      <c r="D49" s="1051"/>
      <c r="E49" s="2815">
        <v>750000</v>
      </c>
      <c r="F49" s="2815"/>
      <c r="G49" s="2815"/>
      <c r="H49" s="300"/>
    </row>
    <row r="51" spans="1:9" ht="13.5" customHeight="1" x14ac:dyDescent="0.2">
      <c r="B51" s="1131" t="s">
        <v>1260</v>
      </c>
      <c r="C51" s="1051"/>
      <c r="E51" s="1187"/>
      <c r="F51" s="1069" t="s">
        <v>878</v>
      </c>
      <c r="G51" s="1187" t="s">
        <v>2116</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1723</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1724</v>
      </c>
      <c r="C58" s="1213"/>
      <c r="D58" s="1213"/>
    </row>
    <row r="59" spans="1:9" s="1210" customFormat="1" ht="3.95" customHeight="1" x14ac:dyDescent="0.2">
      <c r="A59" s="1207"/>
      <c r="B59" s="1212"/>
      <c r="C59" s="1213"/>
      <c r="D59" s="1213"/>
    </row>
    <row r="60" spans="1:9" s="1210" customFormat="1" ht="13.5" customHeight="1" x14ac:dyDescent="0.2">
      <c r="A60" s="1207"/>
      <c r="B60" s="1212" t="s">
        <v>1725</v>
      </c>
      <c r="C60" s="1213"/>
      <c r="D60" s="1213"/>
    </row>
    <row r="61" spans="1:9" s="1210" customFormat="1" ht="3.95" customHeight="1" x14ac:dyDescent="0.2">
      <c r="A61" s="1207"/>
      <c r="B61" s="1212"/>
      <c r="C61" s="1213"/>
      <c r="D61" s="1213"/>
    </row>
    <row r="62" spans="1:9" s="1210" customFormat="1" ht="12.75" customHeight="1" x14ac:dyDescent="0.2">
      <c r="A62" s="1207"/>
      <c r="B62" s="1212" t="s">
        <v>1726</v>
      </c>
      <c r="C62" s="1213"/>
      <c r="D62" s="1213"/>
    </row>
    <row r="63" spans="1:9" s="1210" customFormat="1" ht="13.5" customHeight="1" x14ac:dyDescent="0.2">
      <c r="A63" s="1207"/>
      <c r="B63" s="1211" t="s">
        <v>1577</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M41"/>
  <sheetViews>
    <sheetView showGridLines="0" zoomScale="110" zoomScaleNormal="110" workbookViewId="0">
      <selection activeCell="C10" sqref="C10: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95" t="str">
        <f>'Single Audit Cover'!A7</f>
        <v xml:space="preserve"> McHenry CHSD 156</v>
      </c>
      <c r="C1" s="2795"/>
      <c r="D1" s="2795"/>
      <c r="E1" s="2795"/>
      <c r="F1" s="2795"/>
      <c r="G1" s="2795"/>
      <c r="H1" s="2795"/>
      <c r="I1" s="2795"/>
      <c r="J1" s="2795"/>
      <c r="K1" s="2795"/>
      <c r="L1" s="1137"/>
      <c r="M1" s="1137"/>
    </row>
    <row r="2" spans="1:13" ht="12" customHeight="1" x14ac:dyDescent="0.2">
      <c r="B2" s="2797">
        <f>'Single Audit Cover'!E7</f>
        <v>44063156016</v>
      </c>
      <c r="C2" s="2797"/>
      <c r="D2" s="2797"/>
      <c r="E2" s="2797"/>
      <c r="F2" s="2797"/>
      <c r="G2" s="2797"/>
      <c r="H2" s="2797"/>
      <c r="I2" s="2797"/>
      <c r="J2" s="2797"/>
      <c r="K2" s="2797"/>
      <c r="L2" s="1138"/>
      <c r="M2" s="1139"/>
    </row>
    <row r="3" spans="1:13" ht="10.35" customHeight="1" x14ac:dyDescent="0.2">
      <c r="B3" s="2818" t="s">
        <v>1273</v>
      </c>
      <c r="C3" s="2818"/>
      <c r="D3" s="2818"/>
      <c r="E3" s="2818"/>
      <c r="F3" s="2818"/>
      <c r="G3" s="2818"/>
      <c r="H3" s="2818"/>
      <c r="I3" s="2818"/>
      <c r="J3" s="2818"/>
      <c r="K3" s="2818"/>
      <c r="L3" s="1140"/>
      <c r="M3" s="1140"/>
    </row>
    <row r="4" spans="1:13" ht="14.25" customHeight="1" x14ac:dyDescent="0.2">
      <c r="B4" s="2819" t="str">
        <f>'Single Audit Cover'!A4</f>
        <v>Year Ending June 30, 2020</v>
      </c>
      <c r="C4" s="2819"/>
      <c r="D4" s="2819"/>
      <c r="E4" s="2819"/>
      <c r="F4" s="2819"/>
      <c r="G4" s="2819"/>
      <c r="H4" s="2819"/>
      <c r="I4" s="2819"/>
      <c r="J4" s="2819"/>
      <c r="K4" s="2819"/>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819" t="s">
        <v>1284</v>
      </c>
      <c r="C7" s="2819"/>
      <c r="D7" s="2820"/>
      <c r="E7" s="2820"/>
      <c r="F7" s="2820"/>
      <c r="G7" s="2820"/>
      <c r="H7" s="2820"/>
      <c r="I7" s="2820"/>
      <c r="J7" s="2820"/>
      <c r="K7" s="2820"/>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1713</v>
      </c>
      <c r="C10" s="1905" t="str">
        <f>'AFR20'!$E$2&amp;"-"</f>
        <v>2020-</v>
      </c>
      <c r="D10" s="1148" t="s">
        <v>2139</v>
      </c>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817"/>
      <c r="C14" s="2817"/>
      <c r="D14" s="2817"/>
      <c r="E14" s="2817"/>
      <c r="F14" s="2817"/>
      <c r="G14" s="2817"/>
      <c r="H14" s="2817"/>
      <c r="I14" s="2817"/>
      <c r="J14" s="2817"/>
      <c r="K14" s="2817"/>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817"/>
      <c r="C17" s="2817"/>
      <c r="D17" s="2817"/>
      <c r="E17" s="2817"/>
      <c r="F17" s="2817"/>
      <c r="G17" s="2817"/>
      <c r="H17" s="2817"/>
      <c r="I17" s="2817"/>
      <c r="J17" s="2817"/>
      <c r="K17" s="2817"/>
      <c r="L17" s="1144"/>
    </row>
    <row r="18" spans="2:12" ht="4.5" customHeight="1" x14ac:dyDescent="0.2">
      <c r="B18" s="1160"/>
      <c r="C18" s="1160"/>
      <c r="L18" s="1144"/>
    </row>
    <row r="19" spans="2:12" s="1051" customFormat="1" ht="13.5" customHeight="1" x14ac:dyDescent="0.2">
      <c r="B19" s="1155" t="s">
        <v>1714</v>
      </c>
      <c r="C19" s="1155"/>
      <c r="D19" s="1156"/>
      <c r="E19" s="1156"/>
      <c r="F19" s="1156"/>
      <c r="G19" s="1157"/>
      <c r="H19" s="1156"/>
      <c r="I19" s="1157"/>
      <c r="J19" s="1156"/>
      <c r="K19" s="1156"/>
      <c r="L19" s="1158"/>
    </row>
    <row r="20" spans="2:12" ht="45.75" customHeight="1" x14ac:dyDescent="0.2">
      <c r="B20" s="2821"/>
      <c r="C20" s="2821"/>
      <c r="D20" s="2817"/>
      <c r="E20" s="2817"/>
      <c r="F20" s="2817"/>
      <c r="G20" s="2817"/>
      <c r="H20" s="2817"/>
      <c r="I20" s="2817"/>
      <c r="J20" s="2817"/>
      <c r="K20" s="2817"/>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817"/>
      <c r="C23" s="2817"/>
      <c r="D23" s="2817"/>
      <c r="E23" s="2817"/>
      <c r="F23" s="2817"/>
      <c r="G23" s="2817"/>
      <c r="H23" s="2817"/>
      <c r="I23" s="2817"/>
      <c r="J23" s="2817"/>
      <c r="K23" s="2817"/>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817"/>
      <c r="C26" s="2817"/>
      <c r="D26" s="2817"/>
      <c r="E26" s="2817"/>
      <c r="F26" s="2817"/>
      <c r="G26" s="2817"/>
      <c r="H26" s="2817"/>
      <c r="I26" s="2817"/>
      <c r="J26" s="2817"/>
      <c r="K26" s="2817"/>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816"/>
      <c r="C29" s="2816"/>
      <c r="D29" s="2817"/>
      <c r="E29" s="2817"/>
      <c r="F29" s="2817"/>
      <c r="G29" s="2817"/>
      <c r="H29" s="2817"/>
      <c r="I29" s="2817"/>
      <c r="J29" s="2817"/>
      <c r="K29" s="2817"/>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1715</v>
      </c>
      <c r="C31" s="1165"/>
      <c r="D31" s="1141"/>
      <c r="E31" s="1142"/>
      <c r="F31" s="1142"/>
      <c r="G31" s="1143"/>
      <c r="H31" s="1142"/>
      <c r="I31" s="1143"/>
      <c r="J31" s="1142"/>
      <c r="K31" s="1142"/>
      <c r="L31" s="1144"/>
    </row>
    <row r="32" spans="2:12" s="300" customFormat="1" ht="44.25" customHeight="1" x14ac:dyDescent="0.2">
      <c r="B32" s="2816"/>
      <c r="C32" s="2816"/>
      <c r="D32" s="2817"/>
      <c r="E32" s="2817"/>
      <c r="F32" s="2817"/>
      <c r="G32" s="2817"/>
      <c r="H32" s="2817"/>
      <c r="I32" s="2817"/>
      <c r="J32" s="2817"/>
      <c r="K32" s="2817"/>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1716</v>
      </c>
      <c r="C35" s="1168"/>
      <c r="D35" s="300"/>
      <c r="E35" s="300"/>
      <c r="F35" s="300"/>
      <c r="L35" s="1144"/>
    </row>
    <row r="36" spans="1:13" ht="9.6" customHeight="1" x14ac:dyDescent="0.2">
      <c r="B36" s="1069" t="s">
        <v>1807</v>
      </c>
      <c r="C36" s="1069"/>
      <c r="L36" s="1144"/>
    </row>
    <row r="37" spans="1:13" ht="9.6" customHeight="1" x14ac:dyDescent="0.2">
      <c r="B37" s="1069" t="s">
        <v>1808</v>
      </c>
      <c r="C37" s="1069"/>
    </row>
    <row r="38" spans="1:13" ht="11.85" customHeight="1" x14ac:dyDescent="0.2">
      <c r="B38" s="1169" t="s">
        <v>1717</v>
      </c>
      <c r="C38" s="1169"/>
    </row>
    <row r="39" spans="1:13" ht="9.6" customHeight="1" x14ac:dyDescent="0.2">
      <c r="B39" s="1069" t="s">
        <v>1274</v>
      </c>
      <c r="C39" s="1069"/>
      <c r="M39" s="1170"/>
    </row>
    <row r="40" spans="1:13" ht="12.6" customHeight="1" x14ac:dyDescent="0.2">
      <c r="B40" s="1169" t="s">
        <v>1718</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sheetPr>
  <dimension ref="A1:L48"/>
  <sheetViews>
    <sheetView showGridLines="0" topLeftCell="A22" zoomScale="110" zoomScaleNormal="110" workbookViewId="0">
      <selection activeCell="B1" sqref="B1:K4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822" t="str">
        <f>'Single Audit Cover'!A7</f>
        <v xml:space="preserve"> McHenry CHSD 156</v>
      </c>
      <c r="C1" s="2822"/>
      <c r="D1" s="2822"/>
      <c r="E1" s="2822"/>
      <c r="F1" s="2822"/>
      <c r="G1" s="2822"/>
      <c r="H1" s="2822"/>
      <c r="I1" s="2822"/>
      <c r="J1" s="2822"/>
      <c r="K1" s="2822"/>
      <c r="L1" s="1214"/>
    </row>
    <row r="2" spans="1:12" ht="12.75" customHeight="1" x14ac:dyDescent="0.2">
      <c r="B2" s="2823">
        <f>'Single Audit Cover'!E7</f>
        <v>44063156016</v>
      </c>
      <c r="C2" s="2823"/>
      <c r="D2" s="2823"/>
      <c r="E2" s="2823"/>
      <c r="F2" s="2823"/>
      <c r="G2" s="2823"/>
      <c r="H2" s="2823"/>
      <c r="I2" s="2823"/>
      <c r="J2" s="2823"/>
      <c r="K2" s="2823"/>
      <c r="L2" s="1215"/>
    </row>
    <row r="3" spans="1:12" ht="12.75" customHeight="1" x14ac:dyDescent="0.2">
      <c r="B3" s="2818" t="s">
        <v>1273</v>
      </c>
      <c r="C3" s="2818"/>
      <c r="D3" s="2818"/>
      <c r="E3" s="2818"/>
      <c r="F3" s="2818"/>
      <c r="G3" s="2818"/>
      <c r="H3" s="2818"/>
      <c r="I3" s="2818"/>
      <c r="J3" s="2818"/>
      <c r="K3" s="2818"/>
      <c r="L3" s="1140"/>
    </row>
    <row r="4" spans="1:12" ht="12.75" customHeight="1" x14ac:dyDescent="0.2">
      <c r="B4" s="2818" t="str">
        <f>'Single Audit Cover'!A4</f>
        <v>Year Ending June 30, 2020</v>
      </c>
      <c r="C4" s="2818"/>
      <c r="D4" s="2818"/>
      <c r="E4" s="2818"/>
      <c r="F4" s="2818"/>
      <c r="G4" s="2818"/>
      <c r="H4" s="2818"/>
      <c r="I4" s="2818"/>
      <c r="J4" s="2818"/>
      <c r="K4" s="2818"/>
      <c r="L4" s="1140"/>
    </row>
    <row r="5" spans="1:12" ht="5.25" customHeight="1" x14ac:dyDescent="0.2">
      <c r="B5" s="1029" t="s">
        <v>1158</v>
      </c>
      <c r="C5" s="1029"/>
      <c r="L5" s="300"/>
    </row>
    <row r="6" spans="1:12" ht="30.75" customHeight="1" x14ac:dyDescent="0.2">
      <c r="A6" s="300"/>
      <c r="B6" s="2824" t="s">
        <v>1296</v>
      </c>
      <c r="C6" s="2824"/>
      <c r="D6" s="2824"/>
      <c r="E6" s="2824"/>
      <c r="F6" s="2824"/>
      <c r="G6" s="2824"/>
      <c r="H6" s="2824"/>
      <c r="I6" s="2824"/>
      <c r="J6" s="2824"/>
      <c r="K6" s="2824"/>
      <c r="L6" s="300"/>
    </row>
    <row r="7" spans="1:12" ht="4.5" customHeight="1" x14ac:dyDescent="0.2">
      <c r="B7" s="1142"/>
      <c r="C7" s="1142"/>
      <c r="D7" s="1142"/>
      <c r="E7" s="1142"/>
      <c r="F7" s="1142"/>
      <c r="G7" s="1143"/>
      <c r="H7" s="1142"/>
      <c r="I7" s="1143"/>
      <c r="J7" s="1142"/>
      <c r="K7" s="1142"/>
      <c r="L7" s="300"/>
    </row>
    <row r="8" spans="1:12" ht="13.5" customHeight="1" x14ac:dyDescent="0.2">
      <c r="B8" s="1149" t="s">
        <v>1727</v>
      </c>
      <c r="C8" s="1905" t="str">
        <f>'AFR20'!$E$2&amp;"-"</f>
        <v>2020-</v>
      </c>
      <c r="D8" s="1216" t="s">
        <v>2139</v>
      </c>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802"/>
      <c r="G12" s="2802"/>
      <c r="H12" s="2802"/>
      <c r="I12" s="2802"/>
      <c r="J12" s="2802"/>
      <c r="K12" s="2802"/>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825"/>
      <c r="E14" s="2825"/>
      <c r="F14" s="2825"/>
      <c r="H14" s="1223" t="s">
        <v>1291</v>
      </c>
      <c r="I14" s="2826"/>
      <c r="J14" s="2826"/>
      <c r="K14" s="2826"/>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826"/>
      <c r="E16" s="2826"/>
      <c r="F16" s="2826"/>
      <c r="G16" s="2826"/>
      <c r="H16" s="2826"/>
      <c r="I16" s="2826"/>
      <c r="J16" s="2826"/>
      <c r="K16" s="2826"/>
      <c r="L16" s="300"/>
    </row>
    <row r="17" spans="2:12" ht="13.5" customHeight="1" x14ac:dyDescent="0.2">
      <c r="B17" s="1149" t="s">
        <v>1289</v>
      </c>
      <c r="C17" s="1149"/>
      <c r="D17" s="2827"/>
      <c r="E17" s="2827"/>
      <c r="F17" s="2827"/>
      <c r="G17" s="2827"/>
      <c r="H17" s="2827"/>
      <c r="I17" s="2827"/>
      <c r="J17" s="2827"/>
      <c r="K17" s="2827"/>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817"/>
      <c r="C20" s="2817"/>
      <c r="D20" s="2817"/>
      <c r="E20" s="2817"/>
      <c r="F20" s="2817"/>
      <c r="G20" s="2817"/>
      <c r="H20" s="2817"/>
      <c r="I20" s="2817"/>
      <c r="J20" s="2817"/>
      <c r="K20" s="2817"/>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1728</v>
      </c>
      <c r="C22" s="1225"/>
      <c r="D22" s="300"/>
      <c r="E22" s="300"/>
      <c r="F22" s="300"/>
      <c r="G22" s="1146"/>
      <c r="H22" s="300"/>
      <c r="I22" s="1146"/>
      <c r="J22" s="300"/>
      <c r="K22" s="300"/>
      <c r="L22" s="300"/>
    </row>
    <row r="23" spans="2:12" ht="37.5" customHeight="1" x14ac:dyDescent="0.2">
      <c r="B23" s="2817"/>
      <c r="C23" s="2817"/>
      <c r="D23" s="2817"/>
      <c r="E23" s="2817"/>
      <c r="F23" s="2817"/>
      <c r="G23" s="2817"/>
      <c r="H23" s="2817"/>
      <c r="I23" s="2817"/>
      <c r="J23" s="2817"/>
      <c r="K23" s="2817"/>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1729</v>
      </c>
      <c r="C25" s="1225"/>
      <c r="D25" s="300"/>
      <c r="E25" s="300"/>
      <c r="F25" s="300"/>
      <c r="G25" s="1146"/>
      <c r="H25" s="300"/>
      <c r="I25" s="1146"/>
      <c r="J25" s="300"/>
      <c r="K25" s="300"/>
      <c r="L25" s="300"/>
    </row>
    <row r="26" spans="2:12" ht="37.5" customHeight="1" x14ac:dyDescent="0.2">
      <c r="B26" s="2817"/>
      <c r="C26" s="2817"/>
      <c r="D26" s="2817"/>
      <c r="E26" s="2817"/>
      <c r="F26" s="2817"/>
      <c r="G26" s="2817"/>
      <c r="H26" s="2817"/>
      <c r="I26" s="2817"/>
      <c r="J26" s="2817"/>
      <c r="K26" s="2817"/>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1730</v>
      </c>
      <c r="C28" s="1225"/>
      <c r="D28" s="300"/>
      <c r="E28" s="300"/>
      <c r="F28" s="300"/>
      <c r="G28" s="1146"/>
      <c r="H28" s="300"/>
      <c r="I28" s="1146"/>
      <c r="J28" s="300"/>
      <c r="K28" s="300"/>
      <c r="L28" s="300"/>
    </row>
    <row r="29" spans="2:12" ht="37.5" customHeight="1" x14ac:dyDescent="0.2">
      <c r="B29" s="2817"/>
      <c r="C29" s="2817"/>
      <c r="D29" s="2817"/>
      <c r="E29" s="2817"/>
      <c r="F29" s="2817"/>
      <c r="G29" s="2817"/>
      <c r="H29" s="2817"/>
      <c r="I29" s="2817"/>
      <c r="J29" s="2817"/>
      <c r="K29" s="2817"/>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817"/>
      <c r="C32" s="2817"/>
      <c r="D32" s="2817"/>
      <c r="E32" s="2817"/>
      <c r="F32" s="2817"/>
      <c r="G32" s="2817"/>
      <c r="H32" s="2817"/>
      <c r="I32" s="2817"/>
      <c r="J32" s="2817"/>
      <c r="K32" s="2817"/>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817"/>
      <c r="C35" s="2817"/>
      <c r="D35" s="2817"/>
      <c r="E35" s="2817"/>
      <c r="F35" s="2817"/>
      <c r="G35" s="2817"/>
      <c r="H35" s="2817"/>
      <c r="I35" s="2817"/>
      <c r="J35" s="2817"/>
      <c r="K35" s="2817"/>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817"/>
      <c r="C38" s="2817"/>
      <c r="D38" s="2817"/>
      <c r="E38" s="2817"/>
      <c r="F38" s="2817"/>
      <c r="G38" s="2817"/>
      <c r="H38" s="2817"/>
      <c r="I38" s="2817"/>
      <c r="J38" s="2817"/>
      <c r="K38" s="2817"/>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1731</v>
      </c>
      <c r="C40" s="1165"/>
      <c r="D40" s="1141"/>
      <c r="E40" s="1142"/>
      <c r="F40" s="1142"/>
      <c r="G40" s="1143"/>
      <c r="H40" s="1142"/>
      <c r="I40" s="1143"/>
      <c r="J40" s="1142"/>
      <c r="K40" s="1142"/>
    </row>
    <row r="41" spans="2:12" s="300" customFormat="1" ht="33.75" customHeight="1" x14ac:dyDescent="0.2">
      <c r="B41" s="2817"/>
      <c r="C41" s="2817"/>
      <c r="D41" s="2817"/>
      <c r="E41" s="2817"/>
      <c r="F41" s="2817"/>
      <c r="G41" s="2817"/>
      <c r="H41" s="2817"/>
      <c r="I41" s="2817"/>
      <c r="J41" s="2817"/>
      <c r="K41" s="2817"/>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1732</v>
      </c>
      <c r="C44" s="1168"/>
      <c r="D44" s="300"/>
      <c r="E44" s="300"/>
      <c r="F44" s="300"/>
    </row>
    <row r="45" spans="2:12" ht="10.5" customHeight="1" x14ac:dyDescent="0.2">
      <c r="B45" s="1169" t="s">
        <v>1733</v>
      </c>
      <c r="C45" s="1169"/>
      <c r="G45" s="295"/>
      <c r="I45" s="295"/>
    </row>
    <row r="46" spans="2:12" ht="11.1" customHeight="1" x14ac:dyDescent="0.2">
      <c r="B46" s="1169" t="s">
        <v>1734</v>
      </c>
      <c r="C46" s="1169"/>
      <c r="G46" s="295"/>
      <c r="I46" s="295"/>
    </row>
    <row r="47" spans="2:12" ht="11.1" customHeight="1" x14ac:dyDescent="0.2">
      <c r="B47" s="1169" t="s">
        <v>1735</v>
      </c>
      <c r="C47" s="1169"/>
      <c r="G47" s="295"/>
      <c r="I47" s="295"/>
    </row>
    <row r="48" spans="2:12" ht="11.1" customHeight="1" x14ac:dyDescent="0.2">
      <c r="B48" s="1169" t="s">
        <v>1736</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B1:E73"/>
  <sheetViews>
    <sheetView showGridLines="0" zoomScale="110" zoomScaleNormal="110" workbookViewId="0">
      <selection activeCell="B1" sqref="B1:D1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795" t="str">
        <f>'Single Audit Cover'!A7</f>
        <v xml:space="preserve"> McHenry CHSD 156</v>
      </c>
      <c r="C1" s="2795"/>
      <c r="D1" s="2795"/>
      <c r="E1" s="1233"/>
    </row>
    <row r="2" spans="2:5" s="1051" customFormat="1" ht="12.75" customHeight="1" x14ac:dyDescent="0.2">
      <c r="B2" s="2797">
        <f>'Single Audit Cover'!E7</f>
        <v>44063156016</v>
      </c>
      <c r="C2" s="2797"/>
      <c r="D2" s="2797"/>
      <c r="E2" s="1234"/>
    </row>
    <row r="3" spans="2:5" ht="12.75" customHeight="1" x14ac:dyDescent="0.2">
      <c r="B3" s="2818" t="s">
        <v>1737</v>
      </c>
      <c r="C3" s="2818"/>
      <c r="D3" s="2818"/>
      <c r="E3" s="1043"/>
    </row>
    <row r="4" spans="2:5" s="1051" customFormat="1" ht="12.75" customHeight="1" x14ac:dyDescent="0.2">
      <c r="B4" s="2828" t="str">
        <f>'Single Audit Cover'!A4</f>
        <v>Year Ending June 30, 2020</v>
      </c>
      <c r="C4" s="2828"/>
      <c r="D4" s="2828"/>
      <c r="E4" s="1235"/>
    </row>
    <row r="5" spans="2:5" s="1051" customFormat="1" ht="40.15" customHeight="1" x14ac:dyDescent="0.2">
      <c r="B5" s="1236" t="s">
        <v>1738</v>
      </c>
      <c r="C5" s="306"/>
      <c r="D5" s="306"/>
      <c r="E5" s="306"/>
    </row>
    <row r="6" spans="2:5" s="1051" customFormat="1" ht="13.5" customHeight="1" x14ac:dyDescent="0.2">
      <c r="B6" s="1237" t="s">
        <v>1303</v>
      </c>
      <c r="C6" s="1237" t="s">
        <v>1302</v>
      </c>
      <c r="D6" s="1237" t="s">
        <v>1739</v>
      </c>
    </row>
    <row r="7" spans="2:5" ht="13.5" customHeight="1" x14ac:dyDescent="0.2">
      <c r="B7" s="1238" t="s">
        <v>2143</v>
      </c>
      <c r="C7" s="2829" t="s">
        <v>2145</v>
      </c>
      <c r="D7" s="2831" t="s">
        <v>2150</v>
      </c>
      <c r="E7" s="302"/>
    </row>
    <row r="8" spans="2:5" ht="13.5" customHeight="1" x14ac:dyDescent="0.2">
      <c r="B8" s="1238"/>
      <c r="C8" s="2829"/>
      <c r="D8" s="2831"/>
      <c r="E8" s="302"/>
    </row>
    <row r="9" spans="2:5" ht="27" customHeight="1" x14ac:dyDescent="0.2">
      <c r="B9" s="1239"/>
      <c r="C9" s="2829"/>
      <c r="D9" s="2831"/>
      <c r="E9" s="301"/>
    </row>
    <row r="10" spans="2:5" ht="13.5" customHeight="1" x14ac:dyDescent="0.2">
      <c r="B10" s="1238" t="s">
        <v>2144</v>
      </c>
      <c r="C10" s="2830" t="s">
        <v>2146</v>
      </c>
      <c r="D10" s="2830" t="s">
        <v>2149</v>
      </c>
      <c r="E10" s="301"/>
    </row>
    <row r="11" spans="2:5" ht="13.5" customHeight="1" x14ac:dyDescent="0.2">
      <c r="B11" s="1238"/>
      <c r="C11" s="2830"/>
      <c r="D11" s="2830"/>
      <c r="E11" s="301"/>
    </row>
    <row r="12" spans="2:5" ht="13.5" customHeight="1" x14ac:dyDescent="0.2">
      <c r="B12" s="1238"/>
      <c r="C12" s="2830"/>
      <c r="D12" s="2830"/>
      <c r="E12" s="301"/>
    </row>
    <row r="13" spans="2:5" ht="13.5" customHeight="1" x14ac:dyDescent="0.2">
      <c r="B13" s="1238" t="s">
        <v>2147</v>
      </c>
      <c r="C13" s="2830" t="s">
        <v>2148</v>
      </c>
      <c r="D13" s="2832" t="s">
        <v>2151</v>
      </c>
      <c r="E13" s="301"/>
    </row>
    <row r="14" spans="2:5" ht="13.5" customHeight="1" x14ac:dyDescent="0.2">
      <c r="B14" s="1238"/>
      <c r="C14" s="2830"/>
      <c r="D14" s="2832"/>
      <c r="E14" s="301"/>
    </row>
    <row r="15" spans="2:5" ht="13.5" customHeight="1" x14ac:dyDescent="0.2">
      <c r="B15" s="1238"/>
      <c r="C15" s="2830"/>
      <c r="D15" s="2832"/>
      <c r="E15" s="301"/>
    </row>
    <row r="16" spans="2:5" ht="13.5" customHeight="1" x14ac:dyDescent="0.2">
      <c r="B16" s="1238"/>
      <c r="C16" s="2830"/>
      <c r="D16" s="2832"/>
      <c r="E16" s="301"/>
    </row>
    <row r="17" spans="2:5" ht="13.5" customHeight="1" x14ac:dyDescent="0.2">
      <c r="B17" s="1238"/>
      <c r="C17" s="2830"/>
      <c r="D17" s="2832"/>
      <c r="E17" s="301"/>
    </row>
    <row r="18" spans="2:5" ht="13.5" customHeight="1" x14ac:dyDescent="0.2">
      <c r="B18" s="1238"/>
      <c r="C18" s="2830"/>
      <c r="D18" s="2832"/>
      <c r="E18" s="301"/>
    </row>
    <row r="19" spans="2:5" ht="13.5" customHeight="1" x14ac:dyDescent="0.2">
      <c r="B19" s="1238"/>
      <c r="C19" s="301"/>
      <c r="D19" s="2832"/>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1740</v>
      </c>
    </row>
    <row r="46" spans="2:5" ht="12.2" customHeight="1" x14ac:dyDescent="0.2">
      <c r="B46" s="1247" t="s">
        <v>1741</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10">
    <mergeCell ref="C10:C12"/>
    <mergeCell ref="C13:C18"/>
    <mergeCell ref="D7:D9"/>
    <mergeCell ref="D10:D12"/>
    <mergeCell ref="D13:D19"/>
    <mergeCell ref="B1:D1"/>
    <mergeCell ref="B2:D2"/>
    <mergeCell ref="B3:D3"/>
    <mergeCell ref="B4:D4"/>
    <mergeCell ref="C7:C9"/>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FF00"/>
  </sheetPr>
  <dimension ref="A1:N72"/>
  <sheetViews>
    <sheetView showGridLines="0" defaultGridColor="0" colorId="8" zoomScale="110" zoomScaleNormal="110" workbookViewId="0">
      <selection activeCell="D10" sqref="D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93" t="s">
        <v>383</v>
      </c>
      <c r="B1" s="2393"/>
      <c r="C1" s="2393"/>
      <c r="D1" s="2393"/>
      <c r="E1" s="2393"/>
      <c r="F1" s="2393"/>
      <c r="G1" s="2393"/>
      <c r="H1" s="2393"/>
      <c r="I1" s="2393"/>
      <c r="J1" s="2393"/>
      <c r="K1" s="2393"/>
      <c r="L1" s="2393"/>
      <c r="M1" s="239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1169205150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1.6792999999999999E-2</v>
      </c>
      <c r="E10" s="333" t="s">
        <v>997</v>
      </c>
      <c r="F10" s="332">
        <v>2.7269999999999998E-3</v>
      </c>
      <c r="G10" s="333" t="s">
        <v>997</v>
      </c>
      <c r="H10" s="332">
        <v>4.5899999999999999E-4</v>
      </c>
      <c r="I10" s="333" t="s">
        <v>998</v>
      </c>
      <c r="J10" s="1417">
        <f>ROUND(D10+F10+H10,5)</f>
        <v>1.9980000000000001E-2</v>
      </c>
      <c r="K10" s="217"/>
      <c r="L10" s="332">
        <v>1E-4</v>
      </c>
      <c r="M10" s="217"/>
    </row>
    <row r="11" spans="1:14" ht="7.5" customHeight="1" x14ac:dyDescent="0.2">
      <c r="B11" s="217"/>
      <c r="C11" s="217"/>
      <c r="D11" s="2403" t="str">
        <f>IF(SUM(J10)&lt;=0.0999999,"","Enter the Tax Rates by moving the decimal two places to the left.")</f>
        <v/>
      </c>
      <c r="E11" s="2404"/>
      <c r="F11" s="2404"/>
      <c r="G11" s="2404"/>
      <c r="H11" s="2404"/>
      <c r="I11" s="2404"/>
      <c r="J11" s="240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33366234</v>
      </c>
      <c r="E16" s="1540"/>
      <c r="F16" s="1539">
        <f>SUM('Acct Summary 7-8'!C17,'Acct Summary 7-8'!D17,'Acct Summary 7-8'!F17)</f>
        <v>31850142</v>
      </c>
      <c r="G16" s="1540"/>
      <c r="H16" s="1539">
        <f>SUM(D16-F16)</f>
        <v>1516092</v>
      </c>
      <c r="I16" s="1541"/>
      <c r="J16" s="1539">
        <f>SUM('Acct Summary 7-8'!C81,'Acct Summary 7-8'!D81,'Acct Summary 7-8'!F81,'Acct Summary 7-8'!I81)</f>
        <v>23537743</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2116</v>
      </c>
      <c r="C31" s="344" t="s">
        <v>582</v>
      </c>
      <c r="D31" s="232" t="s">
        <v>1062</v>
      </c>
      <c r="E31" s="217"/>
      <c r="F31" s="217"/>
      <c r="G31" s="340"/>
      <c r="H31" s="1418">
        <f>IF(B31="X",(J7*0.069),IF(B32="X",(J7*0.138),"Enter x in a.or b."))</f>
        <v>80675155.350000009</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43225000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94"/>
      <c r="C54" s="2395"/>
      <c r="D54" s="2395"/>
      <c r="E54" s="2395"/>
      <c r="F54" s="2395"/>
      <c r="G54" s="2395"/>
      <c r="H54" s="2395"/>
      <c r="I54" s="2395"/>
      <c r="J54" s="2395"/>
      <c r="K54" s="2395"/>
      <c r="L54" s="2396"/>
      <c r="M54" s="357"/>
    </row>
    <row r="55" spans="1:13" ht="12.75" customHeight="1" x14ac:dyDescent="0.2">
      <c r="B55" s="2397"/>
      <c r="C55" s="2398"/>
      <c r="D55" s="2398"/>
      <c r="E55" s="2398"/>
      <c r="F55" s="2398"/>
      <c r="G55" s="2398"/>
      <c r="H55" s="2398"/>
      <c r="I55" s="2398"/>
      <c r="J55" s="2398"/>
      <c r="K55" s="2398"/>
      <c r="L55" s="2399"/>
      <c r="M55" s="357"/>
    </row>
    <row r="56" spans="1:13" ht="12.75" customHeight="1" x14ac:dyDescent="0.2">
      <c r="B56" s="2397"/>
      <c r="C56" s="2398"/>
      <c r="D56" s="2398"/>
      <c r="E56" s="2398"/>
      <c r="F56" s="2398"/>
      <c r="G56" s="2398"/>
      <c r="H56" s="2398"/>
      <c r="I56" s="2398"/>
      <c r="J56" s="2398"/>
      <c r="K56" s="2398"/>
      <c r="L56" s="2399"/>
      <c r="M56" s="217"/>
    </row>
    <row r="57" spans="1:13" ht="12.75" customHeight="1" x14ac:dyDescent="0.2">
      <c r="B57" s="2397"/>
      <c r="C57" s="2398"/>
      <c r="D57" s="2398"/>
      <c r="E57" s="2398"/>
      <c r="F57" s="2398"/>
      <c r="G57" s="2398"/>
      <c r="H57" s="2398"/>
      <c r="I57" s="2398"/>
      <c r="J57" s="2398"/>
      <c r="K57" s="2398"/>
      <c r="L57" s="2399"/>
      <c r="M57" s="217"/>
    </row>
    <row r="58" spans="1:13" x14ac:dyDescent="0.2">
      <c r="B58" s="2400"/>
      <c r="C58" s="2401"/>
      <c r="D58" s="2401"/>
      <c r="E58" s="2401"/>
      <c r="F58" s="2401"/>
      <c r="G58" s="2401"/>
      <c r="H58" s="2401"/>
      <c r="I58" s="2401"/>
      <c r="J58" s="2401"/>
      <c r="K58" s="2401"/>
      <c r="L58" s="240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405"/>
      <c r="D61" s="240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FF0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408"/>
      <c r="B1" s="2409"/>
      <c r="C1" s="2409"/>
      <c r="D1" s="361"/>
      <c r="E1" s="361"/>
      <c r="F1" s="361"/>
      <c r="G1" s="361"/>
      <c r="H1" s="361"/>
      <c r="I1" s="361"/>
      <c r="J1" s="361"/>
      <c r="K1" s="361"/>
      <c r="L1" s="361"/>
      <c r="M1" s="361"/>
      <c r="N1" s="361"/>
      <c r="O1" s="2408"/>
      <c r="P1" s="2409"/>
      <c r="Q1" s="2409"/>
    </row>
    <row r="2" spans="1:18" ht="15" x14ac:dyDescent="0.2">
      <c r="A2" s="2412" t="s">
        <v>552</v>
      </c>
      <c r="B2" s="2412"/>
      <c r="C2" s="2412"/>
      <c r="D2" s="2412"/>
      <c r="E2" s="2412"/>
      <c r="F2" s="2412"/>
      <c r="G2" s="2412"/>
      <c r="H2" s="2412"/>
      <c r="I2" s="2412"/>
      <c r="J2" s="2412"/>
      <c r="K2" s="2412"/>
      <c r="L2" s="2412"/>
      <c r="M2" s="2412"/>
      <c r="N2" s="2412"/>
      <c r="O2" s="2412"/>
      <c r="P2" s="2412"/>
      <c r="Q2" s="2412"/>
      <c r="R2" s="2412"/>
    </row>
    <row r="3" spans="1:18" ht="12.75" x14ac:dyDescent="0.2">
      <c r="A3" s="2413" t="s">
        <v>1393</v>
      </c>
      <c r="B3" s="2413"/>
      <c r="C3" s="2413"/>
      <c r="D3" s="2413"/>
      <c r="E3" s="2413"/>
      <c r="F3" s="2413"/>
      <c r="G3" s="2413"/>
      <c r="H3" s="2413"/>
      <c r="I3" s="2413"/>
      <c r="J3" s="2413"/>
      <c r="K3" s="2413"/>
      <c r="L3" s="2413"/>
      <c r="M3" s="2413"/>
      <c r="N3" s="2413"/>
      <c r="O3" s="2413"/>
      <c r="P3" s="2413"/>
      <c r="Q3" s="2413"/>
      <c r="R3" s="2413"/>
    </row>
    <row r="4" spans="1:18" x14ac:dyDescent="0.2">
      <c r="A4" s="2414" t="s">
        <v>1534</v>
      </c>
      <c r="B4" s="2414"/>
      <c r="C4" s="2414"/>
      <c r="D4" s="2414"/>
      <c r="E4" s="2414"/>
      <c r="F4" s="2414"/>
      <c r="G4" s="2414"/>
      <c r="H4" s="2414"/>
      <c r="I4" s="2414"/>
      <c r="J4" s="2414"/>
      <c r="K4" s="2414"/>
      <c r="L4" s="2414"/>
      <c r="M4" s="2414"/>
      <c r="N4" s="2414"/>
      <c r="O4" s="2414"/>
      <c r="P4" s="2414"/>
      <c r="Q4" s="2414"/>
      <c r="R4" s="241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McHenry CHSD 156</v>
      </c>
      <c r="E7" s="368"/>
      <c r="G7" s="247"/>
      <c r="H7" s="364"/>
      <c r="I7" s="364"/>
      <c r="J7" s="364"/>
      <c r="K7" s="364"/>
      <c r="L7" s="307"/>
      <c r="M7" s="307"/>
      <c r="N7" s="307"/>
      <c r="O7" s="307"/>
      <c r="P7" s="307"/>
    </row>
    <row r="8" spans="1:18" ht="12.75" x14ac:dyDescent="0.2">
      <c r="A8" s="307"/>
      <c r="B8" s="307"/>
      <c r="C8" s="366" t="s">
        <v>1114</v>
      </c>
      <c r="D8" s="369">
        <f>COVER!A13</f>
        <v>44063156016</v>
      </c>
      <c r="E8" s="370"/>
      <c r="G8" s="307"/>
      <c r="H8" s="307"/>
      <c r="I8" s="307"/>
      <c r="J8" s="307"/>
      <c r="K8" s="307"/>
      <c r="L8" s="307"/>
      <c r="M8" s="307"/>
      <c r="N8" s="307"/>
      <c r="O8" s="307"/>
      <c r="P8" s="307"/>
    </row>
    <row r="9" spans="1:18" ht="12.75" x14ac:dyDescent="0.2">
      <c r="A9" s="307"/>
      <c r="B9" s="307"/>
      <c r="C9" s="366" t="s">
        <v>707</v>
      </c>
      <c r="D9" s="371" t="str">
        <f>COVER!A15</f>
        <v>MCHENRY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23537743</v>
      </c>
      <c r="I12" s="380"/>
      <c r="J12" s="380"/>
      <c r="K12" s="1552">
        <f>TRUNC((H12/H13*100000),5)/100000</f>
        <v>0.70543601049999993</v>
      </c>
      <c r="L12" s="381"/>
      <c r="M12" s="337" t="s">
        <v>1133</v>
      </c>
      <c r="N12" s="337"/>
      <c r="O12" s="1555">
        <v>0.35</v>
      </c>
      <c r="P12" s="213"/>
      <c r="Q12" s="213"/>
    </row>
    <row r="13" spans="1:18" s="382" customFormat="1" ht="12.75" x14ac:dyDescent="0.2">
      <c r="A13" s="213"/>
      <c r="B13" s="377"/>
      <c r="C13" s="2410" t="s">
        <v>1312</v>
      </c>
      <c r="D13" s="2411"/>
      <c r="E13" s="213"/>
      <c r="F13" s="383" t="s">
        <v>787</v>
      </c>
      <c r="G13" s="378"/>
      <c r="H13" s="1544">
        <f>SUM('Acct Summary 7-8'!C8+'Acct Summary 7-8'!D8+'Acct Summary 7-8'!F8+'Acct Summary 7-8'!I8)+H14</f>
        <v>33366234</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31850142</v>
      </c>
      <c r="I17" s="380"/>
      <c r="J17" s="389"/>
      <c r="K17" s="1552">
        <f>TRUNC((H17/H18*100000),5)/100000</f>
        <v>0.95456208809999998</v>
      </c>
      <c r="L17" s="381"/>
      <c r="M17" s="390" t="s">
        <v>1160</v>
      </c>
      <c r="O17" s="1558" t="str">
        <f>IF(AND(O16="2", J20 &gt; 2),"1",IF(AND(O16 = "1", J20 &gt; 2),"2",IF(AND(O16="1", J20 &gt;1),"1","0")))</f>
        <v>0</v>
      </c>
      <c r="P17" s="213"/>
    </row>
    <row r="18" spans="1:18" s="382" customFormat="1" ht="11.25" x14ac:dyDescent="0.2">
      <c r="A18" s="213"/>
      <c r="B18" s="377"/>
      <c r="C18" s="2410" t="s">
        <v>1305</v>
      </c>
      <c r="D18" s="2411"/>
      <c r="E18" s="213"/>
      <c r="F18" s="391" t="s">
        <v>788</v>
      </c>
      <c r="G18" s="378"/>
      <c r="H18" s="1544">
        <f>SUM('Acct Summary 7-8'!C8+'Acct Summary 7-8'!D8+'Acct Summary 7-8'!F8+'Acct Summary 7-8'!I8)+H19</f>
        <v>33366234</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407" t="s">
        <v>1392</v>
      </c>
      <c r="D24" s="2407"/>
      <c r="E24" s="213"/>
      <c r="F24" s="213" t="s">
        <v>442</v>
      </c>
      <c r="G24" s="378"/>
      <c r="H24" s="1544">
        <f>SUM('Assets-Liab 5-6'!C4+'Assets-Liab 5-6'!D4+'Assets-Liab 5-6'!F4+'Assets-Liab 5-6'!I4+'Assets-Liab 5-6'!C5+'Assets-Liab 5-6'!D5+'Assets-Liab 5-6'!F5+'Assets-Liab 5-6'!I5)</f>
        <v>23553507</v>
      </c>
      <c r="I24" s="394"/>
      <c r="J24" s="394"/>
      <c r="K24" s="1548">
        <f>TRUNC(((H24/H25*100000)/100000),2)</f>
        <v>266.22000000000003</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88472.616670000003</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1887</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19856611.062449999</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2</v>
      </c>
      <c r="P31" s="211"/>
    </row>
    <row r="32" spans="1:18" s="382" customFormat="1" ht="11.25" x14ac:dyDescent="0.2">
      <c r="A32" s="213"/>
      <c r="B32" s="377"/>
      <c r="C32" s="213" t="s">
        <v>841</v>
      </c>
      <c r="D32" s="213"/>
      <c r="E32" s="213"/>
      <c r="F32" s="213"/>
      <c r="G32" s="378"/>
      <c r="H32" s="1544">
        <f>'FP Info 3'!H37</f>
        <v>43225000</v>
      </c>
      <c r="I32" s="392"/>
      <c r="J32" s="392"/>
      <c r="K32" s="1548">
        <f>TRUNC(100-((((H32/H33*100))*100)/100),2)</f>
        <v>46.42</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80675155.350000009</v>
      </c>
      <c r="I33" s="392"/>
      <c r="J33" s="392"/>
      <c r="K33" s="379"/>
      <c r="L33" s="213"/>
      <c r="M33" s="401" t="s">
        <v>1134</v>
      </c>
      <c r="N33" s="401"/>
      <c r="O33" s="1561">
        <f>(O31*O32)</f>
        <v>0.2</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3.8</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FF00"/>
  </sheetPr>
  <dimension ref="A1:N44"/>
  <sheetViews>
    <sheetView showGridLines="0" defaultGridColor="0" colorId="8" zoomScale="110" zoomScaleNormal="110" workbookViewId="0">
      <pane ySplit="2" topLeftCell="A18" activePane="bottomLeft" state="frozen"/>
      <selection activeCell="K3" sqref="K3"/>
      <selection pane="bottomLeft" activeCell="C27" sqref="C2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415"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416"/>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417" t="s">
        <v>966</v>
      </c>
      <c r="B3" s="2418"/>
      <c r="C3" s="1299"/>
      <c r="D3" s="1300"/>
      <c r="E3" s="1300"/>
      <c r="F3" s="1300"/>
      <c r="G3" s="1300"/>
      <c r="H3" s="1300"/>
      <c r="I3" s="1300"/>
      <c r="J3" s="1300"/>
      <c r="K3" s="1300"/>
      <c r="L3" s="1300"/>
      <c r="M3" s="1301"/>
      <c r="N3" s="1302"/>
    </row>
    <row r="4" spans="1:14" ht="13.5" customHeight="1" x14ac:dyDescent="0.2">
      <c r="A4" s="427" t="s">
        <v>1629</v>
      </c>
      <c r="B4" s="428"/>
      <c r="C4" s="1912">
        <v>14188520</v>
      </c>
      <c r="D4" s="1907">
        <v>591042</v>
      </c>
      <c r="E4" s="1907">
        <v>1138971</v>
      </c>
      <c r="F4" s="1907">
        <v>399501</v>
      </c>
      <c r="G4" s="1907">
        <v>297401</v>
      </c>
      <c r="H4" s="1907">
        <v>17027420</v>
      </c>
      <c r="I4" s="1907">
        <v>617058</v>
      </c>
      <c r="J4" s="1908">
        <v>1016</v>
      </c>
      <c r="K4" s="1913">
        <v>0</v>
      </c>
      <c r="L4" s="1906">
        <v>221440</v>
      </c>
      <c r="M4" s="1567"/>
      <c r="N4" s="1568"/>
    </row>
    <row r="5" spans="1:14" x14ac:dyDescent="0.2">
      <c r="A5" s="427" t="s">
        <v>984</v>
      </c>
      <c r="B5" s="429">
        <v>120</v>
      </c>
      <c r="C5" s="1912">
        <v>7023373</v>
      </c>
      <c r="D5" s="1907">
        <v>314086</v>
      </c>
      <c r="E5" s="1907">
        <v>593592</v>
      </c>
      <c r="F5" s="1907">
        <v>122384</v>
      </c>
      <c r="G5" s="1907">
        <v>137516</v>
      </c>
      <c r="H5" s="1907">
        <v>8973280</v>
      </c>
      <c r="I5" s="1907">
        <v>297543</v>
      </c>
      <c r="J5" s="1908">
        <v>542</v>
      </c>
      <c r="K5" s="1913"/>
      <c r="L5" s="1570">
        <v>70000</v>
      </c>
      <c r="M5" s="1567"/>
      <c r="N5" s="1568"/>
    </row>
    <row r="6" spans="1:14" ht="13.5" customHeight="1" x14ac:dyDescent="0.2">
      <c r="A6" s="430" t="s">
        <v>414</v>
      </c>
      <c r="B6" s="429">
        <v>130</v>
      </c>
      <c r="C6" s="1912">
        <v>0</v>
      </c>
      <c r="D6" s="1907">
        <v>0</v>
      </c>
      <c r="E6" s="1907">
        <v>0</v>
      </c>
      <c r="F6" s="1907">
        <v>0</v>
      </c>
      <c r="G6" s="1913">
        <v>0</v>
      </c>
      <c r="H6" s="1913">
        <v>0</v>
      </c>
      <c r="I6" s="1907">
        <v>0</v>
      </c>
      <c r="J6" s="1914">
        <v>0</v>
      </c>
      <c r="K6" s="1913">
        <v>0</v>
      </c>
      <c r="L6" s="1572"/>
      <c r="M6" s="1567"/>
      <c r="N6" s="1568"/>
    </row>
    <row r="7" spans="1:14" ht="13.5" customHeight="1" x14ac:dyDescent="0.2">
      <c r="A7" s="430" t="s">
        <v>415</v>
      </c>
      <c r="B7" s="429">
        <v>140</v>
      </c>
      <c r="C7" s="1915">
        <v>0</v>
      </c>
      <c r="D7" s="1908">
        <v>0</v>
      </c>
      <c r="E7" s="1915">
        <v>0</v>
      </c>
      <c r="F7" s="1908">
        <v>0</v>
      </c>
      <c r="G7" s="1908">
        <v>0</v>
      </c>
      <c r="H7" s="1908">
        <v>0</v>
      </c>
      <c r="I7" s="1908">
        <v>0</v>
      </c>
      <c r="J7" s="1908">
        <v>0</v>
      </c>
      <c r="K7" s="1908">
        <v>0</v>
      </c>
      <c r="L7" s="1573"/>
      <c r="M7" s="1567"/>
      <c r="N7" s="1568"/>
    </row>
    <row r="8" spans="1:14" ht="13.5" customHeight="1" x14ac:dyDescent="0.2">
      <c r="A8" s="430" t="s">
        <v>267</v>
      </c>
      <c r="B8" s="429">
        <v>150</v>
      </c>
      <c r="C8" s="1915">
        <v>0</v>
      </c>
      <c r="D8" s="1908">
        <v>0</v>
      </c>
      <c r="E8" s="1915">
        <v>0</v>
      </c>
      <c r="F8" s="1908">
        <v>0</v>
      </c>
      <c r="G8" s="1909">
        <v>0</v>
      </c>
      <c r="H8" s="1908">
        <v>0</v>
      </c>
      <c r="I8" s="1914">
        <v>0</v>
      </c>
      <c r="J8" s="1914">
        <v>0</v>
      </c>
      <c r="K8" s="1910">
        <v>0</v>
      </c>
      <c r="L8" s="1576"/>
      <c r="M8" s="1567"/>
      <c r="N8" s="1568"/>
    </row>
    <row r="9" spans="1:14" ht="13.5" customHeight="1" x14ac:dyDescent="0.2">
      <c r="A9" s="430" t="s">
        <v>268</v>
      </c>
      <c r="B9" s="429">
        <v>160</v>
      </c>
      <c r="C9" s="1915">
        <v>0</v>
      </c>
      <c r="D9" s="1908">
        <v>0</v>
      </c>
      <c r="E9" s="1915">
        <v>0</v>
      </c>
      <c r="F9" s="1908">
        <v>0</v>
      </c>
      <c r="G9" s="1908">
        <v>0</v>
      </c>
      <c r="H9" s="1909">
        <v>0</v>
      </c>
      <c r="I9" s="1908">
        <v>0</v>
      </c>
      <c r="J9" s="1908">
        <v>0</v>
      </c>
      <c r="K9" s="1908">
        <v>0</v>
      </c>
      <c r="L9" s="1566"/>
      <c r="M9" s="1567"/>
      <c r="N9" s="1568"/>
    </row>
    <row r="10" spans="1:14" ht="13.5" customHeight="1" x14ac:dyDescent="0.2">
      <c r="A10" s="430" t="s">
        <v>983</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0</v>
      </c>
      <c r="D11" s="1908">
        <v>0</v>
      </c>
      <c r="E11" s="1908">
        <v>0</v>
      </c>
      <c r="F11" s="1908">
        <v>0</v>
      </c>
      <c r="G11" s="1908">
        <v>0</v>
      </c>
      <c r="H11" s="1908">
        <v>0</v>
      </c>
      <c r="I11" s="1909">
        <v>0</v>
      </c>
      <c r="J11" s="1909">
        <v>0</v>
      </c>
      <c r="K11" s="1908">
        <v>0</v>
      </c>
      <c r="L11" s="1566"/>
      <c r="M11" s="1568"/>
      <c r="N11" s="1568"/>
    </row>
    <row r="12" spans="1:14" ht="13.5" customHeight="1" x14ac:dyDescent="0.2">
      <c r="A12" s="430" t="s">
        <v>416</v>
      </c>
      <c r="B12" s="429">
        <v>190</v>
      </c>
      <c r="C12" s="1912">
        <v>0</v>
      </c>
      <c r="D12" s="1907">
        <v>0</v>
      </c>
      <c r="E12" s="1907">
        <v>0</v>
      </c>
      <c r="F12" s="1907">
        <v>0</v>
      </c>
      <c r="G12" s="1907">
        <v>0</v>
      </c>
      <c r="H12" s="1907">
        <v>0</v>
      </c>
      <c r="I12" s="1907">
        <v>0</v>
      </c>
      <c r="J12" s="1908">
        <v>0</v>
      </c>
      <c r="K12" s="1907">
        <v>0</v>
      </c>
      <c r="L12" s="1565"/>
      <c r="M12" s="1568"/>
      <c r="N12" s="1568"/>
    </row>
    <row r="13" spans="1:14" ht="13.5" customHeight="1" thickBot="1" x14ac:dyDescent="0.25">
      <c r="A13" s="1419" t="s">
        <v>639</v>
      </c>
      <c r="B13" s="1400"/>
      <c r="C13" s="1578">
        <f>SUM(C4:C12)</f>
        <v>21211893</v>
      </c>
      <c r="D13" s="1578">
        <f t="shared" ref="D13:L13" si="0">SUM(D4:D12)</f>
        <v>905128</v>
      </c>
      <c r="E13" s="1578">
        <f t="shared" si="0"/>
        <v>1732563</v>
      </c>
      <c r="F13" s="1578">
        <f t="shared" si="0"/>
        <v>521885</v>
      </c>
      <c r="G13" s="1578">
        <f t="shared" si="0"/>
        <v>434917</v>
      </c>
      <c r="H13" s="1578">
        <f t="shared" si="0"/>
        <v>26000700</v>
      </c>
      <c r="I13" s="1578">
        <f t="shared" si="0"/>
        <v>914601</v>
      </c>
      <c r="J13" s="1578">
        <f t="shared" si="0"/>
        <v>1558</v>
      </c>
      <c r="K13" s="1578">
        <f t="shared" si="0"/>
        <v>0</v>
      </c>
      <c r="L13" s="1578">
        <f t="shared" si="0"/>
        <v>291440</v>
      </c>
      <c r="M13" s="1567"/>
      <c r="N13" s="1568"/>
    </row>
    <row r="14" spans="1:14" ht="18" customHeight="1" thickTop="1" x14ac:dyDescent="0.2">
      <c r="A14" s="2419" t="s">
        <v>146</v>
      </c>
      <c r="B14" s="2420"/>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3150000</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38505383</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4107233</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1733023</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10425782</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1732563</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41492437</v>
      </c>
    </row>
    <row r="23" spans="1:14" ht="13.5" customHeight="1" thickBot="1" x14ac:dyDescent="0.25">
      <c r="A23" s="1419" t="s">
        <v>638</v>
      </c>
      <c r="B23" s="1422"/>
      <c r="C23" s="1567"/>
      <c r="D23" s="1567"/>
      <c r="E23" s="1567"/>
      <c r="F23" s="1567"/>
      <c r="G23" s="1567"/>
      <c r="H23" s="1567"/>
      <c r="I23" s="1567"/>
      <c r="J23" s="1567"/>
      <c r="K23" s="1567"/>
      <c r="L23" s="1567"/>
      <c r="M23" s="1585">
        <f>SUM(M15:M22)</f>
        <v>57921421</v>
      </c>
      <c r="N23" s="1585">
        <f>SUM(N21:N22)</f>
        <v>43225000</v>
      </c>
    </row>
    <row r="24" spans="1:14" ht="18" customHeight="1" thickTop="1" x14ac:dyDescent="0.2">
      <c r="A24" s="2421" t="s">
        <v>594</v>
      </c>
      <c r="B24" s="2422"/>
      <c r="C24" s="1586"/>
      <c r="D24" s="1581"/>
      <c r="E24" s="1581"/>
      <c r="F24" s="1581"/>
      <c r="G24" s="1581"/>
      <c r="H24" s="1581"/>
      <c r="I24" s="1581"/>
      <c r="J24" s="1581"/>
      <c r="K24" s="1581"/>
      <c r="L24" s="1581"/>
      <c r="M24" s="1580"/>
      <c r="N24" s="1587"/>
    </row>
    <row r="25" spans="1:14" x14ac:dyDescent="0.2">
      <c r="A25" s="430" t="s">
        <v>640</v>
      </c>
      <c r="B25" s="429">
        <v>410</v>
      </c>
      <c r="C25" s="1909">
        <v>0</v>
      </c>
      <c r="D25" s="1909">
        <v>0</v>
      </c>
      <c r="E25" s="1909">
        <v>0</v>
      </c>
      <c r="F25" s="1909">
        <v>0</v>
      </c>
      <c r="G25" s="1909">
        <v>0</v>
      </c>
      <c r="H25" s="1910">
        <v>0</v>
      </c>
      <c r="I25" s="1567"/>
      <c r="J25" s="1574">
        <v>0</v>
      </c>
      <c r="K25" s="1574">
        <v>0</v>
      </c>
      <c r="L25" s="1567"/>
      <c r="M25" s="1567"/>
      <c r="N25" s="1567"/>
    </row>
    <row r="26" spans="1:14" x14ac:dyDescent="0.2">
      <c r="A26" s="430" t="s">
        <v>641</v>
      </c>
      <c r="B26" s="429">
        <v>420</v>
      </c>
      <c r="C26" s="1908">
        <v>0</v>
      </c>
      <c r="D26" s="1908">
        <v>0</v>
      </c>
      <c r="E26" s="1908">
        <v>0</v>
      </c>
      <c r="F26" s="1908">
        <v>0</v>
      </c>
      <c r="G26" s="1908">
        <v>0</v>
      </c>
      <c r="H26" s="1908">
        <v>0</v>
      </c>
      <c r="I26" s="1919">
        <v>0</v>
      </c>
      <c r="J26" s="1922">
        <v>0</v>
      </c>
      <c r="K26" s="1919">
        <v>0</v>
      </c>
      <c r="L26" s="1567"/>
      <c r="M26" s="1567"/>
      <c r="N26" s="1567"/>
    </row>
    <row r="27" spans="1:14" ht="13.5" customHeight="1" x14ac:dyDescent="0.2">
      <c r="A27" s="430" t="s">
        <v>642</v>
      </c>
      <c r="B27" s="429">
        <v>430</v>
      </c>
      <c r="C27" s="1908">
        <v>15764</v>
      </c>
      <c r="D27" s="1908">
        <v>0</v>
      </c>
      <c r="E27" s="1908">
        <v>0</v>
      </c>
      <c r="F27" s="1908">
        <v>0</v>
      </c>
      <c r="G27" s="1908">
        <v>0</v>
      </c>
      <c r="H27" s="1908">
        <v>0</v>
      </c>
      <c r="I27" s="1919">
        <v>0</v>
      </c>
      <c r="J27" s="1919">
        <v>0</v>
      </c>
      <c r="K27" s="1919">
        <v>0</v>
      </c>
      <c r="L27" s="1567"/>
      <c r="M27" s="1567"/>
      <c r="N27" s="1567"/>
    </row>
    <row r="28" spans="1:14" ht="13.5" customHeight="1" x14ac:dyDescent="0.2">
      <c r="A28" s="430" t="s">
        <v>643</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0</v>
      </c>
      <c r="D30" s="1914">
        <v>0</v>
      </c>
      <c r="E30" s="1908">
        <v>0</v>
      </c>
      <c r="F30" s="1908">
        <v>0</v>
      </c>
      <c r="G30" s="1908">
        <v>0</v>
      </c>
      <c r="H30" s="1908">
        <v>0</v>
      </c>
      <c r="I30" s="1919">
        <v>0</v>
      </c>
      <c r="J30" s="1919">
        <v>0</v>
      </c>
      <c r="K30" s="1920">
        <v>0</v>
      </c>
      <c r="L30" s="1567"/>
      <c r="M30" s="1567"/>
      <c r="N30" s="1567"/>
    </row>
    <row r="31" spans="1:14" ht="13.5" customHeight="1" x14ac:dyDescent="0.2">
      <c r="A31" s="430" t="s">
        <v>646</v>
      </c>
      <c r="B31" s="429">
        <v>480</v>
      </c>
      <c r="C31" s="1907">
        <v>0</v>
      </c>
      <c r="D31" s="1908">
        <v>0</v>
      </c>
      <c r="E31" s="1908">
        <v>0</v>
      </c>
      <c r="F31" s="1907">
        <v>0</v>
      </c>
      <c r="G31" s="1908">
        <v>0</v>
      </c>
      <c r="H31" s="1908">
        <v>0</v>
      </c>
      <c r="I31" s="1919">
        <v>0</v>
      </c>
      <c r="J31" s="1919">
        <v>0</v>
      </c>
      <c r="K31" s="1919">
        <v>0</v>
      </c>
      <c r="L31" s="1567"/>
      <c r="M31" s="1567"/>
      <c r="N31" s="1567"/>
    </row>
    <row r="32" spans="1:14" ht="13.5" customHeight="1" x14ac:dyDescent="0.2">
      <c r="A32" s="434" t="s">
        <v>647</v>
      </c>
      <c r="B32" s="435">
        <v>490</v>
      </c>
      <c r="C32" s="1918">
        <v>0</v>
      </c>
      <c r="D32" s="1918">
        <v>0</v>
      </c>
      <c r="E32" s="1914">
        <v>0</v>
      </c>
      <c r="F32" s="1914">
        <v>0</v>
      </c>
      <c r="G32" s="1914">
        <v>0</v>
      </c>
      <c r="H32" s="1914">
        <v>0</v>
      </c>
      <c r="I32" s="1922">
        <v>0</v>
      </c>
      <c r="J32" s="1922">
        <v>0</v>
      </c>
      <c r="K32" s="1921">
        <v>0</v>
      </c>
      <c r="L32" s="1567"/>
      <c r="M32" s="1567"/>
      <c r="N32" s="1567"/>
    </row>
    <row r="33" spans="1:14" ht="13.5" customHeight="1" x14ac:dyDescent="0.2">
      <c r="A33" s="436" t="s">
        <v>300</v>
      </c>
      <c r="B33" s="435">
        <v>493</v>
      </c>
      <c r="C33" s="1908">
        <v>0</v>
      </c>
      <c r="D33" s="1908">
        <v>0</v>
      </c>
      <c r="E33" s="1908">
        <v>0</v>
      </c>
      <c r="F33" s="1908">
        <v>0</v>
      </c>
      <c r="G33" s="1908">
        <v>0</v>
      </c>
      <c r="H33" s="1908">
        <v>0</v>
      </c>
      <c r="I33" s="1919">
        <v>0</v>
      </c>
      <c r="J33" s="1919">
        <v>0</v>
      </c>
      <c r="K33" s="1919">
        <v>0</v>
      </c>
      <c r="L33" s="1923">
        <v>291440</v>
      </c>
      <c r="M33" s="1567"/>
      <c r="N33" s="1568"/>
    </row>
    <row r="34" spans="1:14" ht="13.5" customHeight="1" thickBot="1" x14ac:dyDescent="0.25">
      <c r="A34" s="1420" t="s">
        <v>649</v>
      </c>
      <c r="B34" s="1421"/>
      <c r="C34" s="1590">
        <f>SUM(C25:C33)</f>
        <v>15764</v>
      </c>
      <c r="D34" s="1590">
        <f t="shared" ref="D34:K34" si="1">SUM(D25:D33)</f>
        <v>0</v>
      </c>
      <c r="E34" s="1590">
        <f t="shared" si="1"/>
        <v>0</v>
      </c>
      <c r="F34" s="1590">
        <f t="shared" si="1"/>
        <v>0</v>
      </c>
      <c r="G34" s="1590">
        <f t="shared" si="1"/>
        <v>0</v>
      </c>
      <c r="H34" s="1590">
        <f t="shared" si="1"/>
        <v>0</v>
      </c>
      <c r="I34" s="1590">
        <f t="shared" si="1"/>
        <v>0</v>
      </c>
      <c r="J34" s="1590">
        <f t="shared" si="1"/>
        <v>0</v>
      </c>
      <c r="K34" s="1590">
        <f t="shared" si="1"/>
        <v>0</v>
      </c>
      <c r="L34" s="1591">
        <f>SUM(L33)</f>
        <v>291440</v>
      </c>
      <c r="M34" s="1567"/>
      <c r="N34" s="1576"/>
    </row>
    <row r="35" spans="1:14" ht="18" customHeight="1" thickTop="1" x14ac:dyDescent="0.2">
      <c r="A35" s="2423" t="s">
        <v>526</v>
      </c>
      <c r="B35" s="2424"/>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43225000</v>
      </c>
    </row>
    <row r="37" spans="1:14" ht="13.5" thickBot="1" x14ac:dyDescent="0.25">
      <c r="A37" s="1419" t="s">
        <v>648</v>
      </c>
      <c r="B37" s="1422"/>
      <c r="C37" s="1573"/>
      <c r="D37" s="1573"/>
      <c r="E37" s="1573"/>
      <c r="F37" s="1573"/>
      <c r="G37" s="1573"/>
      <c r="H37" s="1573"/>
      <c r="I37" s="1573"/>
      <c r="J37" s="1573"/>
      <c r="K37" s="1573"/>
      <c r="L37" s="1576"/>
      <c r="M37" s="1567"/>
      <c r="N37" s="1585">
        <f>SUM(N36:N36)</f>
        <v>43225000</v>
      </c>
    </row>
    <row r="38" spans="1:14" s="307" customFormat="1" ht="13.5" customHeight="1" thickTop="1" x14ac:dyDescent="0.2">
      <c r="A38" s="438" t="s">
        <v>417</v>
      </c>
      <c r="B38" s="432">
        <v>714</v>
      </c>
      <c r="C38" s="1565">
        <v>334775</v>
      </c>
      <c r="D38" s="1565"/>
      <c r="E38" s="1565"/>
      <c r="F38" s="1565"/>
      <c r="G38" s="1565">
        <v>251513</v>
      </c>
      <c r="H38" s="1565"/>
      <c r="I38" s="1565"/>
      <c r="J38" s="1566"/>
      <c r="K38" s="1565"/>
      <c r="L38" s="1577"/>
      <c r="M38" s="1594"/>
      <c r="N38" s="1594"/>
    </row>
    <row r="39" spans="1:14" s="307" customFormat="1" ht="13.5" customHeight="1" x14ac:dyDescent="0.2">
      <c r="A39" s="438" t="s">
        <v>339</v>
      </c>
      <c r="B39" s="432">
        <v>730</v>
      </c>
      <c r="C39" s="1565">
        <v>20861354</v>
      </c>
      <c r="D39" s="1565">
        <v>905128</v>
      </c>
      <c r="E39" s="1565">
        <v>1732563</v>
      </c>
      <c r="F39" s="1565">
        <v>521885</v>
      </c>
      <c r="G39" s="1565">
        <v>183404</v>
      </c>
      <c r="H39" s="1565">
        <v>26000700</v>
      </c>
      <c r="I39" s="1565">
        <v>914601</v>
      </c>
      <c r="J39" s="1566">
        <v>1558</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57921421</v>
      </c>
      <c r="N40" s="1594"/>
    </row>
    <row r="41" spans="1:14" ht="13.5" customHeight="1" thickBot="1" x14ac:dyDescent="0.25">
      <c r="A41" s="1419" t="s">
        <v>650</v>
      </c>
      <c r="B41" s="1398"/>
      <c r="C41" s="1585">
        <f>(SUM(C34,C37,C38,C39))</f>
        <v>21211893</v>
      </c>
      <c r="D41" s="1585">
        <f t="shared" ref="D41:L41" si="2">SUM(D34,D37,D38:D39)</f>
        <v>905128</v>
      </c>
      <c r="E41" s="1585">
        <f t="shared" si="2"/>
        <v>1732563</v>
      </c>
      <c r="F41" s="1585">
        <f t="shared" si="2"/>
        <v>521885</v>
      </c>
      <c r="G41" s="1585">
        <f t="shared" si="2"/>
        <v>434917</v>
      </c>
      <c r="H41" s="1585">
        <f t="shared" si="2"/>
        <v>26000700</v>
      </c>
      <c r="I41" s="1585">
        <f t="shared" si="2"/>
        <v>914601</v>
      </c>
      <c r="J41" s="1585">
        <f t="shared" si="2"/>
        <v>1558</v>
      </c>
      <c r="K41" s="1585">
        <f t="shared" si="2"/>
        <v>0</v>
      </c>
      <c r="L41" s="1585">
        <f t="shared" si="2"/>
        <v>291440</v>
      </c>
      <c r="M41" s="1585">
        <f>SUM(M40)</f>
        <v>57921421</v>
      </c>
      <c r="N41" s="1585">
        <f>SUM(N37)</f>
        <v>43225000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9"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FF00"/>
  </sheetPr>
  <dimension ref="A1:M87"/>
  <sheetViews>
    <sheetView showGridLines="0" defaultGridColor="0" colorId="8" zoomScale="110" zoomScaleNormal="110" zoomScaleSheetLayoutView="100" workbookViewId="0">
      <pane ySplit="2" topLeftCell="A63" activePane="bottomLeft" state="frozen"/>
      <selection activeCell="C44" sqref="C44"/>
      <selection pane="bottomLeft" activeCell="C79" sqref="C79:K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433"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434"/>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445" t="s">
        <v>1164</v>
      </c>
      <c r="B3" s="2446"/>
      <c r="C3" s="1304"/>
      <c r="D3" s="1305"/>
      <c r="E3" s="1305"/>
      <c r="F3" s="1305"/>
      <c r="G3" s="1305"/>
      <c r="H3" s="1305"/>
      <c r="I3" s="1305"/>
      <c r="J3" s="1305"/>
      <c r="K3" s="1306"/>
      <c r="L3" s="446"/>
    </row>
    <row r="4" spans="1:13" ht="15.75" customHeight="1" x14ac:dyDescent="0.2">
      <c r="A4" s="1530" t="s">
        <v>1479</v>
      </c>
      <c r="B4" s="1531">
        <v>1000</v>
      </c>
      <c r="C4" s="1596">
        <f>'Revenues 9-14'!C109</f>
        <v>20967625</v>
      </c>
      <c r="D4" s="1596">
        <f>'Revenues 9-14'!D109</f>
        <v>2989211</v>
      </c>
      <c r="E4" s="1596">
        <f>'Revenues 9-14'!E109</f>
        <v>3889141</v>
      </c>
      <c r="F4" s="1596">
        <f>'Revenues 9-14'!F109</f>
        <v>528778</v>
      </c>
      <c r="G4" s="1596">
        <f>'Revenues 9-14'!G109</f>
        <v>902437</v>
      </c>
      <c r="H4" s="1596">
        <f>'Revenues 9-14'!H109</f>
        <v>867706</v>
      </c>
      <c r="I4" s="1596">
        <f>'Revenues 9-14'!I109</f>
        <v>111596</v>
      </c>
      <c r="J4" s="1596">
        <f>'Revenues 9-14'!J109</f>
        <v>126622</v>
      </c>
      <c r="K4" s="1596">
        <f>'Revenues 9-14'!K109</f>
        <v>0</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6380948</v>
      </c>
      <c r="D6" s="1597">
        <f>'Revenues 9-14'!D170</f>
        <v>50000</v>
      </c>
      <c r="E6" s="1597">
        <f>'Revenues 9-14'!E170</f>
        <v>0</v>
      </c>
      <c r="F6" s="1597">
        <f>'Revenues 9-14'!F170</f>
        <v>765359</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1572717</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28921290</v>
      </c>
      <c r="D8" s="1585">
        <f t="shared" ref="D8:K8" si="0">SUM(D4:D7)</f>
        <v>3039211</v>
      </c>
      <c r="E8" s="1585">
        <f t="shared" si="0"/>
        <v>3889141</v>
      </c>
      <c r="F8" s="1585">
        <f t="shared" si="0"/>
        <v>1294137</v>
      </c>
      <c r="G8" s="1585">
        <f t="shared" si="0"/>
        <v>902437</v>
      </c>
      <c r="H8" s="1585">
        <f t="shared" si="0"/>
        <v>867706</v>
      </c>
      <c r="I8" s="1585">
        <f t="shared" si="0"/>
        <v>111596</v>
      </c>
      <c r="J8" s="1585">
        <f t="shared" si="0"/>
        <v>126622</v>
      </c>
      <c r="K8" s="1585">
        <f t="shared" si="0"/>
        <v>0</v>
      </c>
      <c r="L8" s="325"/>
    </row>
    <row r="9" spans="1:13" ht="15.75" thickTop="1" x14ac:dyDescent="0.2">
      <c r="A9" s="449" t="s">
        <v>1631</v>
      </c>
      <c r="B9" s="450">
        <v>3998</v>
      </c>
      <c r="C9" s="1577">
        <v>12562047</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41483337</v>
      </c>
      <c r="D10" s="1585">
        <f t="shared" ref="D10:K10" si="1">SUM(D8:D9)</f>
        <v>3039211</v>
      </c>
      <c r="E10" s="1585">
        <f t="shared" si="1"/>
        <v>3889141</v>
      </c>
      <c r="F10" s="1585">
        <f t="shared" si="1"/>
        <v>1294137</v>
      </c>
      <c r="G10" s="1585">
        <f t="shared" si="1"/>
        <v>902437</v>
      </c>
      <c r="H10" s="1585">
        <f t="shared" si="1"/>
        <v>867706</v>
      </c>
      <c r="I10" s="1585">
        <f t="shared" si="1"/>
        <v>111596</v>
      </c>
      <c r="J10" s="1585">
        <f t="shared" si="1"/>
        <v>126622</v>
      </c>
      <c r="K10" s="1585">
        <f t="shared" si="1"/>
        <v>0</v>
      </c>
      <c r="L10" s="451"/>
    </row>
    <row r="11" spans="1:13" s="452" customFormat="1" ht="16.7" customHeight="1" thickTop="1" x14ac:dyDescent="0.2">
      <c r="A11" s="2419" t="s">
        <v>1165</v>
      </c>
      <c r="B11" s="2420"/>
      <c r="C11" s="1592"/>
      <c r="D11" s="1593"/>
      <c r="E11" s="1593"/>
      <c r="F11" s="1593"/>
      <c r="G11" s="1593"/>
      <c r="H11" s="1593"/>
      <c r="I11" s="1593"/>
      <c r="J11" s="1593"/>
      <c r="K11" s="1605"/>
      <c r="L11" s="451"/>
    </row>
    <row r="12" spans="1:13" ht="15.75" customHeight="1" x14ac:dyDescent="0.2">
      <c r="A12" s="1307" t="s">
        <v>453</v>
      </c>
      <c r="B12" s="1309">
        <v>1000</v>
      </c>
      <c r="C12" s="1596">
        <f>'Expenditures 15-22'!K33</f>
        <v>17886463</v>
      </c>
      <c r="D12" s="1606" t="s">
        <v>1158</v>
      </c>
      <c r="E12" s="1567" t="s">
        <v>1158</v>
      </c>
      <c r="F12" s="1567" t="s">
        <v>1158</v>
      </c>
      <c r="G12" s="1596">
        <f>'Expenditures 15-22'!K229</f>
        <v>291031</v>
      </c>
      <c r="H12" s="1607"/>
      <c r="I12" s="1567" t="s">
        <v>1158</v>
      </c>
      <c r="J12" s="1567" t="s">
        <v>1158</v>
      </c>
      <c r="K12" s="1607" t="s">
        <v>1158</v>
      </c>
      <c r="L12" s="325"/>
    </row>
    <row r="13" spans="1:13" ht="15.75" customHeight="1" x14ac:dyDescent="0.2">
      <c r="A13" s="1307" t="s">
        <v>454</v>
      </c>
      <c r="B13" s="1309">
        <v>2000</v>
      </c>
      <c r="C13" s="1597">
        <f>'Expenditures 15-22'!K74</f>
        <v>7833277</v>
      </c>
      <c r="D13" s="1597">
        <f>'Expenditures 15-22'!K129</f>
        <v>3920300</v>
      </c>
      <c r="E13" s="1568" t="s">
        <v>1158</v>
      </c>
      <c r="F13" s="1597">
        <f>'Expenditures 15-22'!K184</f>
        <v>1326292</v>
      </c>
      <c r="G13" s="1597">
        <f>'Expenditures 15-22'!K279</f>
        <v>560633</v>
      </c>
      <c r="H13" s="1597">
        <f>'Expenditures 15-22'!K303</f>
        <v>17963069</v>
      </c>
      <c r="I13" s="1567" t="s">
        <v>1158</v>
      </c>
      <c r="J13" s="1597">
        <f>'Expenditures 15-22'!K330</f>
        <v>187970</v>
      </c>
      <c r="K13" s="1608">
        <f>'Expenditures 15-22'!K352</f>
        <v>0</v>
      </c>
      <c r="L13" s="325"/>
    </row>
    <row r="14" spans="1:13" ht="15.75" customHeight="1" x14ac:dyDescent="0.2">
      <c r="A14" s="1307" t="s">
        <v>446</v>
      </c>
      <c r="B14" s="1309">
        <v>3000</v>
      </c>
      <c r="C14" s="1597">
        <f>'Expenditures 15-22'!K75</f>
        <v>173467</v>
      </c>
      <c r="D14" s="1597">
        <f>'Expenditures 15-22'!K130</f>
        <v>0</v>
      </c>
      <c r="E14" s="1606" t="s">
        <v>1158</v>
      </c>
      <c r="F14" s="1597">
        <f>'Expenditures 15-22'!K185</f>
        <v>0</v>
      </c>
      <c r="G14" s="1597">
        <f>'Expenditures 15-22'!K280</f>
        <v>10459</v>
      </c>
      <c r="H14" s="1602"/>
      <c r="I14" s="1567" t="s">
        <v>1158</v>
      </c>
      <c r="J14" s="1567" t="s">
        <v>1158</v>
      </c>
      <c r="K14" s="1602" t="s">
        <v>1158</v>
      </c>
      <c r="L14" s="325"/>
    </row>
    <row r="15" spans="1:13" ht="15.75" customHeight="1" x14ac:dyDescent="0.2">
      <c r="A15" s="1307" t="s">
        <v>107</v>
      </c>
      <c r="B15" s="1309">
        <v>4000</v>
      </c>
      <c r="C15" s="1597">
        <f>'Expenditures 15-22'!K102</f>
        <v>710343</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6277783</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26603550</v>
      </c>
      <c r="D17" s="1585">
        <f t="shared" si="2"/>
        <v>3920300</v>
      </c>
      <c r="E17" s="1585">
        <f t="shared" si="2"/>
        <v>6277783</v>
      </c>
      <c r="F17" s="1585">
        <f t="shared" si="2"/>
        <v>1326292</v>
      </c>
      <c r="G17" s="1585">
        <f t="shared" si="2"/>
        <v>862123</v>
      </c>
      <c r="H17" s="1585">
        <f t="shared" si="2"/>
        <v>17963069</v>
      </c>
      <c r="I17" s="1567"/>
      <c r="J17" s="1585">
        <f>SUM(J12:J16)</f>
        <v>187970</v>
      </c>
      <c r="K17" s="1585">
        <f>SUM(K12:K16)</f>
        <v>0</v>
      </c>
      <c r="L17" s="325"/>
    </row>
    <row r="18" spans="1:12" ht="15" customHeight="1" thickTop="1" x14ac:dyDescent="0.2">
      <c r="A18" s="1423" t="s">
        <v>1632</v>
      </c>
      <c r="B18" s="1424">
        <v>4180</v>
      </c>
      <c r="C18" s="1596">
        <f t="shared" ref="C18:H18" si="3">C9</f>
        <v>12562047</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39165597</v>
      </c>
      <c r="D19" s="1585">
        <f t="shared" si="4"/>
        <v>3920300</v>
      </c>
      <c r="E19" s="1585">
        <f t="shared" si="4"/>
        <v>6277783</v>
      </c>
      <c r="F19" s="1585">
        <f t="shared" si="4"/>
        <v>1326292</v>
      </c>
      <c r="G19" s="1585">
        <f t="shared" si="4"/>
        <v>862123</v>
      </c>
      <c r="H19" s="1585">
        <f t="shared" si="4"/>
        <v>17963069</v>
      </c>
      <c r="I19" s="1567"/>
      <c r="J19" s="1585">
        <f>SUM(J17:J18)</f>
        <v>187970</v>
      </c>
      <c r="K19" s="1585">
        <f>SUM(K17:K18)</f>
        <v>0</v>
      </c>
      <c r="L19" s="325"/>
    </row>
    <row r="20" spans="1:12" ht="16.5" thickTop="1" thickBot="1" x14ac:dyDescent="0.25">
      <c r="A20" s="2435" t="s">
        <v>1633</v>
      </c>
      <c r="B20" s="2436"/>
      <c r="C20" s="1612">
        <f>C8-C17</f>
        <v>2317740</v>
      </c>
      <c r="D20" s="1612">
        <f t="shared" ref="D20:K20" si="5">D8-D17</f>
        <v>-881089</v>
      </c>
      <c r="E20" s="1612">
        <f t="shared" si="5"/>
        <v>-2388642</v>
      </c>
      <c r="F20" s="1612">
        <f t="shared" si="5"/>
        <v>-32155</v>
      </c>
      <c r="G20" s="1612">
        <f t="shared" si="5"/>
        <v>40314</v>
      </c>
      <c r="H20" s="1612">
        <f t="shared" si="5"/>
        <v>-17095363</v>
      </c>
      <c r="I20" s="1612">
        <f t="shared" si="5"/>
        <v>111596</v>
      </c>
      <c r="J20" s="1612">
        <f t="shared" si="5"/>
        <v>-61348</v>
      </c>
      <c r="K20" s="1612">
        <f t="shared" si="5"/>
        <v>0</v>
      </c>
      <c r="L20" s="325"/>
    </row>
    <row r="21" spans="1:12" ht="16.7" customHeight="1" thickTop="1" x14ac:dyDescent="0.2">
      <c r="A21" s="2447" t="s">
        <v>591</v>
      </c>
      <c r="B21" s="2448"/>
      <c r="C21" s="1592"/>
      <c r="D21" s="1593"/>
      <c r="E21" s="1593"/>
      <c r="F21" s="1593"/>
      <c r="G21" s="1593"/>
      <c r="H21" s="1593"/>
      <c r="I21" s="1593"/>
      <c r="J21" s="1593"/>
      <c r="K21" s="1605"/>
      <c r="L21" s="453"/>
    </row>
    <row r="22" spans="1:12" ht="15.75" customHeight="1" collapsed="1" x14ac:dyDescent="0.2">
      <c r="A22" s="2443" t="s">
        <v>592</v>
      </c>
      <c r="B22" s="2444"/>
      <c r="C22" s="1573"/>
      <c r="D22" s="1573"/>
      <c r="E22" s="1573"/>
      <c r="F22" s="1573"/>
      <c r="G22" s="1573"/>
      <c r="H22" s="1573"/>
      <c r="I22" s="1573"/>
      <c r="J22" s="1573"/>
      <c r="K22" s="1573"/>
      <c r="L22" s="325"/>
    </row>
    <row r="23" spans="1:12" s="433" customFormat="1" ht="15.75" customHeight="1" x14ac:dyDescent="0.2">
      <c r="A23" s="2439" t="s">
        <v>290</v>
      </c>
      <c r="B23" s="2440"/>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1765</v>
      </c>
      <c r="B30" s="455">
        <v>7160</v>
      </c>
      <c r="C30" s="1573"/>
      <c r="D30" s="1566">
        <v>0</v>
      </c>
      <c r="E30" s="1573"/>
      <c r="F30" s="1573"/>
      <c r="G30" s="1573"/>
      <c r="H30" s="1573"/>
      <c r="I30" s="1573"/>
      <c r="J30" s="1573"/>
      <c r="K30" s="1573"/>
      <c r="L30" s="453"/>
    </row>
    <row r="31" spans="1:12" s="433" customFormat="1" ht="26.25" x14ac:dyDescent="0.2">
      <c r="A31" s="1253" t="s">
        <v>1769</v>
      </c>
      <c r="B31" s="455">
        <v>7170</v>
      </c>
      <c r="C31" s="1573"/>
      <c r="D31" s="1573"/>
      <c r="E31" s="1571">
        <v>0</v>
      </c>
      <c r="F31" s="1573"/>
      <c r="G31" s="1573"/>
      <c r="H31" s="1573"/>
      <c r="I31" s="1573"/>
      <c r="J31" s="1573"/>
      <c r="K31" s="1573"/>
      <c r="L31" s="453"/>
    </row>
    <row r="32" spans="1:12" s="433" customFormat="1" ht="15.75" customHeight="1" x14ac:dyDescent="0.2">
      <c r="A32" s="2441" t="s">
        <v>973</v>
      </c>
      <c r="B32" s="2442"/>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449" t="s">
        <v>371</v>
      </c>
      <c r="B44" s="2450"/>
      <c r="C44" s="1614">
        <f>SUM(C24:C43)</f>
        <v>0</v>
      </c>
      <c r="D44" s="1614">
        <f t="shared" ref="D44:K44" si="6">SUM(D24:D43)</f>
        <v>0</v>
      </c>
      <c r="E44" s="1614">
        <f t="shared" si="6"/>
        <v>0</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443" t="s">
        <v>108</v>
      </c>
      <c r="B45" s="2444"/>
      <c r="C45" s="1615"/>
      <c r="D45" s="1615"/>
      <c r="E45" s="1615"/>
      <c r="F45" s="1615"/>
      <c r="G45" s="1615"/>
      <c r="H45" s="1615"/>
      <c r="I45" s="1615"/>
      <c r="J45" s="1615"/>
      <c r="K45" s="1615"/>
      <c r="L45" s="325"/>
    </row>
    <row r="46" spans="1:12" s="433" customFormat="1" ht="15.75" customHeight="1" x14ac:dyDescent="0.2">
      <c r="A46" s="2451" t="s">
        <v>109</v>
      </c>
      <c r="B46" s="2452"/>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1768</v>
      </c>
      <c r="B52" s="432">
        <v>8160</v>
      </c>
      <c r="C52" s="1573"/>
      <c r="D52" s="1573"/>
      <c r="E52" s="1573"/>
      <c r="F52" s="1573"/>
      <c r="G52" s="1573"/>
      <c r="H52" s="1573"/>
      <c r="I52" s="1573"/>
      <c r="J52" s="1573"/>
      <c r="K52" s="1597">
        <f>D30</f>
        <v>0</v>
      </c>
      <c r="L52" s="453"/>
    </row>
    <row r="53" spans="1:12" s="433" customFormat="1" ht="26.25" x14ac:dyDescent="0.2">
      <c r="A53" s="1254" t="s">
        <v>1767</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0</v>
      </c>
      <c r="I75" s="1616">
        <v>0</v>
      </c>
      <c r="J75" s="1616">
        <v>0</v>
      </c>
      <c r="K75" s="1618">
        <v>0</v>
      </c>
      <c r="L75" s="453"/>
    </row>
    <row r="76" spans="1:12" s="433" customFormat="1" ht="14.25" thickTop="1" thickBot="1" x14ac:dyDescent="0.25">
      <c r="A76" s="2425" t="s">
        <v>437</v>
      </c>
      <c r="B76" s="2426"/>
      <c r="C76" s="1614">
        <f t="shared" ref="C76:K76" si="7">SUM(C47:C75)</f>
        <v>0</v>
      </c>
      <c r="D76" s="1614">
        <f t="shared" si="7"/>
        <v>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427" t="s">
        <v>1166</v>
      </c>
      <c r="B77" s="2428"/>
      <c r="C77" s="1614">
        <f t="shared" ref="C77:K77" si="8">C44-C76</f>
        <v>0</v>
      </c>
      <c r="D77" s="1614">
        <f t="shared" si="8"/>
        <v>0</v>
      </c>
      <c r="E77" s="1614">
        <f t="shared" si="8"/>
        <v>0</v>
      </c>
      <c r="F77" s="1614">
        <f t="shared" si="8"/>
        <v>0</v>
      </c>
      <c r="G77" s="1614">
        <f t="shared" si="8"/>
        <v>0</v>
      </c>
      <c r="H77" s="1614">
        <f t="shared" si="8"/>
        <v>0</v>
      </c>
      <c r="I77" s="1614">
        <f t="shared" si="8"/>
        <v>0</v>
      </c>
      <c r="J77" s="1614">
        <f t="shared" si="8"/>
        <v>0</v>
      </c>
      <c r="K77" s="1614">
        <f t="shared" si="8"/>
        <v>0</v>
      </c>
      <c r="L77" s="325"/>
    </row>
    <row r="78" spans="1:12" ht="21.75" customHeight="1" thickTop="1" thickBot="1" x14ac:dyDescent="0.25">
      <c r="A78" s="2431" t="s">
        <v>593</v>
      </c>
      <c r="B78" s="2432"/>
      <c r="C78" s="1619">
        <f t="shared" ref="C78:K78" si="9">C20+C77</f>
        <v>2317740</v>
      </c>
      <c r="D78" s="1619">
        <f t="shared" si="9"/>
        <v>-881089</v>
      </c>
      <c r="E78" s="1619">
        <f t="shared" si="9"/>
        <v>-2388642</v>
      </c>
      <c r="F78" s="1619">
        <f t="shared" si="9"/>
        <v>-32155</v>
      </c>
      <c r="G78" s="1619">
        <f t="shared" si="9"/>
        <v>40314</v>
      </c>
      <c r="H78" s="1619">
        <f t="shared" si="9"/>
        <v>-17095363</v>
      </c>
      <c r="I78" s="1619">
        <f t="shared" si="9"/>
        <v>111596</v>
      </c>
      <c r="J78" s="1619">
        <f t="shared" si="9"/>
        <v>-61348</v>
      </c>
      <c r="K78" s="1619">
        <f t="shared" si="9"/>
        <v>0</v>
      </c>
      <c r="L78" s="457"/>
    </row>
    <row r="79" spans="1:12" ht="13.5" thickTop="1" x14ac:dyDescent="0.2">
      <c r="A79" s="1833" t="str">
        <f>"Fund Balances - July 1, "&amp;'AFR20'!E2-1</f>
        <v>Fund Balances - July 1, 2019</v>
      </c>
      <c r="B79" s="458"/>
      <c r="C79" s="1574">
        <v>18878389</v>
      </c>
      <c r="D79" s="1620">
        <v>1786217</v>
      </c>
      <c r="E79" s="1620">
        <v>4121205</v>
      </c>
      <c r="F79" s="1620">
        <v>554040</v>
      </c>
      <c r="G79" s="1620">
        <v>394603</v>
      </c>
      <c r="H79" s="1620">
        <v>43096063</v>
      </c>
      <c r="I79" s="1620">
        <v>803005</v>
      </c>
      <c r="J79" s="1620">
        <v>62906</v>
      </c>
      <c r="K79" s="1620"/>
      <c r="L79" s="325"/>
    </row>
    <row r="80" spans="1:12" x14ac:dyDescent="0.2">
      <c r="A80" s="2437" t="s">
        <v>1766</v>
      </c>
      <c r="B80" s="2438"/>
      <c r="C80" s="1566"/>
      <c r="D80" s="1566"/>
      <c r="E80" s="1566"/>
      <c r="F80" s="1566"/>
      <c r="G80" s="1566"/>
      <c r="H80" s="1566"/>
      <c r="I80" s="1566"/>
      <c r="J80" s="1566"/>
      <c r="K80" s="1566"/>
      <c r="L80" s="325"/>
    </row>
    <row r="81" spans="1:12" ht="13.5" thickBot="1" x14ac:dyDescent="0.25">
      <c r="A81" s="2429" t="str">
        <f>"Fund Balances - June 30, "&amp;'AFR20'!E2</f>
        <v>Fund Balances - June 30, 2020</v>
      </c>
      <c r="B81" s="2430"/>
      <c r="C81" s="1585">
        <f>(SUM(C78:C80))</f>
        <v>21196129</v>
      </c>
      <c r="D81" s="1585">
        <f>SUM(D78:D80)</f>
        <v>905128</v>
      </c>
      <c r="E81" s="1585">
        <f t="shared" ref="E81:K81" si="10">SUM(E78:E80)</f>
        <v>1732563</v>
      </c>
      <c r="F81" s="1585">
        <f t="shared" si="10"/>
        <v>521885</v>
      </c>
      <c r="G81" s="1585">
        <f t="shared" si="10"/>
        <v>434917</v>
      </c>
      <c r="H81" s="1585">
        <f t="shared" si="10"/>
        <v>26000700</v>
      </c>
      <c r="I81" s="1585">
        <f t="shared" si="10"/>
        <v>914601</v>
      </c>
      <c r="J81" s="1585">
        <f t="shared" si="10"/>
        <v>1558</v>
      </c>
      <c r="K81" s="1585">
        <f t="shared" si="10"/>
        <v>0</v>
      </c>
      <c r="L81" s="325"/>
    </row>
    <row r="82" spans="1:12" ht="0.75" customHeight="1" thickTop="1" thickBot="1" x14ac:dyDescent="0.25">
      <c r="A82" s="459" t="s">
        <v>340</v>
      </c>
      <c r="B82" s="460"/>
      <c r="C82" s="461">
        <f>(C81-C79)</f>
        <v>2317740</v>
      </c>
      <c r="D82" s="461">
        <f t="shared" ref="D82:K82" si="11">(D81-D79)</f>
        <v>-881089</v>
      </c>
      <c r="E82" s="461">
        <f t="shared" si="11"/>
        <v>-2388642</v>
      </c>
      <c r="F82" s="461">
        <f t="shared" si="11"/>
        <v>-32155</v>
      </c>
      <c r="G82" s="461">
        <f t="shared" si="11"/>
        <v>40314</v>
      </c>
      <c r="H82" s="461">
        <f t="shared" si="11"/>
        <v>-17095363</v>
      </c>
      <c r="I82" s="461">
        <f t="shared" si="11"/>
        <v>111596</v>
      </c>
      <c r="J82" s="461">
        <f t="shared" si="11"/>
        <v>-61348</v>
      </c>
      <c r="K82" s="461">
        <f t="shared" si="11"/>
        <v>0</v>
      </c>
    </row>
    <row r="83" spans="1:12" ht="14.25" hidden="1" thickTop="1" thickBot="1" x14ac:dyDescent="0.25">
      <c r="A83" s="462" t="s">
        <v>341</v>
      </c>
      <c r="B83" s="428"/>
      <c r="C83" s="463">
        <f>C82/C81</f>
        <v>0.10934732469310787</v>
      </c>
      <c r="D83" s="463">
        <f t="shared" ref="D83:K83" si="12">D82/D81</f>
        <v>-0.97344132542579609</v>
      </c>
      <c r="E83" s="463">
        <f t="shared" si="12"/>
        <v>-1.3786754074743603</v>
      </c>
      <c r="F83" s="463">
        <f t="shared" si="12"/>
        <v>-6.1613190645448707E-2</v>
      </c>
      <c r="G83" s="463">
        <f t="shared" si="12"/>
        <v>9.2693548424182079E-2</v>
      </c>
      <c r="H83" s="463">
        <f t="shared" si="12"/>
        <v>-0.65749625971608461</v>
      </c>
      <c r="I83" s="463">
        <f t="shared" si="12"/>
        <v>0.12201604852826534</v>
      </c>
      <c r="J83" s="463">
        <f t="shared" si="12"/>
        <v>-39.376123234916562</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FF00"/>
  </sheetPr>
  <dimension ref="A1:L279"/>
  <sheetViews>
    <sheetView showGridLines="0" defaultGridColor="0" colorId="8" zoomScale="110" zoomScaleNormal="110" zoomScaleSheetLayoutView="75" workbookViewId="0">
      <pane ySplit="2" topLeftCell="A3" activePane="bottomLeft" state="frozen"/>
      <selection activeCell="C44" sqref="C44"/>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433" t="s">
        <v>1773</v>
      </c>
      <c r="B1" s="416"/>
      <c r="C1" s="417" t="s">
        <v>422</v>
      </c>
      <c r="D1" s="417" t="s">
        <v>423</v>
      </c>
      <c r="E1" s="417" t="s">
        <v>424</v>
      </c>
      <c r="F1" s="417" t="s">
        <v>425</v>
      </c>
      <c r="G1" s="417" t="s">
        <v>426</v>
      </c>
      <c r="H1" s="417" t="s">
        <v>427</v>
      </c>
      <c r="I1" s="417" t="s">
        <v>428</v>
      </c>
      <c r="J1" s="417" t="s">
        <v>429</v>
      </c>
      <c r="K1" s="417" t="s">
        <v>750</v>
      </c>
    </row>
    <row r="2" spans="1:12" ht="36" x14ac:dyDescent="0.2">
      <c r="A2" s="2434"/>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18746920</v>
      </c>
      <c r="D5" s="1577">
        <v>2751318</v>
      </c>
      <c r="E5" s="1565">
        <v>3834320</v>
      </c>
      <c r="F5" s="1621">
        <v>506475</v>
      </c>
      <c r="G5" s="1565">
        <v>361533</v>
      </c>
      <c r="H5" s="1565">
        <v>0</v>
      </c>
      <c r="I5" s="1565">
        <v>110432</v>
      </c>
      <c r="J5" s="1566">
        <v>125822</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256078</v>
      </c>
      <c r="D7" s="1565">
        <v>0</v>
      </c>
      <c r="E7" s="1567"/>
      <c r="F7" s="1566">
        <v>0</v>
      </c>
      <c r="G7" s="1566">
        <v>0</v>
      </c>
      <c r="H7" s="1566">
        <v>0</v>
      </c>
      <c r="I7" s="1567"/>
      <c r="J7" s="1567"/>
      <c r="K7" s="1567"/>
    </row>
    <row r="8" spans="1:12" x14ac:dyDescent="0.2">
      <c r="A8" s="427" t="s">
        <v>410</v>
      </c>
      <c r="B8" s="429">
        <v>1150</v>
      </c>
      <c r="C8" s="1572"/>
      <c r="D8" s="1572"/>
      <c r="E8" s="1573"/>
      <c r="F8" s="1573"/>
      <c r="G8" s="1577">
        <v>433740</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19002998</v>
      </c>
      <c r="D12" s="1623">
        <f t="shared" si="0"/>
        <v>2751318</v>
      </c>
      <c r="E12" s="1623">
        <f t="shared" si="0"/>
        <v>3834320</v>
      </c>
      <c r="F12" s="1623">
        <f t="shared" si="0"/>
        <v>506475</v>
      </c>
      <c r="G12" s="1623">
        <f t="shared" si="0"/>
        <v>795273</v>
      </c>
      <c r="H12" s="1623">
        <f t="shared" si="0"/>
        <v>0</v>
      </c>
      <c r="I12" s="1623">
        <f t="shared" si="0"/>
        <v>110432</v>
      </c>
      <c r="J12" s="1623">
        <f t="shared" si="0"/>
        <v>125822</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270387</v>
      </c>
      <c r="D16" s="1565">
        <v>0</v>
      </c>
      <c r="E16" s="1565">
        <v>0</v>
      </c>
      <c r="F16" s="1565">
        <v>0</v>
      </c>
      <c r="G16" s="1565">
        <v>90129</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270387</v>
      </c>
      <c r="D18" s="1625">
        <f t="shared" ref="D18:K18" si="1">SUM(D14:D17)</f>
        <v>0</v>
      </c>
      <c r="E18" s="1625">
        <f t="shared" si="1"/>
        <v>0</v>
      </c>
      <c r="F18" s="1625">
        <f t="shared" si="1"/>
        <v>0</v>
      </c>
      <c r="G18" s="1625">
        <f t="shared" si="1"/>
        <v>90129</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79911</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79911</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7095</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7095</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335910</v>
      </c>
      <c r="D65" s="1565">
        <v>58074</v>
      </c>
      <c r="E65" s="1565">
        <v>54821</v>
      </c>
      <c r="F65" s="1566">
        <v>15208</v>
      </c>
      <c r="G65" s="1565">
        <v>17035</v>
      </c>
      <c r="H65" s="1565">
        <v>574086</v>
      </c>
      <c r="I65" s="1565">
        <v>1164</v>
      </c>
      <c r="J65" s="1566">
        <v>800</v>
      </c>
      <c r="K65" s="1565">
        <v>0</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335910</v>
      </c>
      <c r="D67" s="1585">
        <f t="shared" ref="D67:K67" si="2">SUM(D65:D66)</f>
        <v>58074</v>
      </c>
      <c r="E67" s="1585">
        <f t="shared" si="2"/>
        <v>54821</v>
      </c>
      <c r="F67" s="1585">
        <f t="shared" si="2"/>
        <v>15208</v>
      </c>
      <c r="G67" s="1585">
        <f t="shared" si="2"/>
        <v>17035</v>
      </c>
      <c r="H67" s="1585">
        <f t="shared" si="2"/>
        <v>574086</v>
      </c>
      <c r="I67" s="1585">
        <f t="shared" si="2"/>
        <v>1164</v>
      </c>
      <c r="J67" s="1585">
        <f t="shared" si="2"/>
        <v>800</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0</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356530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0</v>
      </c>
      <c r="D73" s="1567"/>
      <c r="E73" s="1567"/>
      <c r="F73" s="1567"/>
      <c r="G73" s="1567"/>
      <c r="H73" s="1567"/>
      <c r="I73" s="1567"/>
      <c r="J73" s="1567"/>
      <c r="K73" s="1567"/>
    </row>
    <row r="74" spans="1:11" ht="12.75" customHeight="1" x14ac:dyDescent="0.2">
      <c r="A74" s="427" t="s">
        <v>25</v>
      </c>
      <c r="B74" s="429">
        <v>1690</v>
      </c>
      <c r="C74" s="1622">
        <v>16986</v>
      </c>
      <c r="D74" s="1567"/>
      <c r="E74" s="1567"/>
      <c r="F74" s="1567"/>
      <c r="G74" s="1567"/>
      <c r="H74" s="1567"/>
      <c r="I74" s="1567"/>
      <c r="J74" s="1567"/>
      <c r="K74" s="1567"/>
    </row>
    <row r="75" spans="1:11" ht="12.75" customHeight="1" thickBot="1" x14ac:dyDescent="0.25">
      <c r="A75" s="1399" t="s">
        <v>544</v>
      </c>
      <c r="B75" s="1400"/>
      <c r="C75" s="1585">
        <f>SUM(C69:C74)</f>
        <v>373516</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32475</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485775</v>
      </c>
      <c r="D79" s="1565">
        <v>48792</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180880</v>
      </c>
      <c r="D81" s="1565">
        <v>0</v>
      </c>
      <c r="E81" s="1567"/>
      <c r="F81" s="1567"/>
      <c r="G81" s="1567"/>
      <c r="H81" s="1567"/>
      <c r="I81" s="1567"/>
      <c r="J81" s="1567"/>
      <c r="K81" s="1567"/>
    </row>
    <row r="82" spans="1:11" ht="12.75" customHeight="1" thickBot="1" x14ac:dyDescent="0.25">
      <c r="A82" s="1399" t="s">
        <v>239</v>
      </c>
      <c r="B82" s="1400"/>
      <c r="C82" s="1623">
        <f>SUM(C77:C81)</f>
        <v>699130</v>
      </c>
      <c r="D82" s="1585">
        <f>SUM(D77:D81)</f>
        <v>48792</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0</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0</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4449</v>
      </c>
      <c r="D95" s="1622">
        <v>68958</v>
      </c>
      <c r="E95" s="1607"/>
      <c r="F95" s="1607"/>
      <c r="G95" s="1607"/>
      <c r="H95" s="1607"/>
      <c r="I95" s="1607"/>
      <c r="J95" s="1607"/>
      <c r="K95" s="1607"/>
    </row>
    <row r="96" spans="1:11" ht="12.75" customHeight="1" x14ac:dyDescent="0.2">
      <c r="A96" s="427" t="s">
        <v>388</v>
      </c>
      <c r="B96" s="429">
        <v>1920</v>
      </c>
      <c r="C96" s="1622">
        <v>3463</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105592</v>
      </c>
      <c r="D98" s="1565">
        <v>0</v>
      </c>
      <c r="E98" s="1602"/>
      <c r="F98" s="1565">
        <v>0</v>
      </c>
      <c r="G98" s="1602"/>
      <c r="H98" s="1602"/>
      <c r="I98" s="1600"/>
      <c r="J98" s="1602"/>
      <c r="K98" s="1602"/>
    </row>
    <row r="99" spans="1:12" ht="12.75" customHeight="1" x14ac:dyDescent="0.2">
      <c r="A99" s="427" t="s">
        <v>815</v>
      </c>
      <c r="B99" s="429">
        <v>1950</v>
      </c>
      <c r="C99" s="1588">
        <v>87</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21528</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70654</v>
      </c>
      <c r="D106" s="1588">
        <v>0</v>
      </c>
      <c r="E106" s="1566">
        <v>0</v>
      </c>
      <c r="F106" s="1566">
        <v>0</v>
      </c>
      <c r="G106" s="1566">
        <v>0</v>
      </c>
      <c r="H106" s="1566">
        <v>293620</v>
      </c>
      <c r="I106" s="1607"/>
      <c r="J106" s="1566">
        <v>0</v>
      </c>
      <c r="K106" s="1566">
        <v>0</v>
      </c>
    </row>
    <row r="107" spans="1:12" ht="12.75" customHeight="1" x14ac:dyDescent="0.2">
      <c r="A107" s="427" t="s">
        <v>78</v>
      </c>
      <c r="B107" s="429">
        <v>1999</v>
      </c>
      <c r="C107" s="1622">
        <v>0</v>
      </c>
      <c r="D107" s="1565">
        <v>62069</v>
      </c>
      <c r="E107" s="1565">
        <v>0</v>
      </c>
      <c r="F107" s="1565">
        <v>0</v>
      </c>
      <c r="G107" s="1565">
        <v>0</v>
      </c>
      <c r="H107" s="1565">
        <v>0</v>
      </c>
      <c r="I107" s="1565">
        <v>0</v>
      </c>
      <c r="J107" s="1566">
        <v>0</v>
      </c>
      <c r="K107" s="1565">
        <v>0</v>
      </c>
    </row>
    <row r="108" spans="1:12" ht="12.75" customHeight="1" thickBot="1" x14ac:dyDescent="0.25">
      <c r="A108" s="1399" t="s">
        <v>484</v>
      </c>
      <c r="B108" s="1401"/>
      <c r="C108" s="1623">
        <f>SUM(C95:C107)</f>
        <v>205773</v>
      </c>
      <c r="D108" s="1623">
        <f t="shared" ref="D108:K108" si="3">SUM(D95:D107)</f>
        <v>131027</v>
      </c>
      <c r="E108" s="1623">
        <f t="shared" si="3"/>
        <v>0</v>
      </c>
      <c r="F108" s="1623">
        <f t="shared" si="3"/>
        <v>0</v>
      </c>
      <c r="G108" s="1623">
        <f t="shared" si="3"/>
        <v>0</v>
      </c>
      <c r="H108" s="1623">
        <f t="shared" si="3"/>
        <v>293620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20967625</v>
      </c>
      <c r="D109" s="1631">
        <f t="shared" si="4"/>
        <v>2989211</v>
      </c>
      <c r="E109" s="1631">
        <f t="shared" si="4"/>
        <v>3889141</v>
      </c>
      <c r="F109" s="1631">
        <f t="shared" si="4"/>
        <v>528778</v>
      </c>
      <c r="G109" s="1631">
        <f t="shared" si="4"/>
        <v>902437</v>
      </c>
      <c r="H109" s="1631">
        <f t="shared" si="4"/>
        <v>867706</v>
      </c>
      <c r="I109" s="1631">
        <f t="shared" si="4"/>
        <v>111596</v>
      </c>
      <c r="J109" s="1631">
        <f t="shared" si="4"/>
        <v>126622</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5467860</v>
      </c>
      <c r="D117" s="1577">
        <v>0</v>
      </c>
      <c r="E117" s="1565">
        <v>0</v>
      </c>
      <c r="F117" s="1577">
        <v>0</v>
      </c>
      <c r="G117" s="1577">
        <v>0</v>
      </c>
      <c r="H117" s="1565">
        <v>0</v>
      </c>
      <c r="I117" s="1567"/>
      <c r="J117" s="1566">
        <v>0</v>
      </c>
      <c r="K117" s="1565">
        <v>0</v>
      </c>
    </row>
    <row r="118" spans="1:11" ht="12.75" customHeight="1" x14ac:dyDescent="0.2">
      <c r="A118" s="427" t="s">
        <v>1770</v>
      </c>
      <c r="B118" s="478">
        <v>3002</v>
      </c>
      <c r="C118" s="1622">
        <v>406</v>
      </c>
      <c r="D118" s="1565">
        <v>0</v>
      </c>
      <c r="E118" s="1565">
        <v>0</v>
      </c>
      <c r="F118" s="1565">
        <v>0</v>
      </c>
      <c r="G118" s="1565">
        <v>0</v>
      </c>
      <c r="H118" s="1565">
        <v>0</v>
      </c>
      <c r="I118" s="1567"/>
      <c r="J118" s="1566">
        <v>0</v>
      </c>
      <c r="K118" s="1565">
        <v>0</v>
      </c>
    </row>
    <row r="119" spans="1:11" ht="12.75" customHeight="1" x14ac:dyDescent="0.2">
      <c r="A119" s="427" t="s">
        <v>1771</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1889</v>
      </c>
      <c r="B120" s="478">
        <v>3030</v>
      </c>
      <c r="C120" s="1622">
        <v>0</v>
      </c>
      <c r="D120" s="1565">
        <v>0</v>
      </c>
      <c r="E120" s="1565">
        <v>0</v>
      </c>
      <c r="F120" s="1565">
        <v>0</v>
      </c>
      <c r="G120" s="1565">
        <v>0</v>
      </c>
      <c r="H120" s="1565">
        <v>0</v>
      </c>
      <c r="I120" s="1567"/>
      <c r="J120" s="1566">
        <v>0</v>
      </c>
      <c r="K120" s="1565">
        <v>0</v>
      </c>
    </row>
    <row r="121" spans="1:11" x14ac:dyDescent="0.2">
      <c r="A121" s="1259" t="s">
        <v>1772</v>
      </c>
      <c r="B121" s="480">
        <v>3099</v>
      </c>
      <c r="C121" s="1622">
        <v>74786</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5543052</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728606</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0</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728606</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55399</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55399</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3023</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38424</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20081</v>
      </c>
      <c r="G152" s="1566">
        <v>0</v>
      </c>
      <c r="H152" s="1567"/>
      <c r="I152" s="1567"/>
      <c r="J152" s="1567"/>
      <c r="K152" s="1567"/>
    </row>
    <row r="153" spans="1:11" ht="12.75" customHeight="1" x14ac:dyDescent="0.2">
      <c r="A153" s="427" t="s">
        <v>1047</v>
      </c>
      <c r="B153" s="478">
        <v>3510</v>
      </c>
      <c r="C153" s="1622">
        <v>0</v>
      </c>
      <c r="D153" s="1565">
        <v>0</v>
      </c>
      <c r="E153" s="1630"/>
      <c r="F153" s="1565">
        <v>745278</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765359</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50000</v>
      </c>
      <c r="E167" s="1607"/>
      <c r="F167" s="1607"/>
      <c r="G167" s="1567"/>
      <c r="H167" s="1617">
        <v>0</v>
      </c>
      <c r="I167" s="1567"/>
      <c r="J167" s="1567"/>
      <c r="K167" s="1616">
        <v>0</v>
      </c>
    </row>
    <row r="168" spans="1:11" ht="14.25" thickTop="1" thickBot="1" x14ac:dyDescent="0.25">
      <c r="A168" s="1263" t="s">
        <v>70</v>
      </c>
      <c r="B168" s="484">
        <v>3999</v>
      </c>
      <c r="C168" s="1644">
        <v>12444</v>
      </c>
      <c r="D168" s="1645">
        <v>0</v>
      </c>
      <c r="E168" s="1645">
        <v>0</v>
      </c>
      <c r="F168" s="1645">
        <v>0</v>
      </c>
      <c r="G168" s="1646">
        <v>0</v>
      </c>
      <c r="H168" s="1647">
        <v>0</v>
      </c>
      <c r="I168" s="1646">
        <v>0</v>
      </c>
      <c r="J168" s="1646">
        <v>0</v>
      </c>
      <c r="K168" s="1647">
        <v>0</v>
      </c>
    </row>
    <row r="169" spans="1:11" ht="12.75" customHeight="1" thickTop="1" thickBot="1" x14ac:dyDescent="0.25">
      <c r="A169" s="2453" t="s">
        <v>395</v>
      </c>
      <c r="B169" s="2454"/>
      <c r="C169" s="1648">
        <f t="shared" ref="C169:K169" si="6">SUM(C132,C141,C145,C146:C150,C155,C156:C167,C168)</f>
        <v>837896</v>
      </c>
      <c r="D169" s="1648">
        <f t="shared" si="6"/>
        <v>50000</v>
      </c>
      <c r="E169" s="1648">
        <f t="shared" si="6"/>
        <v>0</v>
      </c>
      <c r="F169" s="1648">
        <f t="shared" si="6"/>
        <v>765359</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6380948</v>
      </c>
      <c r="D170" s="1631">
        <f t="shared" si="7"/>
        <v>50000</v>
      </c>
      <c r="E170" s="1631">
        <f t="shared" si="7"/>
        <v>0</v>
      </c>
      <c r="F170" s="1631">
        <f t="shared" si="7"/>
        <v>765359</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455" t="s">
        <v>1472</v>
      </c>
      <c r="B172" s="2456"/>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459" t="s">
        <v>1643</v>
      </c>
      <c r="B175" s="2460"/>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463" t="s">
        <v>1642</v>
      </c>
      <c r="B176" s="2464"/>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461" t="s">
        <v>779</v>
      </c>
      <c r="B181" s="2462"/>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457" t="s">
        <v>1774</v>
      </c>
      <c r="B182" s="2458"/>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205854</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25131</v>
      </c>
      <c r="D193" s="1567"/>
      <c r="E193" s="1630"/>
      <c r="F193" s="1567"/>
      <c r="G193" s="1654">
        <v>0</v>
      </c>
      <c r="H193" s="1567"/>
      <c r="I193" s="1567"/>
      <c r="J193" s="1567"/>
      <c r="K193" s="1567"/>
    </row>
    <row r="194" spans="1:11" ht="12.75" customHeight="1" x14ac:dyDescent="0.2">
      <c r="A194" s="427" t="s">
        <v>1431</v>
      </c>
      <c r="B194" s="429">
        <v>4225</v>
      </c>
      <c r="C194" s="1622">
        <v>6886</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237871</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280935</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280935</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0</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0</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0</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503907</v>
      </c>
      <c r="D213" s="1565">
        <v>0</v>
      </c>
      <c r="E213" s="1567"/>
      <c r="F213" s="1565">
        <v>0</v>
      </c>
      <c r="G213" s="1565">
        <v>0</v>
      </c>
      <c r="H213" s="1567"/>
      <c r="I213" s="1567"/>
      <c r="J213" s="1567"/>
      <c r="K213" s="1567"/>
    </row>
    <row r="214" spans="1:11" ht="12.75" customHeight="1" x14ac:dyDescent="0.2">
      <c r="A214" s="427" t="s">
        <v>1044</v>
      </c>
      <c r="B214" s="429">
        <v>4625</v>
      </c>
      <c r="C214" s="1622">
        <v>317642</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821549</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47483</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47483</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69869</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1890</v>
      </c>
      <c r="B261" s="429">
        <v>4981</v>
      </c>
      <c r="C261" s="1640">
        <v>0</v>
      </c>
      <c r="D261" s="1641">
        <v>0</v>
      </c>
      <c r="E261" s="1567"/>
      <c r="F261" s="1641">
        <v>0</v>
      </c>
      <c r="G261" s="1641">
        <v>0</v>
      </c>
      <c r="H261" s="1567"/>
      <c r="I261" s="1567"/>
      <c r="J261" s="1567"/>
      <c r="K261" s="1567"/>
    </row>
    <row r="262" spans="1:11" ht="12.75" customHeight="1" thickTop="1" thickBot="1" x14ac:dyDescent="0.25">
      <c r="A262" s="1533" t="s">
        <v>1891</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17055</v>
      </c>
      <c r="D263" s="1641">
        <v>0</v>
      </c>
      <c r="E263" s="1567"/>
      <c r="F263" s="1641">
        <v>0</v>
      </c>
      <c r="G263" s="1641">
        <v>0</v>
      </c>
      <c r="H263" s="1567"/>
      <c r="I263" s="1567"/>
      <c r="J263" s="1567"/>
      <c r="K263" s="1567"/>
    </row>
    <row r="264" spans="1:11" ht="12.75" customHeight="1" thickTop="1" thickBot="1" x14ac:dyDescent="0.25">
      <c r="A264" s="427" t="s">
        <v>374</v>
      </c>
      <c r="B264" s="429">
        <v>4992</v>
      </c>
      <c r="C264" s="1640">
        <v>97955</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1572717</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1572717</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28921290</v>
      </c>
      <c r="D268" s="1631">
        <f t="shared" si="12"/>
        <v>3039211</v>
      </c>
      <c r="E268" s="1631">
        <f t="shared" si="12"/>
        <v>3889141</v>
      </c>
      <c r="F268" s="1631">
        <f t="shared" si="12"/>
        <v>1294137</v>
      </c>
      <c r="G268" s="1631">
        <f t="shared" si="12"/>
        <v>902437</v>
      </c>
      <c r="H268" s="1631">
        <f t="shared" si="12"/>
        <v>867706</v>
      </c>
      <c r="I268" s="1631">
        <f t="shared" si="12"/>
        <v>111596</v>
      </c>
      <c r="J268" s="1631">
        <f t="shared" si="12"/>
        <v>126622</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9"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FF00"/>
  </sheetPr>
  <dimension ref="A1:N368"/>
  <sheetViews>
    <sheetView showGridLines="0" defaultGridColor="0" colorId="8" zoomScale="110" zoomScaleNormal="110" workbookViewId="0">
      <pane ySplit="2" topLeftCell="A3" activePane="bottomLeft" state="frozen"/>
      <selection activeCell="C44" sqref="C44"/>
      <selection pane="bottomLeft" activeCell="O365" sqref="O36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433"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467"/>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473" t="s">
        <v>294</v>
      </c>
      <c r="B3" s="2474"/>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8977406</v>
      </c>
      <c r="D5" s="1565">
        <v>1979363</v>
      </c>
      <c r="E5" s="1565">
        <v>181743</v>
      </c>
      <c r="F5" s="1565">
        <v>240712</v>
      </c>
      <c r="G5" s="1565">
        <v>63708</v>
      </c>
      <c r="H5" s="1565">
        <v>0</v>
      </c>
      <c r="I5" s="1566">
        <v>50000</v>
      </c>
      <c r="J5" s="1566">
        <v>0</v>
      </c>
      <c r="K5" s="1662">
        <f>SUM(C5:J5)</f>
        <v>11492932</v>
      </c>
      <c r="L5" s="1565">
        <v>11632399</v>
      </c>
    </row>
    <row r="6" spans="1:14" x14ac:dyDescent="0.2">
      <c r="A6" s="1267" t="s">
        <v>1413</v>
      </c>
      <c r="B6" s="503" t="s">
        <v>1411</v>
      </c>
      <c r="C6" s="1573"/>
      <c r="D6" s="1573"/>
      <c r="E6" s="1565">
        <v>0</v>
      </c>
      <c r="F6" s="1573"/>
      <c r="G6" s="1573"/>
      <c r="H6" s="1573"/>
      <c r="I6" s="1573"/>
      <c r="J6" s="1573"/>
      <c r="K6" s="1662">
        <f>SUM(C6,E6)</f>
        <v>0</v>
      </c>
      <c r="L6" s="1565">
        <v>8000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2484114</v>
      </c>
      <c r="D8" s="1565">
        <v>455726</v>
      </c>
      <c r="E8" s="1565">
        <v>23037</v>
      </c>
      <c r="F8" s="1565">
        <v>66071</v>
      </c>
      <c r="G8" s="1565">
        <v>0</v>
      </c>
      <c r="H8" s="1565">
        <v>5621</v>
      </c>
      <c r="I8" s="1566">
        <v>16046</v>
      </c>
      <c r="J8" s="1566">
        <v>0</v>
      </c>
      <c r="K8" s="1662">
        <f t="shared" si="0"/>
        <v>3050615</v>
      </c>
      <c r="L8" s="1565">
        <v>3022545</v>
      </c>
    </row>
    <row r="9" spans="1:14" x14ac:dyDescent="0.2">
      <c r="A9" s="1267" t="s">
        <v>715</v>
      </c>
      <c r="B9" s="503" t="s">
        <v>961</v>
      </c>
      <c r="C9" s="1566">
        <v>0</v>
      </c>
      <c r="D9" s="1566">
        <v>0</v>
      </c>
      <c r="E9" s="1566">
        <v>0</v>
      </c>
      <c r="F9" s="1566">
        <v>0</v>
      </c>
      <c r="G9" s="1566">
        <v>0</v>
      </c>
      <c r="H9" s="1566">
        <v>0</v>
      </c>
      <c r="I9" s="1566">
        <v>0</v>
      </c>
      <c r="J9" s="1566">
        <v>0</v>
      </c>
      <c r="K9" s="1662">
        <f t="shared" si="0"/>
        <v>0</v>
      </c>
      <c r="L9" s="1565">
        <v>0</v>
      </c>
    </row>
    <row r="10" spans="1:14" x14ac:dyDescent="0.2">
      <c r="A10" s="1267" t="s">
        <v>716</v>
      </c>
      <c r="B10" s="503">
        <v>1250</v>
      </c>
      <c r="C10" s="1565">
        <v>214060</v>
      </c>
      <c r="D10" s="1565">
        <v>53540</v>
      </c>
      <c r="E10" s="1565">
        <v>0</v>
      </c>
      <c r="F10" s="1565">
        <v>1205</v>
      </c>
      <c r="G10" s="1565">
        <v>0</v>
      </c>
      <c r="H10" s="1565">
        <v>0</v>
      </c>
      <c r="I10" s="1566">
        <v>0</v>
      </c>
      <c r="J10" s="1566">
        <v>0</v>
      </c>
      <c r="K10" s="1662">
        <f t="shared" si="0"/>
        <v>268805</v>
      </c>
      <c r="L10" s="1565">
        <v>318554</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16552</v>
      </c>
      <c r="D13" s="1565">
        <v>123</v>
      </c>
      <c r="E13" s="1565">
        <v>44162</v>
      </c>
      <c r="F13" s="1565">
        <v>1150</v>
      </c>
      <c r="G13" s="1565">
        <v>38570</v>
      </c>
      <c r="H13" s="1565">
        <v>0</v>
      </c>
      <c r="I13" s="1566">
        <v>2678</v>
      </c>
      <c r="J13" s="1566">
        <v>0</v>
      </c>
      <c r="K13" s="1662">
        <f t="shared" si="0"/>
        <v>103235</v>
      </c>
      <c r="L13" s="1565">
        <v>163483</v>
      </c>
    </row>
    <row r="14" spans="1:14" x14ac:dyDescent="0.2">
      <c r="A14" s="1267" t="s">
        <v>956</v>
      </c>
      <c r="B14" s="503">
        <v>1500</v>
      </c>
      <c r="C14" s="1565">
        <v>638456</v>
      </c>
      <c r="D14" s="1565">
        <v>7620</v>
      </c>
      <c r="E14" s="1565">
        <v>132841</v>
      </c>
      <c r="F14" s="1565">
        <v>46249</v>
      </c>
      <c r="G14" s="1565">
        <v>64179</v>
      </c>
      <c r="H14" s="1565">
        <v>4680</v>
      </c>
      <c r="I14" s="1566">
        <v>13175</v>
      </c>
      <c r="J14" s="1566">
        <v>0</v>
      </c>
      <c r="K14" s="1662">
        <f t="shared" si="0"/>
        <v>907200</v>
      </c>
      <c r="L14" s="1565">
        <v>939622</v>
      </c>
    </row>
    <row r="15" spans="1:14" x14ac:dyDescent="0.2">
      <c r="A15" s="1267" t="s">
        <v>957</v>
      </c>
      <c r="B15" s="503">
        <v>1600</v>
      </c>
      <c r="C15" s="1565">
        <v>136903</v>
      </c>
      <c r="D15" s="1565">
        <v>2432</v>
      </c>
      <c r="E15" s="1565">
        <v>0</v>
      </c>
      <c r="F15" s="1565">
        <v>0</v>
      </c>
      <c r="G15" s="1565">
        <v>0</v>
      </c>
      <c r="H15" s="1565">
        <v>0</v>
      </c>
      <c r="I15" s="1566">
        <v>0</v>
      </c>
      <c r="J15" s="1566">
        <v>0</v>
      </c>
      <c r="K15" s="1662">
        <f t="shared" si="0"/>
        <v>139335</v>
      </c>
      <c r="L15" s="1565">
        <v>65980</v>
      </c>
    </row>
    <row r="16" spans="1:14" x14ac:dyDescent="0.2">
      <c r="A16" s="1267" t="s">
        <v>979</v>
      </c>
      <c r="B16" s="503" t="s">
        <v>421</v>
      </c>
      <c r="C16" s="1565">
        <v>0</v>
      </c>
      <c r="D16" s="1565">
        <v>0</v>
      </c>
      <c r="E16" s="1565">
        <v>0</v>
      </c>
      <c r="F16" s="1565">
        <v>0</v>
      </c>
      <c r="G16" s="1565">
        <v>0</v>
      </c>
      <c r="H16" s="1565">
        <v>0</v>
      </c>
      <c r="I16" s="1566">
        <v>0</v>
      </c>
      <c r="J16" s="1566">
        <v>0</v>
      </c>
      <c r="K16" s="1662">
        <f t="shared" si="0"/>
        <v>0</v>
      </c>
      <c r="L16" s="1565">
        <v>0</v>
      </c>
    </row>
    <row r="17" spans="1:12" x14ac:dyDescent="0.2">
      <c r="A17" s="1267" t="s">
        <v>718</v>
      </c>
      <c r="B17" s="503" t="s">
        <v>161</v>
      </c>
      <c r="C17" s="1566">
        <v>264506</v>
      </c>
      <c r="D17" s="1566">
        <v>23889</v>
      </c>
      <c r="E17" s="1566">
        <v>1256</v>
      </c>
      <c r="F17" s="1566">
        <v>3446</v>
      </c>
      <c r="G17" s="1566">
        <v>0</v>
      </c>
      <c r="H17" s="1566">
        <v>0</v>
      </c>
      <c r="I17" s="1566">
        <v>0</v>
      </c>
      <c r="J17" s="1566">
        <v>0</v>
      </c>
      <c r="K17" s="1662">
        <f t="shared" si="0"/>
        <v>293097</v>
      </c>
      <c r="L17" s="1565">
        <v>302653</v>
      </c>
    </row>
    <row r="18" spans="1:12" x14ac:dyDescent="0.2">
      <c r="A18" s="1267" t="s">
        <v>1077</v>
      </c>
      <c r="B18" s="503">
        <v>1800</v>
      </c>
      <c r="C18" s="1565">
        <v>0</v>
      </c>
      <c r="D18" s="1565">
        <v>0</v>
      </c>
      <c r="E18" s="1565">
        <v>0</v>
      </c>
      <c r="F18" s="1565">
        <v>0</v>
      </c>
      <c r="G18" s="1565">
        <v>0</v>
      </c>
      <c r="H18" s="1565">
        <v>0</v>
      </c>
      <c r="I18" s="1566">
        <v>0</v>
      </c>
      <c r="J18" s="1566">
        <v>0</v>
      </c>
      <c r="K18" s="1662">
        <f t="shared" si="0"/>
        <v>0</v>
      </c>
      <c r="L18" s="1565">
        <v>0</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7154</v>
      </c>
      <c r="I21" s="1663"/>
      <c r="J21" s="1573"/>
      <c r="K21" s="1662">
        <f t="shared" si="0"/>
        <v>7154</v>
      </c>
      <c r="L21" s="1569">
        <v>14000</v>
      </c>
    </row>
    <row r="22" spans="1:12" x14ac:dyDescent="0.2">
      <c r="A22" s="1268" t="s">
        <v>734</v>
      </c>
      <c r="B22" s="494" t="s">
        <v>721</v>
      </c>
      <c r="C22" s="1573"/>
      <c r="D22" s="1573"/>
      <c r="E22" s="1573"/>
      <c r="F22" s="1573"/>
      <c r="G22" s="1573"/>
      <c r="H22" s="1571">
        <v>1624090</v>
      </c>
      <c r="I22" s="1663"/>
      <c r="J22" s="1573"/>
      <c r="K22" s="1662">
        <f t="shared" si="0"/>
        <v>1624090</v>
      </c>
      <c r="L22" s="1569">
        <v>2035000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12731997</v>
      </c>
      <c r="D33" s="1664">
        <f t="shared" ref="D33:L33" si="1">SUM(D5:D32)</f>
        <v>2522693</v>
      </c>
      <c r="E33" s="1664">
        <f t="shared" si="1"/>
        <v>383039</v>
      </c>
      <c r="F33" s="1664">
        <f t="shared" si="1"/>
        <v>358833</v>
      </c>
      <c r="G33" s="1664">
        <f t="shared" si="1"/>
        <v>166457</v>
      </c>
      <c r="H33" s="1664">
        <f t="shared" si="1"/>
        <v>1641545</v>
      </c>
      <c r="I33" s="1664">
        <f t="shared" si="1"/>
        <v>81899</v>
      </c>
      <c r="J33" s="1664">
        <f t="shared" si="1"/>
        <v>0</v>
      </c>
      <c r="K33" s="1664">
        <f t="shared" si="1"/>
        <v>17886463</v>
      </c>
      <c r="L33" s="1664">
        <f t="shared" si="1"/>
        <v>18502236</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330690</v>
      </c>
      <c r="D36" s="1577">
        <v>49694</v>
      </c>
      <c r="E36" s="1577">
        <v>0</v>
      </c>
      <c r="F36" s="1577">
        <v>0</v>
      </c>
      <c r="G36" s="1577">
        <v>0</v>
      </c>
      <c r="H36" s="1577">
        <v>0</v>
      </c>
      <c r="I36" s="1566">
        <v>0</v>
      </c>
      <c r="J36" s="1566">
        <v>0</v>
      </c>
      <c r="K36" s="1662">
        <f t="shared" ref="K36:K41" si="2">SUM(C36:J36)</f>
        <v>380384</v>
      </c>
      <c r="L36" s="1565">
        <v>339935</v>
      </c>
    </row>
    <row r="37" spans="1:14" x14ac:dyDescent="0.2">
      <c r="A37" s="1267" t="s">
        <v>1080</v>
      </c>
      <c r="B37" s="503">
        <v>2120</v>
      </c>
      <c r="C37" s="1565">
        <v>602396</v>
      </c>
      <c r="D37" s="1565">
        <v>109601</v>
      </c>
      <c r="E37" s="1565">
        <v>41</v>
      </c>
      <c r="F37" s="1565">
        <v>2550</v>
      </c>
      <c r="G37" s="1565">
        <v>0</v>
      </c>
      <c r="H37" s="1565">
        <v>0</v>
      </c>
      <c r="I37" s="1566">
        <v>0</v>
      </c>
      <c r="J37" s="1566">
        <v>0</v>
      </c>
      <c r="K37" s="1662">
        <f t="shared" si="2"/>
        <v>714588</v>
      </c>
      <c r="L37" s="1565">
        <v>765871</v>
      </c>
    </row>
    <row r="38" spans="1:14" x14ac:dyDescent="0.2">
      <c r="A38" s="1267" t="s">
        <v>196</v>
      </c>
      <c r="B38" s="503">
        <v>2130</v>
      </c>
      <c r="C38" s="1565">
        <v>88740</v>
      </c>
      <c r="D38" s="1565">
        <v>14412</v>
      </c>
      <c r="E38" s="1565">
        <v>36947</v>
      </c>
      <c r="F38" s="1565">
        <v>1224</v>
      </c>
      <c r="G38" s="1565">
        <v>0</v>
      </c>
      <c r="H38" s="1565">
        <v>0</v>
      </c>
      <c r="I38" s="1566">
        <v>0</v>
      </c>
      <c r="J38" s="1566">
        <v>0</v>
      </c>
      <c r="K38" s="1662">
        <f t="shared" si="2"/>
        <v>141323</v>
      </c>
      <c r="L38" s="1565">
        <v>150400</v>
      </c>
    </row>
    <row r="39" spans="1:14" x14ac:dyDescent="0.2">
      <c r="A39" s="1267" t="s">
        <v>197</v>
      </c>
      <c r="B39" s="503">
        <v>2140</v>
      </c>
      <c r="C39" s="1565">
        <v>237859</v>
      </c>
      <c r="D39" s="1565">
        <v>43825</v>
      </c>
      <c r="E39" s="1565">
        <v>0</v>
      </c>
      <c r="F39" s="1565">
        <v>0</v>
      </c>
      <c r="G39" s="1565">
        <v>0</v>
      </c>
      <c r="H39" s="1565">
        <v>0</v>
      </c>
      <c r="I39" s="1566">
        <v>0</v>
      </c>
      <c r="J39" s="1566">
        <v>0</v>
      </c>
      <c r="K39" s="1662">
        <f t="shared" si="2"/>
        <v>281684</v>
      </c>
      <c r="L39" s="1565">
        <v>281233</v>
      </c>
    </row>
    <row r="40" spans="1:14" x14ac:dyDescent="0.2">
      <c r="A40" s="1267" t="s">
        <v>198</v>
      </c>
      <c r="B40" s="503">
        <v>2150</v>
      </c>
      <c r="C40" s="1565">
        <v>0</v>
      </c>
      <c r="D40" s="1565">
        <v>0</v>
      </c>
      <c r="E40" s="1565">
        <v>0</v>
      </c>
      <c r="F40" s="1565">
        <v>0</v>
      </c>
      <c r="G40" s="1565">
        <v>0</v>
      </c>
      <c r="H40" s="1565">
        <v>0</v>
      </c>
      <c r="I40" s="1566">
        <v>0</v>
      </c>
      <c r="J40" s="1566">
        <v>0</v>
      </c>
      <c r="K40" s="1662">
        <f t="shared" si="2"/>
        <v>0</v>
      </c>
      <c r="L40" s="1565">
        <v>15000</v>
      </c>
    </row>
    <row r="41" spans="1:14" x14ac:dyDescent="0.2">
      <c r="A41" s="1267" t="s">
        <v>1647</v>
      </c>
      <c r="B41" s="503">
        <v>2190</v>
      </c>
      <c r="C41" s="1565">
        <v>142295</v>
      </c>
      <c r="D41" s="1565">
        <v>0</v>
      </c>
      <c r="E41" s="1565">
        <v>0</v>
      </c>
      <c r="F41" s="1565">
        <v>0</v>
      </c>
      <c r="G41" s="1565">
        <v>0</v>
      </c>
      <c r="H41" s="1565">
        <v>0</v>
      </c>
      <c r="I41" s="1566">
        <v>0</v>
      </c>
      <c r="J41" s="1566">
        <v>0</v>
      </c>
      <c r="K41" s="1662">
        <f t="shared" si="2"/>
        <v>142295</v>
      </c>
      <c r="L41" s="1565">
        <v>175625</v>
      </c>
    </row>
    <row r="42" spans="1:14" ht="12.75" customHeight="1" thickBot="1" x14ac:dyDescent="0.25">
      <c r="A42" s="1373" t="s">
        <v>556</v>
      </c>
      <c r="B42" s="1374" t="s">
        <v>710</v>
      </c>
      <c r="C42" s="1664">
        <f>SUM(C36:C41)</f>
        <v>1401980</v>
      </c>
      <c r="D42" s="1664">
        <f t="shared" ref="D42:L42" si="3">SUM(D36:D41)</f>
        <v>217532</v>
      </c>
      <c r="E42" s="1664">
        <f t="shared" si="3"/>
        <v>36988</v>
      </c>
      <c r="F42" s="1664">
        <f t="shared" si="3"/>
        <v>3774</v>
      </c>
      <c r="G42" s="1664">
        <f t="shared" si="3"/>
        <v>0</v>
      </c>
      <c r="H42" s="1664">
        <f t="shared" si="3"/>
        <v>0</v>
      </c>
      <c r="I42" s="1664">
        <f t="shared" si="3"/>
        <v>0</v>
      </c>
      <c r="J42" s="1664">
        <f t="shared" si="3"/>
        <v>0</v>
      </c>
      <c r="K42" s="1664">
        <f t="shared" si="3"/>
        <v>1660274</v>
      </c>
      <c r="L42" s="1664">
        <f t="shared" si="3"/>
        <v>1728064</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987620</v>
      </c>
      <c r="D44" s="1577">
        <v>20550</v>
      </c>
      <c r="E44" s="1577">
        <v>68365</v>
      </c>
      <c r="F44" s="1577">
        <v>14396</v>
      </c>
      <c r="G44" s="1577">
        <v>0</v>
      </c>
      <c r="H44" s="1577">
        <v>1734</v>
      </c>
      <c r="I44" s="1566">
        <v>36668</v>
      </c>
      <c r="J44" s="1566">
        <v>0</v>
      </c>
      <c r="K44" s="1668">
        <f>SUM(C44:J44)</f>
        <v>1129333</v>
      </c>
      <c r="L44" s="1577">
        <v>1149288</v>
      </c>
    </row>
    <row r="45" spans="1:14" x14ac:dyDescent="0.2">
      <c r="A45" s="1267" t="s">
        <v>809</v>
      </c>
      <c r="B45" s="503">
        <v>2220</v>
      </c>
      <c r="C45" s="1565">
        <v>712975</v>
      </c>
      <c r="D45" s="1565">
        <v>117668</v>
      </c>
      <c r="E45" s="1565">
        <v>143786</v>
      </c>
      <c r="F45" s="1565">
        <v>71500</v>
      </c>
      <c r="G45" s="1565">
        <v>36739</v>
      </c>
      <c r="H45" s="1565">
        <v>0</v>
      </c>
      <c r="I45" s="1566">
        <v>515957</v>
      </c>
      <c r="J45" s="1566">
        <v>0</v>
      </c>
      <c r="K45" s="1668">
        <f>SUM(C45:J45)</f>
        <v>1598625</v>
      </c>
      <c r="L45" s="1565">
        <v>1879600</v>
      </c>
    </row>
    <row r="46" spans="1:14" x14ac:dyDescent="0.2">
      <c r="A46" s="1267" t="s">
        <v>810</v>
      </c>
      <c r="B46" s="503">
        <v>2230</v>
      </c>
      <c r="C46" s="1565">
        <v>0</v>
      </c>
      <c r="D46" s="1565">
        <v>0</v>
      </c>
      <c r="E46" s="1565">
        <v>0</v>
      </c>
      <c r="F46" s="1565">
        <v>1998</v>
      </c>
      <c r="G46" s="1565">
        <v>0</v>
      </c>
      <c r="H46" s="1565">
        <v>0</v>
      </c>
      <c r="I46" s="1566">
        <v>0</v>
      </c>
      <c r="J46" s="1566">
        <v>0</v>
      </c>
      <c r="K46" s="1668">
        <f>SUM(C46:J46)</f>
        <v>1998</v>
      </c>
      <c r="L46" s="1565">
        <v>5000</v>
      </c>
    </row>
    <row r="47" spans="1:14" ht="12.75" customHeight="1" thickBot="1" x14ac:dyDescent="0.25">
      <c r="A47" s="1373" t="s">
        <v>557</v>
      </c>
      <c r="B47" s="1374" t="s">
        <v>32</v>
      </c>
      <c r="C47" s="1664">
        <f>SUM(C44:C46)</f>
        <v>1700595</v>
      </c>
      <c r="D47" s="1664">
        <f t="shared" ref="D47:K47" si="4">SUM(D44:D46)</f>
        <v>138218</v>
      </c>
      <c r="E47" s="1664">
        <f t="shared" si="4"/>
        <v>212151</v>
      </c>
      <c r="F47" s="1664">
        <f t="shared" si="4"/>
        <v>87894</v>
      </c>
      <c r="G47" s="1664">
        <f t="shared" si="4"/>
        <v>36739</v>
      </c>
      <c r="H47" s="1664">
        <f t="shared" si="4"/>
        <v>1734</v>
      </c>
      <c r="I47" s="1664">
        <f t="shared" si="4"/>
        <v>552625</v>
      </c>
      <c r="J47" s="1664">
        <f t="shared" si="4"/>
        <v>0</v>
      </c>
      <c r="K47" s="1664">
        <f t="shared" si="4"/>
        <v>2729956</v>
      </c>
      <c r="L47" s="1664">
        <f>SUM(L44:L46)</f>
        <v>3033888</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25291</v>
      </c>
      <c r="D49" s="1577">
        <v>0</v>
      </c>
      <c r="E49" s="1577">
        <v>236741</v>
      </c>
      <c r="F49" s="1577">
        <v>0</v>
      </c>
      <c r="G49" s="1577">
        <v>0</v>
      </c>
      <c r="H49" s="1577">
        <v>4308</v>
      </c>
      <c r="I49" s="1566">
        <v>0</v>
      </c>
      <c r="J49" s="1566">
        <v>0</v>
      </c>
      <c r="K49" s="1668">
        <f>SUM(C49:J49)</f>
        <v>266340</v>
      </c>
      <c r="L49" s="1577">
        <v>415008</v>
      </c>
    </row>
    <row r="50" spans="1:14" x14ac:dyDescent="0.2">
      <c r="A50" s="1267" t="s">
        <v>812</v>
      </c>
      <c r="B50" s="503">
        <v>2320</v>
      </c>
      <c r="C50" s="1565">
        <v>400043</v>
      </c>
      <c r="D50" s="1565">
        <v>59225</v>
      </c>
      <c r="E50" s="1565">
        <v>71601</v>
      </c>
      <c r="F50" s="1565">
        <v>10247</v>
      </c>
      <c r="G50" s="1565">
        <v>0</v>
      </c>
      <c r="H50" s="1565">
        <v>3959</v>
      </c>
      <c r="I50" s="1566">
        <v>19356</v>
      </c>
      <c r="J50" s="1566">
        <v>0</v>
      </c>
      <c r="K50" s="1668">
        <f>SUM(C50:J50)</f>
        <v>564431</v>
      </c>
      <c r="L50" s="1565">
        <v>538881</v>
      </c>
    </row>
    <row r="51" spans="1:14" x14ac:dyDescent="0.2">
      <c r="A51" s="1267" t="s">
        <v>42</v>
      </c>
      <c r="B51" s="503">
        <v>2330</v>
      </c>
      <c r="C51" s="1565">
        <v>0</v>
      </c>
      <c r="D51" s="1565">
        <v>0</v>
      </c>
      <c r="E51" s="1565">
        <v>0</v>
      </c>
      <c r="F51" s="1565">
        <v>0</v>
      </c>
      <c r="G51" s="1565">
        <v>0</v>
      </c>
      <c r="H51" s="1565">
        <v>0</v>
      </c>
      <c r="I51" s="1566">
        <v>0</v>
      </c>
      <c r="J51" s="1566">
        <v>0</v>
      </c>
      <c r="K51" s="1668">
        <f>SUM(C51:J51)</f>
        <v>0</v>
      </c>
      <c r="L51" s="1565">
        <v>0</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711</v>
      </c>
      <c r="B53" s="1374" t="s">
        <v>33</v>
      </c>
      <c r="C53" s="1664">
        <f>SUM(C49:C52)</f>
        <v>425334</v>
      </c>
      <c r="D53" s="1664">
        <f t="shared" ref="D53:L53" si="5">SUM(D49:D52)</f>
        <v>59225</v>
      </c>
      <c r="E53" s="1664">
        <f t="shared" si="5"/>
        <v>308342</v>
      </c>
      <c r="F53" s="1664">
        <f t="shared" si="5"/>
        <v>10247</v>
      </c>
      <c r="G53" s="1664">
        <f t="shared" si="5"/>
        <v>0</v>
      </c>
      <c r="H53" s="1664">
        <f t="shared" si="5"/>
        <v>8267</v>
      </c>
      <c r="I53" s="1664">
        <f t="shared" si="5"/>
        <v>19356</v>
      </c>
      <c r="J53" s="1664">
        <f t="shared" si="5"/>
        <v>0</v>
      </c>
      <c r="K53" s="1664">
        <f t="shared" si="5"/>
        <v>830771</v>
      </c>
      <c r="L53" s="1664">
        <f t="shared" si="5"/>
        <v>953889</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1199161</v>
      </c>
      <c r="D55" s="1577">
        <v>356278</v>
      </c>
      <c r="E55" s="1577">
        <v>407</v>
      </c>
      <c r="F55" s="1577">
        <v>15851</v>
      </c>
      <c r="G55" s="1577">
        <v>0</v>
      </c>
      <c r="H55" s="1577">
        <v>1889</v>
      </c>
      <c r="I55" s="1566">
        <v>0</v>
      </c>
      <c r="J55" s="1566">
        <v>0</v>
      </c>
      <c r="K55" s="1668">
        <f>SUM(C55:J55)</f>
        <v>1573586</v>
      </c>
      <c r="L55" s="1577">
        <v>1520967</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1199161</v>
      </c>
      <c r="D57" s="1669">
        <f t="shared" ref="D57:K57" si="6">SUM(D55:D56)</f>
        <v>356278</v>
      </c>
      <c r="E57" s="1669">
        <f t="shared" si="6"/>
        <v>407</v>
      </c>
      <c r="F57" s="1669">
        <f t="shared" si="6"/>
        <v>15851</v>
      </c>
      <c r="G57" s="1669">
        <f t="shared" si="6"/>
        <v>0</v>
      </c>
      <c r="H57" s="1669">
        <f t="shared" si="6"/>
        <v>1889</v>
      </c>
      <c r="I57" s="1669">
        <f t="shared" si="6"/>
        <v>0</v>
      </c>
      <c r="J57" s="1669">
        <f t="shared" si="6"/>
        <v>0</v>
      </c>
      <c r="K57" s="1669">
        <f t="shared" si="6"/>
        <v>1573586</v>
      </c>
      <c r="L57" s="1664">
        <f>SUM(L55:L56)</f>
        <v>1520967</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185700</v>
      </c>
      <c r="D59" s="1577">
        <v>19951</v>
      </c>
      <c r="E59" s="1577">
        <v>17931</v>
      </c>
      <c r="F59" s="1577">
        <v>2942</v>
      </c>
      <c r="G59" s="1577">
        <v>0</v>
      </c>
      <c r="H59" s="1577">
        <v>7416</v>
      </c>
      <c r="I59" s="1566">
        <v>2272</v>
      </c>
      <c r="J59" s="1566">
        <v>0</v>
      </c>
      <c r="K59" s="1668">
        <f t="shared" ref="K59:K64" si="7">SUM(C59:J59)</f>
        <v>236212</v>
      </c>
      <c r="L59" s="1577">
        <v>242476</v>
      </c>
      <c r="M59" s="501"/>
      <c r="N59" s="501"/>
    </row>
    <row r="60" spans="1:14" s="321" customFormat="1" x14ac:dyDescent="0.2">
      <c r="A60" s="1267" t="s">
        <v>460</v>
      </c>
      <c r="B60" s="503">
        <v>2520</v>
      </c>
      <c r="C60" s="1565">
        <v>154795</v>
      </c>
      <c r="D60" s="1565">
        <v>21588</v>
      </c>
      <c r="E60" s="1565">
        <v>0</v>
      </c>
      <c r="F60" s="1565">
        <v>0</v>
      </c>
      <c r="G60" s="1565">
        <v>0</v>
      </c>
      <c r="H60" s="1565">
        <v>0</v>
      </c>
      <c r="I60" s="1566">
        <v>0</v>
      </c>
      <c r="J60" s="1566">
        <v>0</v>
      </c>
      <c r="K60" s="1668">
        <f t="shared" si="7"/>
        <v>176383</v>
      </c>
      <c r="L60" s="1565">
        <v>147545</v>
      </c>
      <c r="M60" s="501"/>
      <c r="N60" s="501"/>
    </row>
    <row r="61" spans="1:14" s="321" customFormat="1" x14ac:dyDescent="0.2">
      <c r="A61" s="1267" t="s">
        <v>195</v>
      </c>
      <c r="B61" s="503">
        <v>2540</v>
      </c>
      <c r="C61" s="1565">
        <v>0</v>
      </c>
      <c r="D61" s="1565">
        <v>0</v>
      </c>
      <c r="E61" s="1565">
        <v>0</v>
      </c>
      <c r="F61" s="1565">
        <v>17865</v>
      </c>
      <c r="G61" s="1565">
        <v>0</v>
      </c>
      <c r="H61" s="1565">
        <v>0</v>
      </c>
      <c r="I61" s="1566">
        <v>0</v>
      </c>
      <c r="J61" s="1566">
        <v>0</v>
      </c>
      <c r="K61" s="1668">
        <f t="shared" si="7"/>
        <v>17865</v>
      </c>
      <c r="L61" s="1565">
        <v>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212466</v>
      </c>
      <c r="D63" s="1565">
        <v>42750</v>
      </c>
      <c r="E63" s="1565">
        <v>3487</v>
      </c>
      <c r="F63" s="1565">
        <v>272682</v>
      </c>
      <c r="G63" s="1565">
        <v>0</v>
      </c>
      <c r="H63" s="1565">
        <v>0</v>
      </c>
      <c r="I63" s="1566">
        <v>5539</v>
      </c>
      <c r="J63" s="1566">
        <v>0</v>
      </c>
      <c r="K63" s="1668">
        <f t="shared" si="7"/>
        <v>536924</v>
      </c>
      <c r="L63" s="1565">
        <v>616314</v>
      </c>
    </row>
    <row r="64" spans="1:14" s="501" customFormat="1" x14ac:dyDescent="0.2">
      <c r="A64" s="1272" t="s">
        <v>101</v>
      </c>
      <c r="B64" s="513">
        <v>2570</v>
      </c>
      <c r="C64" s="1577">
        <v>15723</v>
      </c>
      <c r="D64" s="1577">
        <v>122</v>
      </c>
      <c r="E64" s="1577">
        <v>0</v>
      </c>
      <c r="F64" s="1577">
        <v>52544</v>
      </c>
      <c r="G64" s="1577">
        <v>0</v>
      </c>
      <c r="H64" s="1577">
        <v>0</v>
      </c>
      <c r="I64" s="1566">
        <v>1945</v>
      </c>
      <c r="J64" s="1566">
        <v>0</v>
      </c>
      <c r="K64" s="1668">
        <f t="shared" si="7"/>
        <v>70334</v>
      </c>
      <c r="L64" s="1577">
        <v>78000</v>
      </c>
    </row>
    <row r="65" spans="1:14" s="321" customFormat="1" ht="12.75" customHeight="1" thickBot="1" x14ac:dyDescent="0.25">
      <c r="A65" s="1373" t="s">
        <v>713</v>
      </c>
      <c r="B65" s="1374" t="s">
        <v>35</v>
      </c>
      <c r="C65" s="1664">
        <f>SUM(C59:C64)</f>
        <v>568684</v>
      </c>
      <c r="D65" s="1664">
        <f t="shared" ref="D65:L65" si="8">SUM(D59:D64)</f>
        <v>84411</v>
      </c>
      <c r="E65" s="1664">
        <f t="shared" si="8"/>
        <v>21418</v>
      </c>
      <c r="F65" s="1664">
        <f t="shared" si="8"/>
        <v>346033</v>
      </c>
      <c r="G65" s="1664">
        <f t="shared" si="8"/>
        <v>0</v>
      </c>
      <c r="H65" s="1664">
        <f t="shared" si="8"/>
        <v>7416</v>
      </c>
      <c r="I65" s="1664">
        <f t="shared" si="8"/>
        <v>9756</v>
      </c>
      <c r="J65" s="1664">
        <f t="shared" si="8"/>
        <v>0</v>
      </c>
      <c r="K65" s="1664">
        <f t="shared" si="8"/>
        <v>1037718</v>
      </c>
      <c r="L65" s="1664">
        <f t="shared" si="8"/>
        <v>1084335</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0</v>
      </c>
      <c r="F69" s="1565">
        <v>0</v>
      </c>
      <c r="G69" s="1565">
        <v>0</v>
      </c>
      <c r="H69" s="1565">
        <v>0</v>
      </c>
      <c r="I69" s="1566">
        <v>0</v>
      </c>
      <c r="J69" s="1566">
        <v>0</v>
      </c>
      <c r="K69" s="1668">
        <f>SUM(C69:J69)</f>
        <v>0</v>
      </c>
      <c r="L69" s="1565">
        <v>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0</v>
      </c>
      <c r="M70" s="501"/>
      <c r="N70" s="501"/>
    </row>
    <row r="71" spans="1:14" s="321" customFormat="1" x14ac:dyDescent="0.2">
      <c r="A71" s="1267" t="s">
        <v>401</v>
      </c>
      <c r="B71" s="503">
        <v>2660</v>
      </c>
      <c r="C71" s="1565">
        <v>0</v>
      </c>
      <c r="D71" s="1565">
        <v>0</v>
      </c>
      <c r="E71" s="1565">
        <v>0</v>
      </c>
      <c r="F71" s="1565">
        <v>0</v>
      </c>
      <c r="G71" s="1565">
        <v>0</v>
      </c>
      <c r="H71" s="1565">
        <v>0</v>
      </c>
      <c r="I71" s="1566">
        <v>0</v>
      </c>
      <c r="J71" s="1566">
        <v>0</v>
      </c>
      <c r="K71" s="1668">
        <f>SUM(C71:J71)</f>
        <v>0</v>
      </c>
      <c r="L71" s="1565">
        <v>0</v>
      </c>
      <c r="M71" s="501"/>
      <c r="N71" s="501"/>
    </row>
    <row r="72" spans="1:14" s="321" customFormat="1" ht="12.75" customHeight="1" thickBot="1" x14ac:dyDescent="0.25">
      <c r="A72" s="1373" t="s">
        <v>37</v>
      </c>
      <c r="B72" s="1376"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501"/>
      <c r="N72" s="501"/>
    </row>
    <row r="73" spans="1:14" s="321" customFormat="1" ht="14.25" thickTop="1" thickBot="1" x14ac:dyDescent="0.25">
      <c r="A73" s="1273" t="s">
        <v>972</v>
      </c>
      <c r="B73" s="515" t="s">
        <v>570</v>
      </c>
      <c r="C73" s="1639">
        <v>0</v>
      </c>
      <c r="D73" s="1639">
        <v>0</v>
      </c>
      <c r="E73" s="1639">
        <v>0</v>
      </c>
      <c r="F73" s="1639">
        <v>972</v>
      </c>
      <c r="G73" s="1639">
        <v>0</v>
      </c>
      <c r="H73" s="1639">
        <v>0</v>
      </c>
      <c r="I73" s="1617">
        <v>0</v>
      </c>
      <c r="J73" s="1617">
        <v>0</v>
      </c>
      <c r="K73" s="1664">
        <f>SUM(C73:J73)</f>
        <v>972</v>
      </c>
      <c r="L73" s="1641">
        <v>2500</v>
      </c>
      <c r="M73" s="501"/>
      <c r="N73" s="501"/>
    </row>
    <row r="74" spans="1:14" ht="12.75" customHeight="1" thickTop="1" thickBot="1" x14ac:dyDescent="0.25">
      <c r="A74" s="1373" t="s">
        <v>805</v>
      </c>
      <c r="B74" s="1377">
        <v>2000</v>
      </c>
      <c r="C74" s="1671">
        <f>SUM(C42,C47,C53,C57,C65,C72,C73)</f>
        <v>5295754</v>
      </c>
      <c r="D74" s="1671">
        <f t="shared" ref="D74:K74" si="10">SUM(D42,D47,D53,D57,D65,D72,D73)</f>
        <v>855664</v>
      </c>
      <c r="E74" s="1671">
        <f t="shared" si="10"/>
        <v>579306</v>
      </c>
      <c r="F74" s="1671">
        <f t="shared" si="10"/>
        <v>464771</v>
      </c>
      <c r="G74" s="1671">
        <f t="shared" si="10"/>
        <v>36739</v>
      </c>
      <c r="H74" s="1671">
        <f t="shared" si="10"/>
        <v>19306</v>
      </c>
      <c r="I74" s="1671">
        <f t="shared" si="10"/>
        <v>581737</v>
      </c>
      <c r="J74" s="1671">
        <f t="shared" si="10"/>
        <v>0</v>
      </c>
      <c r="K74" s="1671">
        <f t="shared" si="10"/>
        <v>7833277</v>
      </c>
      <c r="L74" s="1671">
        <f>SUM(L42,L47,L53,L57,L65,L72,L73)</f>
        <v>8323643</v>
      </c>
    </row>
    <row r="75" spans="1:14" s="254" customFormat="1" ht="15.75" customHeight="1" thickTop="1" thickBot="1" x14ac:dyDescent="0.25">
      <c r="A75" s="1341" t="s">
        <v>47</v>
      </c>
      <c r="B75" s="1342" t="s">
        <v>571</v>
      </c>
      <c r="C75" s="1639">
        <v>116066</v>
      </c>
      <c r="D75" s="1639">
        <v>878</v>
      </c>
      <c r="E75" s="1639">
        <v>55245</v>
      </c>
      <c r="F75" s="1639">
        <v>1278</v>
      </c>
      <c r="G75" s="1639">
        <v>0</v>
      </c>
      <c r="H75" s="1639">
        <v>0</v>
      </c>
      <c r="I75" s="1617">
        <v>0</v>
      </c>
      <c r="J75" s="1617">
        <v>0</v>
      </c>
      <c r="K75" s="1664">
        <f>SUM(C75:J75)</f>
        <v>173467</v>
      </c>
      <c r="L75" s="1641">
        <v>200728</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478740</v>
      </c>
      <c r="F79" s="1663"/>
      <c r="G79" s="1663"/>
      <c r="H79" s="1565">
        <v>0</v>
      </c>
      <c r="I79" s="1573"/>
      <c r="J79" s="1573"/>
      <c r="K79" s="1662">
        <f t="shared" si="11"/>
        <v>478740</v>
      </c>
      <c r="L79" s="1565">
        <v>1113000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478740</v>
      </c>
      <c r="F84" s="1663"/>
      <c r="G84" s="1663"/>
      <c r="H84" s="1664">
        <f>SUM(H78:H83)</f>
        <v>0</v>
      </c>
      <c r="I84" s="1573"/>
      <c r="J84" s="1573"/>
      <c r="K84" s="1664">
        <f>SUM(K78:K83)</f>
        <v>478740</v>
      </c>
      <c r="L84" s="1664">
        <f>SUM(L78:L83)</f>
        <v>1113000</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231603</v>
      </c>
      <c r="I86" s="1573"/>
      <c r="J86" s="1573"/>
      <c r="K86" s="1671">
        <f t="shared" ref="K86:K98" si="12">H86</f>
        <v>231603</v>
      </c>
      <c r="L86" s="1616">
        <v>277000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231603</v>
      </c>
      <c r="I92" s="1573"/>
      <c r="J92" s="1573"/>
      <c r="K92" s="1671">
        <f t="shared" si="12"/>
        <v>231603</v>
      </c>
      <c r="L92" s="1664">
        <f>SUM(L85:L91)</f>
        <v>277000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478740</v>
      </c>
      <c r="F102" s="1663"/>
      <c r="G102" s="1663"/>
      <c r="H102" s="1671">
        <f>SUM(H84,H92,H100,H101)</f>
        <v>231603</v>
      </c>
      <c r="I102" s="1573"/>
      <c r="J102" s="1573"/>
      <c r="K102" s="1671">
        <f>SUM(K84,K92,K100,K101)</f>
        <v>710343</v>
      </c>
      <c r="L102" s="1671">
        <f>SUM(L84,L92,L100,L101)</f>
        <v>1390000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18143817</v>
      </c>
      <c r="D114" s="1664">
        <f t="shared" ref="D114:K114" si="13">SUM(D33,D74,D75,D102,D112,D113)</f>
        <v>3379235</v>
      </c>
      <c r="E114" s="1664">
        <f t="shared" si="13"/>
        <v>1496330</v>
      </c>
      <c r="F114" s="1664">
        <f t="shared" si="13"/>
        <v>824882</v>
      </c>
      <c r="G114" s="1664">
        <f t="shared" si="13"/>
        <v>203196</v>
      </c>
      <c r="H114" s="1664">
        <f>SUM(H33,H74,H75,H102,H112,H113)</f>
        <v>1892454</v>
      </c>
      <c r="I114" s="1664">
        <f t="shared" si="13"/>
        <v>663636</v>
      </c>
      <c r="J114" s="1664">
        <f t="shared" si="13"/>
        <v>0</v>
      </c>
      <c r="K114" s="1664">
        <f t="shared" si="13"/>
        <v>26603550</v>
      </c>
      <c r="L114" s="1664">
        <f>SUM(L33,L74,L75,L102,L112,L113)</f>
        <v>28416607</v>
      </c>
    </row>
    <row r="115" spans="1:14" ht="13.5" thickTop="1" x14ac:dyDescent="0.2">
      <c r="A115" s="2465" t="s">
        <v>988</v>
      </c>
      <c r="B115" s="2466"/>
      <c r="C115" s="1665"/>
      <c r="D115" s="1665"/>
      <c r="E115" s="1665"/>
      <c r="F115" s="1665"/>
      <c r="G115" s="1665"/>
      <c r="H115" s="1665"/>
      <c r="I115" s="1665"/>
      <c r="J115" s="1665"/>
      <c r="K115" s="1679">
        <f>'Revenues 9-14'!C268-'Expenditures 15-22'!K114</f>
        <v>2317740</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470" t="s">
        <v>293</v>
      </c>
      <c r="B117" s="2471"/>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1957</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910209</v>
      </c>
      <c r="H123" s="1565">
        <v>0</v>
      </c>
      <c r="I123" s="1566">
        <v>0</v>
      </c>
      <c r="J123" s="1566">
        <v>0</v>
      </c>
      <c r="K123" s="1664">
        <f>SUM(C123:J123)</f>
        <v>910209</v>
      </c>
      <c r="L123" s="1565">
        <v>870000</v>
      </c>
    </row>
    <row r="124" spans="1:14" ht="14.25" thickTop="1" thickBot="1" x14ac:dyDescent="0.25">
      <c r="A124" s="1267" t="s">
        <v>195</v>
      </c>
      <c r="B124" s="503">
        <v>2540</v>
      </c>
      <c r="C124" s="1565">
        <v>700819</v>
      </c>
      <c r="D124" s="1565">
        <v>98905</v>
      </c>
      <c r="E124" s="1565">
        <v>1284241</v>
      </c>
      <c r="F124" s="1565">
        <v>745861</v>
      </c>
      <c r="G124" s="1565">
        <v>40712</v>
      </c>
      <c r="H124" s="1565">
        <v>0</v>
      </c>
      <c r="I124" s="1566">
        <v>139553</v>
      </c>
      <c r="J124" s="1566">
        <v>0</v>
      </c>
      <c r="K124" s="1664">
        <f>SUM(C124:J124)</f>
        <v>3010091</v>
      </c>
      <c r="L124" s="1565">
        <v>3193953</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700819</v>
      </c>
      <c r="D127" s="1664">
        <f t="shared" ref="D127:L127" si="14">SUM(D122:D126)</f>
        <v>98905</v>
      </c>
      <c r="E127" s="1664">
        <f t="shared" si="14"/>
        <v>1284241</v>
      </c>
      <c r="F127" s="1664">
        <f t="shared" si="14"/>
        <v>745861</v>
      </c>
      <c r="G127" s="1664">
        <f t="shared" si="14"/>
        <v>950921</v>
      </c>
      <c r="H127" s="1664">
        <f t="shared" si="14"/>
        <v>0</v>
      </c>
      <c r="I127" s="1664">
        <f t="shared" si="14"/>
        <v>139553</v>
      </c>
      <c r="J127" s="1664">
        <f t="shared" si="14"/>
        <v>0</v>
      </c>
      <c r="K127" s="1664">
        <f t="shared" si="14"/>
        <v>3920300</v>
      </c>
      <c r="L127" s="1664">
        <f t="shared" si="14"/>
        <v>4063953</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700819</v>
      </c>
      <c r="D129" s="1671">
        <f t="shared" ref="D129:L129" si="15">SUM(D120,D127,D128)</f>
        <v>98905</v>
      </c>
      <c r="E129" s="1671">
        <f t="shared" si="15"/>
        <v>1284241</v>
      </c>
      <c r="F129" s="1671">
        <f t="shared" si="15"/>
        <v>745861</v>
      </c>
      <c r="G129" s="1671">
        <f t="shared" si="15"/>
        <v>950921</v>
      </c>
      <c r="H129" s="1671">
        <f t="shared" si="15"/>
        <v>0</v>
      </c>
      <c r="I129" s="1671">
        <f t="shared" si="15"/>
        <v>139553</v>
      </c>
      <c r="J129" s="1671">
        <f t="shared" si="15"/>
        <v>0</v>
      </c>
      <c r="K129" s="1671">
        <f t="shared" si="15"/>
        <v>3920300</v>
      </c>
      <c r="L129" s="1671">
        <f t="shared" si="15"/>
        <v>4063953</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1810</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482" t="s">
        <v>616</v>
      </c>
      <c r="B151" s="2462"/>
      <c r="C151" s="1664">
        <f>SUM(C129,C130,C139,C149,C150)</f>
        <v>700819</v>
      </c>
      <c r="D151" s="1664">
        <f t="shared" ref="D151:K151" si="16">SUM(D129,D130,D139,D149,D150)</f>
        <v>98905</v>
      </c>
      <c r="E151" s="1664">
        <f t="shared" si="16"/>
        <v>1284241</v>
      </c>
      <c r="F151" s="1664">
        <f t="shared" si="16"/>
        <v>745861</v>
      </c>
      <c r="G151" s="1664">
        <f t="shared" si="16"/>
        <v>950921</v>
      </c>
      <c r="H151" s="1664">
        <f t="shared" si="16"/>
        <v>0</v>
      </c>
      <c r="I151" s="1664">
        <f t="shared" si="16"/>
        <v>139553</v>
      </c>
      <c r="J151" s="1664">
        <f t="shared" si="16"/>
        <v>0</v>
      </c>
      <c r="K151" s="1664">
        <f t="shared" si="16"/>
        <v>3920300</v>
      </c>
      <c r="L151" s="1664">
        <f>SUM(L129,L130,L139,L149,L150)</f>
        <v>4063953</v>
      </c>
    </row>
    <row r="152" spans="1:14" ht="12.75" customHeight="1" thickTop="1" x14ac:dyDescent="0.2">
      <c r="A152" s="2485" t="s">
        <v>1167</v>
      </c>
      <c r="B152" s="2486"/>
      <c r="C152" s="1665"/>
      <c r="D152" s="1665"/>
      <c r="E152" s="1665"/>
      <c r="F152" s="1665"/>
      <c r="G152" s="1665"/>
      <c r="H152" s="1665"/>
      <c r="I152" s="1665"/>
      <c r="J152" s="1663"/>
      <c r="K152" s="1679">
        <f>'Revenues 9-14'!D268-'Expenditures 15-22'!K151</f>
        <v>-881089</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470" t="s">
        <v>617</v>
      </c>
      <c r="B154" s="2472"/>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1811</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1810</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1812</v>
      </c>
      <c r="C158" s="1663"/>
      <c r="D158" s="1663"/>
      <c r="E158" s="1663"/>
      <c r="F158" s="1663"/>
      <c r="G158" s="1663"/>
      <c r="H158" s="1566">
        <v>0</v>
      </c>
      <c r="I158" s="1663"/>
      <c r="J158" s="1663"/>
      <c r="K158" s="1662">
        <f>H158</f>
        <v>0</v>
      </c>
      <c r="L158" s="1566">
        <v>0</v>
      </c>
      <c r="M158" s="505"/>
      <c r="N158" s="505"/>
    </row>
    <row r="159" spans="1:14" s="506" customFormat="1" ht="12" x14ac:dyDescent="0.2">
      <c r="A159" s="1455" t="s">
        <v>1813</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1814</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1611983</v>
      </c>
      <c r="I169" s="1663"/>
      <c r="J169" s="1663"/>
      <c r="K169" s="1662">
        <f>SUM(C169:H169)</f>
        <v>1611983</v>
      </c>
      <c r="L169" s="1685">
        <v>1611983</v>
      </c>
    </row>
    <row r="170" spans="1:14" ht="33.75" customHeight="1" x14ac:dyDescent="0.2">
      <c r="A170" s="543" t="s">
        <v>1648</v>
      </c>
      <c r="B170" s="545" t="s">
        <v>31</v>
      </c>
      <c r="C170" s="1663"/>
      <c r="D170" s="1663"/>
      <c r="E170" s="1663"/>
      <c r="F170" s="1663"/>
      <c r="G170" s="1663"/>
      <c r="H170" s="1636">
        <v>4665000</v>
      </c>
      <c r="I170" s="1663"/>
      <c r="J170" s="1663"/>
      <c r="K170" s="1662">
        <f>SUM(C170:J170)</f>
        <v>4665000</v>
      </c>
      <c r="L170" s="1636">
        <v>4665000</v>
      </c>
    </row>
    <row r="171" spans="1:14" ht="15.75" customHeight="1" x14ac:dyDescent="0.2">
      <c r="A171" s="507" t="s">
        <v>760</v>
      </c>
      <c r="B171" s="546" t="s">
        <v>84</v>
      </c>
      <c r="C171" s="1663"/>
      <c r="D171" s="1663"/>
      <c r="E171" s="1565">
        <v>0</v>
      </c>
      <c r="F171" s="1663"/>
      <c r="G171" s="1663"/>
      <c r="H171" s="1636">
        <v>800</v>
      </c>
      <c r="I171" s="1573"/>
      <c r="J171" s="1663"/>
      <c r="K171" s="1662">
        <f>SUM(C171:J171)</f>
        <v>800</v>
      </c>
      <c r="L171" s="1636">
        <v>1000</v>
      </c>
    </row>
    <row r="172" spans="1:14" ht="12.75" customHeight="1" thickBot="1" x14ac:dyDescent="0.25">
      <c r="A172" s="1373" t="s">
        <v>633</v>
      </c>
      <c r="B172" s="1374" t="s">
        <v>489</v>
      </c>
      <c r="C172" s="1663"/>
      <c r="D172" s="1663"/>
      <c r="E172" s="1671">
        <f>SUM(E168,E169,E170,E171)</f>
        <v>0</v>
      </c>
      <c r="F172" s="1663"/>
      <c r="G172" s="1663"/>
      <c r="H172" s="1671">
        <f>SUM(H168,H169,H170,H171)</f>
        <v>6277783</v>
      </c>
      <c r="I172" s="1674"/>
      <c r="J172" s="1663"/>
      <c r="K172" s="1671">
        <f>SUM(K168,K169,K170,K171)</f>
        <v>6277783</v>
      </c>
      <c r="L172" s="1671">
        <f>SUM(L168,L169,L170,L171)</f>
        <v>6277983</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6277783</v>
      </c>
      <c r="I174" s="1674"/>
      <c r="J174" s="1663"/>
      <c r="K174" s="1671">
        <f>SUM(K160,K172,K173)</f>
        <v>6277783</v>
      </c>
      <c r="L174" s="1671">
        <f>SUM(L160,L172,L173)</f>
        <v>6277983</v>
      </c>
    </row>
    <row r="175" spans="1:14" ht="13.5" thickTop="1" x14ac:dyDescent="0.2">
      <c r="A175" s="2465" t="s">
        <v>988</v>
      </c>
      <c r="B175" s="2466"/>
      <c r="C175" s="1663"/>
      <c r="D175" s="1663"/>
      <c r="E175" s="1663"/>
      <c r="F175" s="1663"/>
      <c r="G175" s="1663"/>
      <c r="H175" s="1665"/>
      <c r="I175" s="1663"/>
      <c r="J175" s="1663"/>
      <c r="K175" s="1679">
        <f>'Revenues 9-14'!E268-'Expenditures 15-22'!K174</f>
        <v>-2388642</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1957</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675480</v>
      </c>
      <c r="D182" s="1565">
        <v>23953</v>
      </c>
      <c r="E182" s="1565">
        <v>530610</v>
      </c>
      <c r="F182" s="1565">
        <v>93916</v>
      </c>
      <c r="G182" s="1565">
        <v>0</v>
      </c>
      <c r="H182" s="1565">
        <v>0</v>
      </c>
      <c r="I182" s="1566">
        <v>2333</v>
      </c>
      <c r="J182" s="1566">
        <v>0</v>
      </c>
      <c r="K182" s="1662">
        <f>SUM(C182:J182)</f>
        <v>1326292</v>
      </c>
      <c r="L182" s="1565">
        <v>1417190</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675480</v>
      </c>
      <c r="D184" s="1671">
        <f t="shared" ref="D184:J184" si="17">SUM(D180,D182,D183)</f>
        <v>23953</v>
      </c>
      <c r="E184" s="1671">
        <f t="shared" si="17"/>
        <v>530610</v>
      </c>
      <c r="F184" s="1671">
        <f t="shared" si="17"/>
        <v>93916</v>
      </c>
      <c r="G184" s="1671">
        <f t="shared" si="17"/>
        <v>0</v>
      </c>
      <c r="H184" s="1671">
        <f t="shared" si="17"/>
        <v>0</v>
      </c>
      <c r="I184" s="1671">
        <f t="shared" si="17"/>
        <v>2333</v>
      </c>
      <c r="J184" s="1671">
        <f t="shared" si="17"/>
        <v>0</v>
      </c>
      <c r="K184" s="1671">
        <f>SUM(K180,K182,K183)</f>
        <v>1326292</v>
      </c>
      <c r="L184" s="1671">
        <f>SUM(L180, L182:L183)</f>
        <v>1417190</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675480</v>
      </c>
      <c r="D210" s="1664">
        <f>SUM(D184,D185)</f>
        <v>23953</v>
      </c>
      <c r="E210" s="1664">
        <f>SUM(E184,E185,E196)</f>
        <v>530610</v>
      </c>
      <c r="F210" s="1664">
        <f>SUM(F184,F185)</f>
        <v>93916</v>
      </c>
      <c r="G210" s="1664">
        <f>SUM(G184,G185)</f>
        <v>0</v>
      </c>
      <c r="H210" s="1664">
        <f>SUM(H184,H185,H196,H208,H209)</f>
        <v>0</v>
      </c>
      <c r="I210" s="1664">
        <f>SUM(I184,I185)</f>
        <v>2333</v>
      </c>
      <c r="J210" s="1664">
        <f>SUM(J184,J185)</f>
        <v>0</v>
      </c>
      <c r="K210" s="1662">
        <f>SUM(K184,K185,K196,K208,K209)</f>
        <v>1326292</v>
      </c>
      <c r="L210" s="1664">
        <f>SUM(L184,L185,L196,L208,L209)</f>
        <v>1417190</v>
      </c>
    </row>
    <row r="211" spans="1:14" ht="13.5" thickTop="1" x14ac:dyDescent="0.2">
      <c r="A211" s="2465" t="s">
        <v>988</v>
      </c>
      <c r="B211" s="2466"/>
      <c r="C211" s="1665"/>
      <c r="D211" s="1665"/>
      <c r="E211" s="1665"/>
      <c r="F211" s="1665"/>
      <c r="G211" s="1665"/>
      <c r="H211" s="1665"/>
      <c r="I211" s="1663"/>
      <c r="J211" s="1663"/>
      <c r="K211" s="1679">
        <f>'Revenues 9-14'!F268-'Expenditures 15-22'!K210</f>
        <v>-32155</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487" t="s">
        <v>958</v>
      </c>
      <c r="B213" s="2488"/>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153380</v>
      </c>
      <c r="E215" s="1663"/>
      <c r="F215" s="1663"/>
      <c r="G215" s="1663"/>
      <c r="H215" s="1663"/>
      <c r="I215" s="1663"/>
      <c r="J215" s="1663"/>
      <c r="K215" s="1662">
        <f>D215</f>
        <v>153380</v>
      </c>
      <c r="L215" s="1565">
        <v>142197</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98582</v>
      </c>
      <c r="E217" s="1663"/>
      <c r="F217" s="1663"/>
      <c r="G217" s="1663"/>
      <c r="H217" s="1663"/>
      <c r="I217" s="1663"/>
      <c r="J217" s="1663"/>
      <c r="K217" s="1662">
        <f t="shared" si="19"/>
        <v>98582</v>
      </c>
      <c r="L217" s="1565">
        <v>110489</v>
      </c>
    </row>
    <row r="218" spans="1:14" x14ac:dyDescent="0.2">
      <c r="A218" s="1267" t="s">
        <v>276</v>
      </c>
      <c r="B218" s="503" t="s">
        <v>961</v>
      </c>
      <c r="C218" s="1663"/>
      <c r="D218" s="1566">
        <v>0</v>
      </c>
      <c r="E218" s="1663"/>
      <c r="F218" s="1663"/>
      <c r="G218" s="1663"/>
      <c r="H218" s="1663"/>
      <c r="I218" s="1663"/>
      <c r="J218" s="1663"/>
      <c r="K218" s="1662">
        <f t="shared" si="19"/>
        <v>0</v>
      </c>
      <c r="L218" s="1565">
        <v>0</v>
      </c>
    </row>
    <row r="219" spans="1:14" x14ac:dyDescent="0.2">
      <c r="A219" s="1267" t="s">
        <v>277</v>
      </c>
      <c r="B219" s="503">
        <v>1250</v>
      </c>
      <c r="C219" s="1663"/>
      <c r="D219" s="1565">
        <v>10001</v>
      </c>
      <c r="E219" s="1663"/>
      <c r="F219" s="1663"/>
      <c r="G219" s="1663"/>
      <c r="H219" s="1663"/>
      <c r="I219" s="1663"/>
      <c r="J219" s="1663"/>
      <c r="K219" s="1662">
        <f t="shared" si="19"/>
        <v>10001</v>
      </c>
      <c r="L219" s="1565">
        <v>7922</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802</v>
      </c>
      <c r="E222" s="1663"/>
      <c r="F222" s="1663"/>
      <c r="G222" s="1663"/>
      <c r="H222" s="1663"/>
      <c r="I222" s="1663"/>
      <c r="J222" s="1663"/>
      <c r="K222" s="1662">
        <f t="shared" si="19"/>
        <v>802</v>
      </c>
      <c r="L222" s="1565">
        <v>15077</v>
      </c>
    </row>
    <row r="223" spans="1:14" x14ac:dyDescent="0.2">
      <c r="A223" s="1267" t="s">
        <v>956</v>
      </c>
      <c r="B223" s="503">
        <v>1500</v>
      </c>
      <c r="C223" s="1663"/>
      <c r="D223" s="1565">
        <v>21544</v>
      </c>
      <c r="E223" s="1663"/>
      <c r="F223" s="1663"/>
      <c r="G223" s="1663"/>
      <c r="H223" s="1663"/>
      <c r="I223" s="1663"/>
      <c r="J223" s="1663"/>
      <c r="K223" s="1662">
        <f t="shared" si="19"/>
        <v>21544</v>
      </c>
      <c r="L223" s="1565">
        <v>20836</v>
      </c>
    </row>
    <row r="224" spans="1:14" x14ac:dyDescent="0.2">
      <c r="A224" s="1267" t="s">
        <v>957</v>
      </c>
      <c r="B224" s="503">
        <v>1600</v>
      </c>
      <c r="C224" s="1663"/>
      <c r="D224" s="1565">
        <v>2879</v>
      </c>
      <c r="E224" s="1663"/>
      <c r="F224" s="1663"/>
      <c r="G224" s="1663"/>
      <c r="H224" s="1663"/>
      <c r="I224" s="1663"/>
      <c r="J224" s="1663"/>
      <c r="K224" s="1662">
        <f t="shared" si="19"/>
        <v>2879</v>
      </c>
      <c r="L224" s="1565">
        <v>1633</v>
      </c>
    </row>
    <row r="225" spans="1:12" x14ac:dyDescent="0.2">
      <c r="A225" s="1267" t="s">
        <v>979</v>
      </c>
      <c r="B225" s="503">
        <v>1650</v>
      </c>
      <c r="C225" s="1663"/>
      <c r="D225" s="1565">
        <v>0</v>
      </c>
      <c r="E225" s="1663"/>
      <c r="F225" s="1663"/>
      <c r="G225" s="1663"/>
      <c r="H225" s="1663"/>
      <c r="I225" s="1663"/>
      <c r="J225" s="1663"/>
      <c r="K225" s="1662">
        <f t="shared" si="19"/>
        <v>0</v>
      </c>
      <c r="L225" s="1565">
        <v>0</v>
      </c>
    </row>
    <row r="226" spans="1:12" x14ac:dyDescent="0.2">
      <c r="A226" s="1267" t="s">
        <v>718</v>
      </c>
      <c r="B226" s="503" t="s">
        <v>161</v>
      </c>
      <c r="C226" s="1663"/>
      <c r="D226" s="1566">
        <v>3843</v>
      </c>
      <c r="E226" s="1663"/>
      <c r="F226" s="1663"/>
      <c r="G226" s="1663"/>
      <c r="H226" s="1663"/>
      <c r="I226" s="1663"/>
      <c r="J226" s="1663"/>
      <c r="K226" s="1662">
        <f t="shared" si="19"/>
        <v>3843</v>
      </c>
      <c r="L226" s="1565">
        <v>3604</v>
      </c>
    </row>
    <row r="227" spans="1:12" x14ac:dyDescent="0.2">
      <c r="A227" s="1267" t="s">
        <v>1077</v>
      </c>
      <c r="B227" s="503">
        <v>1800</v>
      </c>
      <c r="C227" s="1663"/>
      <c r="D227" s="1565">
        <v>0</v>
      </c>
      <c r="E227" s="1663"/>
      <c r="F227" s="1663"/>
      <c r="G227" s="1663"/>
      <c r="H227" s="1663"/>
      <c r="I227" s="1663"/>
      <c r="J227" s="1663"/>
      <c r="K227" s="1662">
        <f t="shared" si="19"/>
        <v>0</v>
      </c>
      <c r="L227" s="1565">
        <v>0</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291031</v>
      </c>
      <c r="E229" s="1663"/>
      <c r="F229" s="1663"/>
      <c r="G229" s="1663"/>
      <c r="H229" s="1663"/>
      <c r="I229" s="1663"/>
      <c r="J229" s="1663"/>
      <c r="K229" s="1664">
        <f>SUM(K215:K228)</f>
        <v>291031</v>
      </c>
      <c r="L229" s="1664">
        <f>SUM(L215:L228)</f>
        <v>301758</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4797</v>
      </c>
      <c r="E232" s="1663"/>
      <c r="F232" s="1663"/>
      <c r="G232" s="1663"/>
      <c r="H232" s="1663"/>
      <c r="I232" s="1663"/>
      <c r="J232" s="1663"/>
      <c r="K232" s="1662">
        <f t="shared" ref="K232:K237" si="20">D232</f>
        <v>4797</v>
      </c>
      <c r="L232" s="1565">
        <v>3829</v>
      </c>
    </row>
    <row r="233" spans="1:12" x14ac:dyDescent="0.2">
      <c r="A233" s="1267" t="s">
        <v>1080</v>
      </c>
      <c r="B233" s="503">
        <v>2120</v>
      </c>
      <c r="C233" s="1663"/>
      <c r="D233" s="1565">
        <v>13147</v>
      </c>
      <c r="E233" s="1663"/>
      <c r="F233" s="1663"/>
      <c r="G233" s="1663"/>
      <c r="H233" s="1663"/>
      <c r="I233" s="1663"/>
      <c r="J233" s="1663"/>
      <c r="K233" s="1662">
        <f t="shared" si="20"/>
        <v>13147</v>
      </c>
      <c r="L233" s="1565">
        <v>14048</v>
      </c>
    </row>
    <row r="234" spans="1:12" x14ac:dyDescent="0.2">
      <c r="A234" s="1267" t="s">
        <v>196</v>
      </c>
      <c r="B234" s="503">
        <v>2130</v>
      </c>
      <c r="C234" s="1663"/>
      <c r="D234" s="1565">
        <v>14870</v>
      </c>
      <c r="E234" s="1663"/>
      <c r="F234" s="1663"/>
      <c r="G234" s="1663"/>
      <c r="H234" s="1663"/>
      <c r="I234" s="1663"/>
      <c r="J234" s="1663"/>
      <c r="K234" s="1662">
        <f t="shared" si="20"/>
        <v>14870</v>
      </c>
      <c r="L234" s="1565">
        <v>3411</v>
      </c>
    </row>
    <row r="235" spans="1:12" x14ac:dyDescent="0.2">
      <c r="A235" s="1267" t="s">
        <v>197</v>
      </c>
      <c r="B235" s="503">
        <v>2140</v>
      </c>
      <c r="C235" s="1663"/>
      <c r="D235" s="1565">
        <v>3451</v>
      </c>
      <c r="E235" s="1663"/>
      <c r="F235" s="1663"/>
      <c r="G235" s="1663"/>
      <c r="H235" s="1663"/>
      <c r="I235" s="1663"/>
      <c r="J235" s="1663"/>
      <c r="K235" s="1662">
        <f t="shared" si="20"/>
        <v>3451</v>
      </c>
      <c r="L235" s="1565">
        <v>2813</v>
      </c>
    </row>
    <row r="236" spans="1:12" x14ac:dyDescent="0.2">
      <c r="A236" s="1267" t="s">
        <v>198</v>
      </c>
      <c r="B236" s="503">
        <v>2150</v>
      </c>
      <c r="C236" s="1663"/>
      <c r="D236" s="1565">
        <v>0</v>
      </c>
      <c r="E236" s="1663"/>
      <c r="F236" s="1663"/>
      <c r="G236" s="1663"/>
      <c r="H236" s="1663"/>
      <c r="I236" s="1663"/>
      <c r="J236" s="1663"/>
      <c r="K236" s="1662">
        <f t="shared" si="20"/>
        <v>0</v>
      </c>
      <c r="L236" s="1565">
        <v>0</v>
      </c>
    </row>
    <row r="237" spans="1:12" x14ac:dyDescent="0.2">
      <c r="A237" s="1267" t="s">
        <v>164</v>
      </c>
      <c r="B237" s="503">
        <v>2190</v>
      </c>
      <c r="C237" s="1663"/>
      <c r="D237" s="1565">
        <v>23852</v>
      </c>
      <c r="E237" s="1663"/>
      <c r="F237" s="1663"/>
      <c r="G237" s="1663"/>
      <c r="H237" s="1663"/>
      <c r="I237" s="1663"/>
      <c r="J237" s="1663"/>
      <c r="K237" s="1662">
        <f t="shared" si="20"/>
        <v>23852</v>
      </c>
      <c r="L237" s="1565">
        <v>21891</v>
      </c>
    </row>
    <row r="238" spans="1:12" ht="12.75" customHeight="1" thickBot="1" x14ac:dyDescent="0.25">
      <c r="A238" s="1373" t="s">
        <v>556</v>
      </c>
      <c r="B238" s="1376" t="s">
        <v>710</v>
      </c>
      <c r="C238" s="1663"/>
      <c r="D238" s="1664">
        <f>SUM(D232:D237)</f>
        <v>60117</v>
      </c>
      <c r="E238" s="1663"/>
      <c r="F238" s="1663"/>
      <c r="G238" s="1663"/>
      <c r="H238" s="1663"/>
      <c r="I238" s="1663"/>
      <c r="J238" s="1663"/>
      <c r="K238" s="1664">
        <f>SUM(K232:K237)</f>
        <v>60117</v>
      </c>
      <c r="L238" s="1664">
        <f>SUM(L232:L237)</f>
        <v>45992</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14403</v>
      </c>
      <c r="E240" s="1663"/>
      <c r="F240" s="1663"/>
      <c r="G240" s="1663"/>
      <c r="H240" s="1663"/>
      <c r="I240" s="1663"/>
      <c r="J240" s="1663"/>
      <c r="K240" s="1668">
        <f>D240</f>
        <v>14403</v>
      </c>
      <c r="L240" s="1577">
        <v>12427</v>
      </c>
    </row>
    <row r="241" spans="1:12" x14ac:dyDescent="0.2">
      <c r="A241" s="1267" t="s">
        <v>809</v>
      </c>
      <c r="B241" s="503">
        <v>2220</v>
      </c>
      <c r="C241" s="1663"/>
      <c r="D241" s="1565">
        <v>88880</v>
      </c>
      <c r="E241" s="1663"/>
      <c r="F241" s="1663"/>
      <c r="G241" s="1663"/>
      <c r="H241" s="1663"/>
      <c r="I241" s="1663"/>
      <c r="J241" s="1663"/>
      <c r="K241" s="1668">
        <f>D241</f>
        <v>88880</v>
      </c>
      <c r="L241" s="1565">
        <v>79355</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103283</v>
      </c>
      <c r="E243" s="1663"/>
      <c r="F243" s="1663"/>
      <c r="G243" s="1663"/>
      <c r="H243" s="1663"/>
      <c r="I243" s="1663"/>
      <c r="J243" s="1663"/>
      <c r="K243" s="1664">
        <f>SUM(K240:K242)</f>
        <v>103283</v>
      </c>
      <c r="L243" s="1664">
        <f>SUM(L240:L242)</f>
        <v>91782</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4231</v>
      </c>
      <c r="E245" s="1663"/>
      <c r="F245" s="1663"/>
      <c r="G245" s="1663"/>
      <c r="H245" s="1663"/>
      <c r="I245" s="1663"/>
      <c r="J245" s="1663"/>
      <c r="K245" s="1668">
        <f>D245</f>
        <v>4231</v>
      </c>
      <c r="L245" s="1577">
        <v>10505</v>
      </c>
    </row>
    <row r="246" spans="1:12" x14ac:dyDescent="0.2">
      <c r="A246" s="1267" t="s">
        <v>812</v>
      </c>
      <c r="B246" s="503">
        <v>2320</v>
      </c>
      <c r="C246" s="1663"/>
      <c r="D246" s="1565">
        <v>21504</v>
      </c>
      <c r="E246" s="1663"/>
      <c r="F246" s="1663"/>
      <c r="G246" s="1663"/>
      <c r="H246" s="1663"/>
      <c r="I246" s="1663"/>
      <c r="J246" s="1663"/>
      <c r="K246" s="1668">
        <f t="shared" ref="K246:K256" si="21">D246</f>
        <v>21504</v>
      </c>
      <c r="L246" s="1565">
        <v>12221</v>
      </c>
    </row>
    <row r="247" spans="1:12" x14ac:dyDescent="0.2">
      <c r="A247" s="1267" t="s">
        <v>813</v>
      </c>
      <c r="B247" s="503">
        <v>2330</v>
      </c>
      <c r="C247" s="1663"/>
      <c r="D247" s="1565">
        <v>0</v>
      </c>
      <c r="E247" s="1663"/>
      <c r="F247" s="1663"/>
      <c r="G247" s="1663"/>
      <c r="H247" s="1663"/>
      <c r="I247" s="1663"/>
      <c r="J247" s="1663"/>
      <c r="K247" s="1668">
        <f t="shared" si="21"/>
        <v>0</v>
      </c>
      <c r="L247" s="1565">
        <v>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1776</v>
      </c>
      <c r="B249" s="557" t="s">
        <v>280</v>
      </c>
      <c r="C249" s="1663"/>
      <c r="D249" s="1571">
        <v>0</v>
      </c>
      <c r="E249" s="1663"/>
      <c r="F249" s="1663"/>
      <c r="G249" s="1663"/>
      <c r="H249" s="1663"/>
      <c r="I249" s="1663"/>
      <c r="J249" s="1663"/>
      <c r="K249" s="1668">
        <f t="shared" si="21"/>
        <v>0</v>
      </c>
      <c r="L249" s="1565">
        <v>0</v>
      </c>
    </row>
    <row r="250" spans="1:12" x14ac:dyDescent="0.2">
      <c r="A250" s="1268" t="s">
        <v>1777</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25735</v>
      </c>
      <c r="E257" s="1663"/>
      <c r="F257" s="1663"/>
      <c r="G257" s="1663"/>
      <c r="H257" s="1663"/>
      <c r="I257" s="1663"/>
      <c r="J257" s="1663"/>
      <c r="K257" s="1664">
        <f>SUM(K245:K256)</f>
        <v>25735</v>
      </c>
      <c r="L257" s="1664">
        <f>SUM(L245:L256)</f>
        <v>22726</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81912</v>
      </c>
      <c r="E259" s="1663"/>
      <c r="F259" s="1663"/>
      <c r="G259" s="1663"/>
      <c r="H259" s="1663"/>
      <c r="I259" s="1663"/>
      <c r="J259" s="1663"/>
      <c r="K259" s="1668">
        <f>D259</f>
        <v>81912</v>
      </c>
      <c r="L259" s="1577">
        <v>83045</v>
      </c>
    </row>
    <row r="260" spans="1:14" s="493" customFormat="1" x14ac:dyDescent="0.2">
      <c r="A260" s="1285" t="s">
        <v>1775</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81912</v>
      </c>
      <c r="E261" s="1663"/>
      <c r="F261" s="1663"/>
      <c r="G261" s="1663"/>
      <c r="H261" s="1663"/>
      <c r="I261" s="1663"/>
      <c r="J261" s="1663"/>
      <c r="K261" s="1664">
        <f>SUM(K259:K260)</f>
        <v>81912</v>
      </c>
      <c r="L261" s="1664">
        <f>SUM(L259:L260)</f>
        <v>83045</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2730</v>
      </c>
      <c r="E263" s="1663"/>
      <c r="F263" s="1663"/>
      <c r="G263" s="1663"/>
      <c r="H263" s="1663"/>
      <c r="I263" s="1663"/>
      <c r="J263" s="1663"/>
      <c r="K263" s="1668">
        <f>D263</f>
        <v>2730</v>
      </c>
      <c r="L263" s="1577">
        <v>2490</v>
      </c>
    </row>
    <row r="264" spans="1:14" x14ac:dyDescent="0.2">
      <c r="A264" s="1267" t="s">
        <v>460</v>
      </c>
      <c r="B264" s="559">
        <v>2520</v>
      </c>
      <c r="C264" s="1663"/>
      <c r="D264" s="1565">
        <v>25829</v>
      </c>
      <c r="E264" s="1663"/>
      <c r="F264" s="1663"/>
      <c r="G264" s="1663"/>
      <c r="H264" s="1663"/>
      <c r="I264" s="1663"/>
      <c r="J264" s="1663"/>
      <c r="K264" s="1668">
        <f t="shared" ref="K264:K269" si="22">D264</f>
        <v>25829</v>
      </c>
      <c r="L264" s="1565">
        <v>23246</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113441</v>
      </c>
      <c r="E266" s="1663"/>
      <c r="F266" s="1663"/>
      <c r="G266" s="1663"/>
      <c r="H266" s="1663"/>
      <c r="I266" s="1663"/>
      <c r="J266" s="1663"/>
      <c r="K266" s="1668">
        <f t="shared" si="22"/>
        <v>113441</v>
      </c>
      <c r="L266" s="1565">
        <v>112606</v>
      </c>
    </row>
    <row r="267" spans="1:14" x14ac:dyDescent="0.2">
      <c r="A267" s="1267" t="s">
        <v>946</v>
      </c>
      <c r="B267" s="503">
        <v>2550</v>
      </c>
      <c r="C267" s="1663"/>
      <c r="D267" s="1565">
        <v>112128</v>
      </c>
      <c r="E267" s="1663"/>
      <c r="F267" s="1663"/>
      <c r="G267" s="1663"/>
      <c r="H267" s="1663"/>
      <c r="I267" s="1663"/>
      <c r="J267" s="1663"/>
      <c r="K267" s="1668">
        <f t="shared" si="22"/>
        <v>112128</v>
      </c>
      <c r="L267" s="1565">
        <v>119694</v>
      </c>
    </row>
    <row r="268" spans="1:14" x14ac:dyDescent="0.2">
      <c r="A268" s="1267" t="s">
        <v>100</v>
      </c>
      <c r="B268" s="503">
        <v>2560</v>
      </c>
      <c r="C268" s="1663"/>
      <c r="D268" s="1565">
        <v>34761</v>
      </c>
      <c r="E268" s="1663"/>
      <c r="F268" s="1663"/>
      <c r="G268" s="1663"/>
      <c r="H268" s="1663"/>
      <c r="I268" s="1663"/>
      <c r="J268" s="1663"/>
      <c r="K268" s="1668">
        <f t="shared" si="22"/>
        <v>34761</v>
      </c>
      <c r="L268" s="1565">
        <v>31190</v>
      </c>
    </row>
    <row r="269" spans="1:14" x14ac:dyDescent="0.2">
      <c r="A269" s="1267" t="s">
        <v>101</v>
      </c>
      <c r="B269" s="503">
        <v>2570</v>
      </c>
      <c r="C269" s="1663"/>
      <c r="D269" s="1565">
        <v>697</v>
      </c>
      <c r="E269" s="1663"/>
      <c r="F269" s="1663"/>
      <c r="G269" s="1663"/>
      <c r="H269" s="1663"/>
      <c r="I269" s="1663"/>
      <c r="J269" s="1663"/>
      <c r="K269" s="1668">
        <f t="shared" si="22"/>
        <v>697</v>
      </c>
      <c r="L269" s="1565">
        <v>647</v>
      </c>
    </row>
    <row r="270" spans="1:14" ht="12.75" customHeight="1" thickBot="1" x14ac:dyDescent="0.25">
      <c r="A270" s="1373" t="s">
        <v>713</v>
      </c>
      <c r="B270" s="1376" t="s">
        <v>35</v>
      </c>
      <c r="C270" s="1663"/>
      <c r="D270" s="1664">
        <f>SUM(D263:D269)</f>
        <v>289586</v>
      </c>
      <c r="E270" s="1663"/>
      <c r="F270" s="1663"/>
      <c r="G270" s="1663"/>
      <c r="H270" s="1663"/>
      <c r="I270" s="1663"/>
      <c r="J270" s="1663"/>
      <c r="K270" s="1664">
        <f>SUM(K263:K269)</f>
        <v>289586</v>
      </c>
      <c r="L270" s="1664">
        <f>SUM(L263:L269)</f>
        <v>289873</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0</v>
      </c>
      <c r="E276" s="1663"/>
      <c r="F276" s="1663"/>
      <c r="G276" s="1663"/>
      <c r="H276" s="1663"/>
      <c r="I276" s="1663"/>
      <c r="J276" s="1663"/>
      <c r="K276" s="1668">
        <f>D276</f>
        <v>0</v>
      </c>
      <c r="L276" s="1565">
        <v>0</v>
      </c>
    </row>
    <row r="277" spans="1:12" ht="12.75" customHeight="1" thickBot="1" x14ac:dyDescent="0.25">
      <c r="A277" s="1386" t="s">
        <v>37</v>
      </c>
      <c r="B277" s="1374" t="s">
        <v>36</v>
      </c>
      <c r="C277" s="1663"/>
      <c r="D277" s="1664">
        <f>SUM(D272:D276)</f>
        <v>0</v>
      </c>
      <c r="E277" s="1663"/>
      <c r="F277" s="1663"/>
      <c r="G277" s="1663"/>
      <c r="H277" s="1663"/>
      <c r="I277" s="1663"/>
      <c r="J277" s="1663"/>
      <c r="K277" s="1664">
        <f>SUM(K272:K276)</f>
        <v>0</v>
      </c>
      <c r="L277" s="1664">
        <f>SUM(L272:L276)</f>
        <v>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560633</v>
      </c>
      <c r="E279" s="1663"/>
      <c r="F279" s="1663"/>
      <c r="G279" s="1663"/>
      <c r="H279" s="1663"/>
      <c r="I279" s="1663"/>
      <c r="J279" s="1663"/>
      <c r="K279" s="1671">
        <f>SUM(K238,K243,K257,K261,K270,K277,K278)</f>
        <v>560633</v>
      </c>
      <c r="L279" s="1671">
        <f>SUM(L238,L243,L257,L261,L270,L277,L278)</f>
        <v>533418</v>
      </c>
    </row>
    <row r="280" spans="1:12" ht="15.75" customHeight="1" thickTop="1" thickBot="1" x14ac:dyDescent="0.25">
      <c r="A280" s="1355" t="s">
        <v>869</v>
      </c>
      <c r="B280" s="1344">
        <v>3000</v>
      </c>
      <c r="C280" s="1663"/>
      <c r="D280" s="1641">
        <v>10459</v>
      </c>
      <c r="E280" s="1663"/>
      <c r="F280" s="1663"/>
      <c r="G280" s="1663"/>
      <c r="H280" s="1663"/>
      <c r="I280" s="1663"/>
      <c r="J280" s="1663"/>
      <c r="K280" s="1677">
        <f>D280</f>
        <v>10459</v>
      </c>
      <c r="L280" s="1641">
        <v>8032</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1810</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483" t="s">
        <v>502</v>
      </c>
      <c r="B295" s="2484"/>
      <c r="C295" s="1663"/>
      <c r="D295" s="1664">
        <f>SUM(D229,D279,D280,D285)</f>
        <v>862123</v>
      </c>
      <c r="E295" s="1663"/>
      <c r="F295" s="1663"/>
      <c r="G295" s="1663"/>
      <c r="H295" s="1664">
        <f>H293</f>
        <v>0</v>
      </c>
      <c r="I295" s="1663"/>
      <c r="J295" s="1663"/>
      <c r="K295" s="1664">
        <f>SUM(K229,K279,K280,K285,K293,K294)</f>
        <v>862123</v>
      </c>
      <c r="L295" s="1664">
        <f>SUM(L229,L279,L280,L285,L293,L294)</f>
        <v>843208</v>
      </c>
    </row>
    <row r="296" spans="1:14" ht="13.5" thickTop="1" x14ac:dyDescent="0.2">
      <c r="A296" s="2465" t="s">
        <v>988</v>
      </c>
      <c r="B296" s="2466"/>
      <c r="C296" s="1663"/>
      <c r="D296" s="1665"/>
      <c r="E296" s="1663"/>
      <c r="F296" s="1663"/>
      <c r="G296" s="1663"/>
      <c r="H296" s="1697"/>
      <c r="I296" s="1663"/>
      <c r="J296" s="1663"/>
      <c r="K296" s="1679">
        <f>'Revenues 9-14'!G268-'Expenditures 15-22'!K295</f>
        <v>40314</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475" t="s">
        <v>142</v>
      </c>
      <c r="B298" s="2469"/>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943538</v>
      </c>
      <c r="F301" s="1565">
        <v>7011</v>
      </c>
      <c r="G301" s="1565">
        <v>17010475</v>
      </c>
      <c r="H301" s="1565">
        <v>0</v>
      </c>
      <c r="I301" s="1566">
        <v>2045</v>
      </c>
      <c r="J301" s="1566">
        <v>0</v>
      </c>
      <c r="K301" s="1662">
        <f>SUM(C301:J301)</f>
        <v>17963069</v>
      </c>
      <c r="L301" s="1565">
        <v>23850000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943538</v>
      </c>
      <c r="F303" s="1671">
        <f t="shared" si="23"/>
        <v>7011</v>
      </c>
      <c r="G303" s="1671">
        <f t="shared" si="23"/>
        <v>17010475</v>
      </c>
      <c r="H303" s="1671">
        <f t="shared" si="23"/>
        <v>0</v>
      </c>
      <c r="I303" s="1671">
        <f t="shared" si="23"/>
        <v>2045</v>
      </c>
      <c r="J303" s="1671">
        <f t="shared" si="23"/>
        <v>0</v>
      </c>
      <c r="K303" s="1671">
        <f t="shared" si="23"/>
        <v>17963069</v>
      </c>
      <c r="L303" s="1671">
        <f t="shared" si="23"/>
        <v>23850000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1815</v>
      </c>
      <c r="B306" s="562" t="s">
        <v>1810</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480" t="s">
        <v>275</v>
      </c>
      <c r="B312" s="2481"/>
      <c r="C312" s="1664">
        <f>SUM(C303)</f>
        <v>0</v>
      </c>
      <c r="D312" s="1664">
        <f>SUM(D303)</f>
        <v>0</v>
      </c>
      <c r="E312" s="1664">
        <f>SUM(E303,E310)</f>
        <v>943538</v>
      </c>
      <c r="F312" s="1664">
        <f>SUM(F303)</f>
        <v>7011</v>
      </c>
      <c r="G312" s="1664">
        <f>SUM(G303)</f>
        <v>17010475</v>
      </c>
      <c r="H312" s="1664">
        <f>SUM(H303,H310)</f>
        <v>0</v>
      </c>
      <c r="I312" s="1664">
        <f>SUM(I303)</f>
        <v>2045</v>
      </c>
      <c r="J312" s="1664">
        <f>SUM(J303)</f>
        <v>0</v>
      </c>
      <c r="K312" s="1664">
        <f>SUM(K303,K310,K311)</f>
        <v>17963069</v>
      </c>
      <c r="L312" s="1664">
        <f>SUM(L303,L310,L311)</f>
        <v>23850000</v>
      </c>
      <c r="M312" s="539"/>
      <c r="N312" s="539"/>
    </row>
    <row r="313" spans="1:14" ht="13.5" thickTop="1" x14ac:dyDescent="0.2">
      <c r="A313" s="2476" t="s">
        <v>988</v>
      </c>
      <c r="B313" s="2477"/>
      <c r="C313" s="1667"/>
      <c r="D313" s="1667"/>
      <c r="E313" s="1667"/>
      <c r="F313" s="1667"/>
      <c r="G313" s="1667"/>
      <c r="H313" s="1667"/>
      <c r="I313" s="1667"/>
      <c r="J313" s="1667"/>
      <c r="K313" s="1686">
        <f>'Revenues 9-14'!H268-'Expenditures 15-22'!K312</f>
        <v>-17095363</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489" t="s">
        <v>148</v>
      </c>
      <c r="B315" s="2490"/>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491" t="s">
        <v>891</v>
      </c>
      <c r="B317" s="2490"/>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1776</v>
      </c>
      <c r="B320" s="568" t="s">
        <v>280</v>
      </c>
      <c r="C320" s="1566">
        <v>0</v>
      </c>
      <c r="D320" s="1566">
        <v>0</v>
      </c>
      <c r="E320" s="1566">
        <v>0</v>
      </c>
      <c r="F320" s="1566">
        <v>0</v>
      </c>
      <c r="G320" s="1566">
        <v>0</v>
      </c>
      <c r="H320" s="1566">
        <v>0</v>
      </c>
      <c r="I320" s="1566">
        <v>0</v>
      </c>
      <c r="J320" s="1566">
        <v>0</v>
      </c>
      <c r="K320" s="1662">
        <f t="shared" ref="K320:K327" si="24">SUM(C320:J320)</f>
        <v>0</v>
      </c>
      <c r="L320" s="1566">
        <v>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0</v>
      </c>
      <c r="F322" s="1566">
        <v>0</v>
      </c>
      <c r="G322" s="1566">
        <v>0</v>
      </c>
      <c r="H322" s="1566">
        <v>0</v>
      </c>
      <c r="I322" s="1566">
        <v>0</v>
      </c>
      <c r="J322" s="1566">
        <v>0</v>
      </c>
      <c r="K322" s="1662">
        <f t="shared" si="24"/>
        <v>0</v>
      </c>
      <c r="L322" s="1566">
        <v>0</v>
      </c>
      <c r="M322" s="539"/>
      <c r="N322" s="539"/>
    </row>
    <row r="323" spans="1:14" s="548" customFormat="1" x14ac:dyDescent="0.2">
      <c r="A323" s="1282" t="s">
        <v>696</v>
      </c>
      <c r="B323" s="567" t="s">
        <v>283</v>
      </c>
      <c r="C323" s="1566">
        <v>0</v>
      </c>
      <c r="D323" s="1566">
        <v>0</v>
      </c>
      <c r="E323" s="1566">
        <v>147799</v>
      </c>
      <c r="F323" s="1566">
        <v>0</v>
      </c>
      <c r="G323" s="1566">
        <v>0</v>
      </c>
      <c r="H323" s="1566">
        <v>0</v>
      </c>
      <c r="I323" s="1566">
        <v>0</v>
      </c>
      <c r="J323" s="1566">
        <v>0</v>
      </c>
      <c r="K323" s="1662">
        <f t="shared" si="24"/>
        <v>147799</v>
      </c>
      <c r="L323" s="1566">
        <v>162050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40171</v>
      </c>
      <c r="F328" s="1571">
        <v>0</v>
      </c>
      <c r="G328" s="1571">
        <v>0</v>
      </c>
      <c r="H328" s="1571">
        <v>0</v>
      </c>
      <c r="I328" s="1571">
        <v>0</v>
      </c>
      <c r="J328" s="1571">
        <v>0</v>
      </c>
      <c r="K328" s="1703">
        <f>SUM(C328:J328)</f>
        <v>40171</v>
      </c>
      <c r="L328" s="1571">
        <v>33000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187970</v>
      </c>
      <c r="F330" s="1664">
        <f t="shared" si="25"/>
        <v>0</v>
      </c>
      <c r="G330" s="1664">
        <f t="shared" si="25"/>
        <v>0</v>
      </c>
      <c r="H330" s="1664">
        <f t="shared" si="25"/>
        <v>0</v>
      </c>
      <c r="I330" s="1664">
        <f t="shared" si="25"/>
        <v>0</v>
      </c>
      <c r="J330" s="1664">
        <f t="shared" si="25"/>
        <v>0</v>
      </c>
      <c r="K330" s="1664">
        <f>SUM(K319:K329)</f>
        <v>187970</v>
      </c>
      <c r="L330" s="1664">
        <f>SUM(L319:L329)</f>
        <v>195050</v>
      </c>
      <c r="M330" s="539"/>
      <c r="N330" s="539"/>
    </row>
    <row r="331" spans="1:14" s="548" customFormat="1" ht="12.75" customHeight="1" thickTop="1" x14ac:dyDescent="0.2">
      <c r="A331" s="1460" t="s">
        <v>1816</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1810</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1812</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1817</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187970</v>
      </c>
      <c r="F342" s="1664">
        <f>SUM(F330)</f>
        <v>0</v>
      </c>
      <c r="G342" s="1664">
        <f>SUM(G330)</f>
        <v>0</v>
      </c>
      <c r="H342" s="1664">
        <f>SUM(H330,H334,H340)</f>
        <v>0</v>
      </c>
      <c r="I342" s="1664">
        <f>SUM(I330)</f>
        <v>0</v>
      </c>
      <c r="J342" s="1664">
        <f>SUM(J330)</f>
        <v>0</v>
      </c>
      <c r="K342" s="1664">
        <f>SUM(K330,K334,K340)</f>
        <v>187970</v>
      </c>
      <c r="L342" s="1671">
        <f>SUM(L330,L334,L340,L341)</f>
        <v>195050</v>
      </c>
    </row>
    <row r="343" spans="1:14" ht="12.75" customHeight="1" thickTop="1" x14ac:dyDescent="0.2">
      <c r="A343" s="2478" t="s">
        <v>988</v>
      </c>
      <c r="B343" s="2479"/>
      <c r="C343" s="1663"/>
      <c r="D343" s="1663"/>
      <c r="E343" s="1663"/>
      <c r="F343" s="1663"/>
      <c r="G343" s="1663"/>
      <c r="H343" s="1663"/>
      <c r="I343" s="1663"/>
      <c r="J343" s="1663"/>
      <c r="K343" s="1679">
        <f>'Revenues 9-14'!J268-'Expenditures 15-22'!K342</f>
        <v>-61348</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468" t="s">
        <v>959</v>
      </c>
      <c r="B345" s="2469"/>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1818</v>
      </c>
      <c r="B354" s="557" t="s">
        <v>1810</v>
      </c>
      <c r="C354" s="1663"/>
      <c r="D354" s="1663"/>
      <c r="E354" s="1663"/>
      <c r="F354" s="1663"/>
      <c r="G354" s="1663"/>
      <c r="H354" s="1571">
        <v>0</v>
      </c>
      <c r="I354" s="1706"/>
      <c r="J354" s="1663"/>
      <c r="K354" s="1703">
        <f>H354</f>
        <v>0</v>
      </c>
      <c r="L354" s="1569">
        <v>0</v>
      </c>
    </row>
    <row r="355" spans="1:14" ht="12.75" customHeight="1" x14ac:dyDescent="0.2">
      <c r="A355" s="1276" t="s">
        <v>1819</v>
      </c>
      <c r="B355" s="562" t="s">
        <v>1812</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465" t="s">
        <v>988</v>
      </c>
      <c r="B368" s="2466"/>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9"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4d435f69-8686-490b-bd6d-b153bf22ab50"/>
    <ds:schemaRef ds:uri="http://schemas.microsoft.com/office/2006/metadata/properties"/>
    <ds:schemaRef ds:uri="http://purl.org/dc/dcmitype/"/>
    <ds:schemaRef ds:uri="http://purl.org/dc/elements/1.1/"/>
    <ds:schemaRef ds:uri="d21dc803-237d-4c68-8692-8d731fd29118"/>
    <ds:schemaRef ds:uri="http://schemas.microsoft.com/office/infopath/2007/PartnerControls"/>
    <ds:schemaRef ds:uri="http://schemas.microsoft.com/office/2006/documentManagement/types"/>
    <ds:schemaRef ds:uri="http://schemas.openxmlformats.org/package/2006/metadata/core-properties"/>
    <ds:schemaRef ds:uri="6ce3111e-7420-4802-b50a-75d4e9a0b980"/>
    <ds:schemaRef ds:uri="http://schemas.microsoft.com/sharepoint/v3"/>
    <ds:schemaRef ds:uri="http://purl.org/dc/te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2020-09-28T14:47:58Z</cp:lastPrinted>
  <dcterms:created xsi:type="dcterms:W3CDTF">2003-10-29T19:06:34Z</dcterms:created>
  <dcterms:modified xsi:type="dcterms:W3CDTF">2020-10-15T18:18:30Z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1050.90a</vt:lpwstr>
  </property>
</Properties>
</file>