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CBCD3D-4992-407E-BDD6-FD514E462666}"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1"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J31" i="8"/>
  <c r="N21" i="3" l="1"/>
  <c r="H39" i="3"/>
  <c r="C39" i="3"/>
  <c r="D30" i="3"/>
  <c r="F47" i="185" l="1"/>
  <c r="H47" i="185"/>
  <c r="J45" i="185"/>
  <c r="J47" i="185" s="1"/>
  <c r="J44" i="185"/>
  <c r="J37" i="185"/>
  <c r="J36" i="185"/>
  <c r="H38" i="185"/>
  <c r="G38" i="185"/>
  <c r="F38" i="185"/>
  <c r="E38" i="185"/>
  <c r="E40" i="185" s="1"/>
  <c r="E49" i="185" s="1"/>
  <c r="J23" i="185"/>
  <c r="J24" i="185"/>
  <c r="J25" i="185"/>
  <c r="J26" i="185"/>
  <c r="J27" i="185"/>
  <c r="J28" i="185"/>
  <c r="J29" i="185"/>
  <c r="J30" i="185"/>
  <c r="J31" i="185"/>
  <c r="J32" i="185"/>
  <c r="J22" i="185"/>
  <c r="H33" i="185"/>
  <c r="G33" i="185"/>
  <c r="F33" i="185"/>
  <c r="E33" i="185"/>
  <c r="E18" i="185"/>
  <c r="F18" i="185"/>
  <c r="G18" i="185"/>
  <c r="H18" i="185"/>
  <c r="J12" i="185"/>
  <c r="J13" i="185"/>
  <c r="J14" i="185"/>
  <c r="J15" i="185"/>
  <c r="J16" i="185"/>
  <c r="J17" i="185"/>
  <c r="J11" i="185"/>
  <c r="H40" i="185" l="1"/>
  <c r="F40" i="185"/>
  <c r="G40" i="185"/>
  <c r="G49" i="185" s="1"/>
  <c r="J38" i="185"/>
  <c r="J33" i="185"/>
  <c r="J40" i="185" s="1"/>
  <c r="H49" i="185"/>
  <c r="J18" i="185"/>
  <c r="F49" i="185"/>
  <c r="I12" i="11"/>
  <c r="C12" i="11"/>
  <c r="D12" i="11"/>
  <c r="J49" i="185"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6" i="183"/>
  <c r="F42" i="183"/>
  <c r="F38" i="183"/>
  <c r="F34" i="183"/>
  <c r="F30" i="183"/>
  <c r="F26"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F47" i="183" s="1"/>
  <c r="E46" i="183"/>
  <c r="E45" i="183"/>
  <c r="F45" i="183" s="1"/>
  <c r="E44" i="183"/>
  <c r="F44" i="183" s="1"/>
  <c r="E43" i="183"/>
  <c r="F43" i="183" s="1"/>
  <c r="E42" i="183"/>
  <c r="E41" i="183"/>
  <c r="F41" i="183" s="1"/>
  <c r="E40" i="183"/>
  <c r="F40" i="183" s="1"/>
  <c r="E39" i="183"/>
  <c r="F39" i="183" s="1"/>
  <c r="E38" i="183"/>
  <c r="E37" i="183"/>
  <c r="F37" i="183" s="1"/>
  <c r="E36" i="183"/>
  <c r="F36" i="183" s="1"/>
  <c r="E35" i="183"/>
  <c r="F35" i="183" s="1"/>
  <c r="E34" i="183"/>
  <c r="E33" i="183"/>
  <c r="F33" i="183" s="1"/>
  <c r="E32" i="183"/>
  <c r="F32" i="183" s="1"/>
  <c r="E31" i="183"/>
  <c r="F31" i="183" s="1"/>
  <c r="E30" i="183"/>
  <c r="E29" i="183"/>
  <c r="F29" i="183" s="1"/>
  <c r="E28" i="183"/>
  <c r="F28" i="183" s="1"/>
  <c r="E27" i="183"/>
  <c r="F27" i="183" s="1"/>
  <c r="E26" i="183"/>
  <c r="E25" i="183"/>
  <c r="F25" i="183" s="1"/>
  <c r="E24" i="183"/>
  <c r="F24" i="183" s="1"/>
  <c r="E23" i="183"/>
  <c r="F23" i="183" s="1"/>
  <c r="E22" i="183"/>
  <c r="E21" i="183"/>
  <c r="F21" i="183" s="1"/>
  <c r="E20" i="183"/>
  <c r="F20" i="183" s="1"/>
  <c r="E19" i="183"/>
  <c r="F19" i="183" s="1"/>
  <c r="E18" i="183"/>
  <c r="F18" i="183" s="1"/>
  <c r="E17" i="183"/>
  <c r="F17" i="183" s="1"/>
  <c r="F80" i="34" l="1"/>
  <c r="B7885" i="106" l="1"/>
  <c r="D7885" i="106" s="1"/>
  <c r="B7884" i="106"/>
  <c r="B7883" i="106"/>
  <c r="B7882" i="106"/>
  <c r="D7882" i="106" s="1"/>
  <c r="D7884" i="106"/>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6" i="127"/>
  <c r="B67" i="127"/>
  <c r="E27" i="108"/>
  <c r="G27" i="108"/>
  <c r="F31"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L22" i="37"/>
  <c r="D24" i="37"/>
  <c r="B4270" i="106" s="1"/>
  <c r="D4270" i="106" s="1"/>
  <c r="B5752" i="106"/>
  <c r="D5752" i="106" s="1"/>
  <c r="B6289" i="106" l="1"/>
  <c r="D6289" i="106" s="1"/>
  <c r="D36" i="108"/>
  <c r="I129" i="29"/>
  <c r="B7037" i="106" s="1"/>
  <c r="D7037" i="106" s="1"/>
  <c r="F36" i="108"/>
  <c r="H33" i="118"/>
  <c r="B7153" i="106"/>
  <c r="D7153" i="106" s="1"/>
  <c r="E60" i="184"/>
  <c r="N60" i="184" s="1"/>
  <c r="H76" i="4"/>
  <c r="B3298" i="106" s="1"/>
  <c r="D3298" i="106" s="1"/>
  <c r="F69" i="34"/>
  <c r="B7198" i="106"/>
  <c r="D7198" i="106" s="1"/>
  <c r="E65" i="184"/>
  <c r="N65" i="184" s="1"/>
  <c r="B7162" i="106"/>
  <c r="D7162" i="106" s="1"/>
  <c r="E61" i="184"/>
  <c r="N61" i="184" s="1"/>
  <c r="B7126" i="106"/>
  <c r="D7126" i="106" s="1"/>
  <c r="E57" i="184"/>
  <c r="F50" i="34"/>
  <c r="F34" i="34"/>
  <c r="B7826" i="106" s="1"/>
  <c r="D7826" i="106" s="1"/>
  <c r="D68" i="36"/>
  <c r="G26" i="108"/>
  <c r="F70" i="34"/>
  <c r="B7189" i="106"/>
  <c r="D7189" i="106" s="1"/>
  <c r="E64" i="184"/>
  <c r="N64" i="184" s="1"/>
  <c r="B1274" i="106"/>
  <c r="D1274" i="106" s="1"/>
  <c r="H12" i="184"/>
  <c r="H15" i="184"/>
  <c r="B7135" i="106"/>
  <c r="D7135" i="106" s="1"/>
  <c r="E58" i="184"/>
  <c r="N58" i="184" s="1"/>
  <c r="B7047" i="106"/>
  <c r="D7047" i="106" s="1"/>
  <c r="F37" i="34"/>
  <c r="B7829" i="106" s="1"/>
  <c r="D7829" i="106" s="1"/>
  <c r="D31" i="108"/>
  <c r="E16" i="184"/>
  <c r="H16" i="184" s="1"/>
  <c r="B7705" i="106"/>
  <c r="D7705" i="106" s="1"/>
  <c r="E67" i="184"/>
  <c r="N67" i="184" s="1"/>
  <c r="D14" i="4"/>
  <c r="B2570" i="106" s="1"/>
  <c r="D2570" i="106" s="1"/>
  <c r="G39" i="108"/>
  <c r="B7696" i="106"/>
  <c r="D7696" i="106" s="1"/>
  <c r="E66" i="184"/>
  <c r="N66" i="184" s="1"/>
  <c r="B7171" i="106"/>
  <c r="D7171" i="106" s="1"/>
  <c r="E62" i="184"/>
  <c r="N62" i="184" s="1"/>
  <c r="D22" i="37"/>
  <c r="F42" i="34"/>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N23" i="3"/>
  <c r="B284" i="106" s="1"/>
  <c r="D284" i="106" s="1"/>
  <c r="I151" i="29"/>
  <c r="F59" i="34" s="1"/>
  <c r="F41" i="108"/>
  <c r="G43" i="108" s="1"/>
  <c r="D44" i="36"/>
  <c r="K342" i="29"/>
  <c r="F13" i="34" s="1"/>
  <c r="E367" i="29"/>
  <c r="B3635" i="106"/>
  <c r="I7" i="4"/>
  <c r="B4444" i="106" s="1"/>
  <c r="D4444" i="106" s="1"/>
  <c r="H19" i="184"/>
  <c r="L20" i="184" s="1"/>
  <c r="B7235" i="106"/>
  <c r="D7235" i="106" s="1"/>
  <c r="E19" i="184"/>
  <c r="N57" i="184"/>
  <c r="N68" i="184" s="1"/>
  <c r="E68" i="184"/>
  <c r="L114" i="29"/>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7" i="106" l="1"/>
  <c r="D6227" i="106" s="1"/>
  <c r="F8" i="4"/>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D10" i="146"/>
  <c r="F8" i="146"/>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<sst xmlns="http://schemas.openxmlformats.org/spreadsheetml/2006/main" count="5377" uniqueCount="2212">
  <si>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</si>
  <si>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</si>
  <si>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</si>
  <si>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</si>
  <si>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</si>
  <si>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</si>
  <si>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</si>
  <si>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</si>
  <si>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</si>
  <si>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</si>
  <si>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</si>
  <si>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</si>
  <si>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</si>
  <si>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</si>
  <si>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</si>
  <si>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</si>
  <si>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</si>
  <si>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</si>
  <si>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</si>
  <si>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</si>
  <si>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</si>
  <si>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</si>
  <si>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</si>
  <si>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</si>
  <si>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</si>
  <si>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</si>
  <si>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</si>
  <si>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</si>
  <si>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</si>
  <si>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</si>
  <si>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</si>
  <si>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</si>
  <si>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</si>
  <si>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</si>
  <si>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</si>
  <si>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</si>
  <si>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</si>
  <si>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</si>
  <si>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</si>
  <si>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</si>
  <si>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</si>
  <si>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</si>
  <si>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</si>
  <si>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</si>
  <si>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</si>
  <si>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</si>
  <si>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</si>
  <si>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</si>
  <si>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</si>
  <si>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</si>
  <si>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</si>
  <si>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</si>
  <si>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</si>
  <si>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</si>
  <si>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</si>
  <si>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</si>
  <si>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</si>
  <si>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</si>
  <si>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</si>
  <si>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</si>
  <si>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</si>
  <si>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</si>
  <si>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</si>
  <si>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</si>
  <si>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</si>
  <si>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</si>
  <si>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</si>
  <si>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</si>
  <si>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</si>
  <si>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</si>
  <si>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</si>
  <si>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</si>
  <si>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</si>
  <si>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</si>
  <si>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</si>
  <si>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</si>
  <si>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</si>
  <si>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</si>
  <si>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</si>
  <si>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</si>
  <si>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</si>
  <si>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</si>
  <si>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</si>
  <si>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</si>
  <si>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</si>
  <si>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</si>
  <si>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</si>
  <si>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</si>
  <si>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</si>
  <si>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</si>
  <si>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</si>
  <si>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</si>
  <si>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</si>
  <si>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</si>
  <si>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</si>
  <si>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</si>
  <si>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</si>
  <si>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</si>
  <si>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</si>
  <si>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</si>
  <si>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</si>
  <si>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</si>
  <si>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</si>
  <si>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</si>
  <si>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</si>
  <si>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</si>
  <si>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</si>
  <si>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</si>
  <si>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</si>
  <si>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</si>
  <si>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</si>
  <si>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</si>
  <si>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</si>
  <si>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</si>
  <si>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</si>
  <si>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</si>
  <si>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</si>
  <si>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</si>
  <si>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</si>
  <si>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</si>
  <si>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</si>
  <si>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</si>
  <si>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</si>
  <si>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</si>
  <si>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</si>
  <si>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</si>
  <si>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</si>
  <si>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</si>
  <si>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</si>
  <si>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</si>
  <si>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</si>
  <si>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</si>
  <si>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</si>
  <si>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</si>
  <si>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</si>
  <si>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</si>
  <si>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</si>
  <si>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</si>
  <si>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</si>
  <si>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</si>
  <si>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</si>
  <si>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</si>
  <si>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</si>
  <si>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</si>
  <si>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</si>
  <si>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</si>
  <si>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</si>
  <si>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</si>
  <si>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</si>
  <si>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</si>
  <si>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</si>
  <si>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</si>
  <si>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</si>
  <si>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</si>
  <si>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</si>
  <si>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</si>
  <si>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</si>
  <si>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</si>
  <si>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</si>
  <si>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</si>
  <si>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</si>
  <si>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</si>
  <si>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</si>
  <si>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</si>
  <si>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</si>
  <si>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</si>
  <si>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</si>
  <si>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</si>
  <si>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</si>
  <si>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</si>
  <si>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</si>
  <si>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</si>
  <si>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</si>
  <si>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</si>
  <si>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</si>
  <si>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</si>
  <si>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</si>
  <si>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</si>
  <si>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</si>
  <si>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</si>
  <si>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</si>
  <si>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</si>
  <si>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</si>
  <si>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</si>
  <si>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</si>
  <si>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</si>
  <si>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</si>
  <si>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</si>
  <si>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</si>
  <si>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</si>
  <si>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</si>
  <si>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</si>
  <si>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</si>
  <si>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</si>
  <si>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</si>
  <si>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</si>
  <si>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</si>
  <si>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</si>
  <si>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</si>
  <si>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</si>
  <si>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</si>
  <si>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</si>
  <si>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</si>
  <si>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</si>
  <si>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</si>
  <si>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</si>
  <si>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</si>
  <si>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</si>
  <si>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</si>
  <si>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</si>
  <si>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</si>
  <si>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</si>
  <si>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</si>
  <si>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</si>
  <si>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</si>
  <si>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</si>
  <si>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</si>
  <si>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</si>
  <si>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</si>
  <si>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</si>
  <si>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</si>
  <si>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</si>
  <si>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</si>
  <si>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</si>
  <si>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</si>
  <si>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</si>
  <si>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</si>
  <si>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</si>
  <si>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</si>
  <si>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</si>
  <si>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</si>
  <si>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</si>
  <si>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</si>
  <si>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</si>
  <si>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</si>
  <si>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</si>
  <si>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</si>
  <si>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</si>
  <si>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</si>
  <si>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</si>
  <si>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</si>
  <si>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</si>
  <si>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</si>
  <si>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</si>
  <si>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</si>
  <si>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</si>
  <si>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</si>
  <si>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</si>
  <si>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</si>
  <si>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</si>
  <si>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</si>
  <si>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</si>
  <si>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</si>
  <si>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</si>
  <si>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</si>
  <si>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</si>
  <si>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</si>
  <si>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</si>
  <si>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</si>
  <si>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</si>
  <si>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</si>
  <si>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</si>
  <si>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</si>
  <si>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</si>
  <si>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</si>
  <si>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</si>
  <si>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</si>
  <si>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</si>
  <si>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</si>
  <si>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</si>
  <si>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</si>
  <si>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</si>
  <si>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</si>
  <si>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</si>
  <si>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</si>
  <si>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</si>
  <si>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</si>
  <si>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</si>
  <si>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</si>
  <si>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</si>
  <si>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</si>
  <si>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</si>
  <si>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</si>
  <si>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</si>
  <si>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</si>
  <si>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</si>
  <si>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</si>
  <si>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</si>
  <si>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</si>
  <si>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</si>
  <si>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</si>
  <si>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</si>
  <si>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</si>
  <si>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</si>
  <si>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</si>
  <si>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</si>
  <si>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</si>
  <si>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</si>
  <si>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</si>
  <si>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</si>
  <si>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</si>
  <si>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</si>
  <si>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</si>
  <si>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</si>
  <si>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</si>
  <si>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</si>
  <si>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</si>
  <si>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</si>
  <si>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</si>
  <si>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</si>
  <si>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</si>
  <si>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</si>
  <si>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</si>
  <si>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</si>
  <si>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</si>
  <si>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</si>
  <si>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</si>
  <si>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</si>
  <si>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</si>
  <si>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</si>
  <si>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</si>
  <si>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</si>
  <si>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</si>
  <si>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</si>
  <si>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</si>
  <si>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</si>
  <si>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</si>
  <si>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</si>
  <si>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</si>
  <si>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</si>
  <si>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</si>
  <si>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</si>
  <si>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</si>
  <si>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</si>
  <si>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</si>
  <si>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</si>
  <si>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</si>
  <si>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</si>
  <si>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</si>
  <si>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</si>
  <si>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</si>
  <si>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</si>
  <si>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</si>
  <si>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</si>
  <si>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</si>
  <si>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</si>
  <si>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</si>
  <si>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</si>
  <si>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</si>
  <si>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</si>
  <si>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</si>
  <si>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</si>
  <si>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</si>
  <si>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</si>
  <si>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</si>
  <si>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</si>
  <si>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</si>
  <si>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</si>
  <si>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</si>
  <si>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</si>
  <si>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</si>
  <si>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</si>
  <si>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</si>
  <si>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</si>
  <si>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</si>
  <si>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</si>
  <si>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</si>
  <si>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</si>
  <si>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</si>
  <si>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</si>
  <si>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</si>
  <si>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</si>
  <si>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</si>
  <si>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</si>
  <si>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</si>
  <si>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</si>
  <si>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</si>
  <si>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</si>
  <si>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</si>
  <si>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</si>
  <si>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</si>
  <si>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</si>
  <si>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</si>
  <si>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</si>
  <si>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</si>
  <si>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</si>
  <si>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</si>
  <si>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</si>
  <si>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</si>
  <si>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</si>
  <si>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</si>
  <si>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</si>
  <si>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</si>
  <si>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</si>
  <si>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</si>
  <si>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</si>
  <si>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</si>
  <si>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</si>
  <si>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</si>
  <si>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</si>
  <si>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</si>
  <si>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</si>
  <si>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</si>
  <si>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</si>
  <si>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</si>
  <si>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</si>
  <si>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</si>
  <si>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</si>
  <si>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</si>
  <si>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</si>
  <si>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</si>
  <si>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</si>
  <si>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</si>
  <si>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</si>
  <si>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</si>
  <si>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</si>
  <si>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</si>
  <si>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</si>
  <si>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</si>
  <si>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</si>
  <si>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</si>
  <si>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</si>
  <si>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</si>
  <si>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</si>
  <si>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</si>
  <si>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</si>
  <si>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</si>
  <si>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</si>
  <si>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</si>
  <si>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</si>
  <si>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</si>
  <si>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</si>
  <si>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</si>
  <si>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</si>
  <si>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</si>
  <si>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</si>
  <si>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</si>
  <si>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</si>
  <si>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</si>
  <si>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</si>
  <si>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</si>
  <si>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</si>
  <si>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</si>
  <si>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</si>
  <si>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</si>
  <si>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</si>
  <si>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</si>
  <si>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</si>
  <si>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</si>
  <si>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</si>
  <si>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</si>
  <si>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</si>
  <si>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</si>
  <si>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</si>
  <si>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</si>
  <si>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</si>
  <si>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</si>
  <si>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</si>
  <si>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</si>
  <si>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</si>
  <si>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</si>
  <si>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</si>
  <si>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</si>
  <si>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</si>
  <si>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</si>
  <si>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</si>
  <si>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</si>
  <si>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</si>
  <si>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</si>
  <si>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</si>
  <si>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</si>
  <si>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</si>
  <si>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</si>
  <si>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</si>
  <si>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</si>
  <si>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</si>
  <si>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</si>
  <si>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</si>
  <si>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</si>
  <si>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</si>
  <si>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</si>
  <si>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</si>
  <si>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</si>
  <si>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</si>
  <si>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</si>
  <si>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</si>
  <si>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</si>
  <si>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</si>
  <si>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</si>
  <si>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</si>
  <si>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</si>
  <si>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</si>
  <si>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</si>
  <si>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</si>
  <si>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</si>
  <si>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</si>
  <si>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</si>
  <si>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</si>
  <si>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</si>
  <si>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</si>
  <si>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</si>
  <si>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</si>
  <si>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</si>
  <si>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</si>
  <si>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</si>
  <si>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</si>
  <si>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</si>
  <si>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</si>
  <si>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</si>
  <si>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</si>
  <si>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</si>
  <si>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</si>
  <si>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</si>
  <si>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</si>
  <si>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</si>
  <si>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</si>
  <si>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</si>
  <si>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</si>
  <si>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</si>
  <si>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</si>
  <si>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</si>
  <si>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</si>
  <si>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</si>
  <si>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</si>
  <si>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</si>
  <si>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</si>
  <si>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</si>
  <si>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</si>
  <si>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</si>
  <si>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</si>
  <si>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</si>
  <si>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</si>
  <si>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</si>
  <si>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</si>
  <si>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</si>
  <si>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</si>
  <si>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</si>
  <si>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</si>
  <si>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</si>
  <si>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</si>
  <si>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</si>
  <si>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</si>
  <si>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</si>
  <si>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</si>
  <si>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</si>
  <si>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</si>
  <si>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</si>
  <si>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</si>
  <si>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</si>
  <si>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</si>
  <si>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</si>
  <si>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</si>
  <si>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</si>
  <si>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</si>
  <si>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</si>
  <si>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</si>
  <si>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</si>
  <si>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</si>
  <si>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</si>
  <si>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</si>
  <si>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</si>
  <si>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</si>
  <si>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</si>
  <si>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</si>
  <si>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</si>
  <si>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</si>
  <si>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</si>
  <si>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</si>
  <si>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</si>
  <si>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</si>
  <si>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</si>
  <si>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</si>
  <si>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</si>
  <si>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</si>
  <si>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</si>
  <si>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</si>
  <si>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</si>
  <si>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</si>
  <si>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</si>
  <si>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</si>
  <si>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</si>
  <si>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</si>
  <si>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</si>
  <si>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</si>
  <si>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</si>
  <si>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</si>
  <si>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</si>
  <si>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</si>
  <si>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</si>
  <si>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</si>
  <si>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</si>
  <si>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</si>
  <si>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</si>
  <si>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</si>
  <si>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</si>
  <si>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</si>
  <si>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</si>
  <si>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</si>
  <si>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</si>
  <si>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</si>
  <si>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</si>
  <si>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</si>
  <si>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</si>
  <si>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</si>
  <si>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</si>
  <si>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</si>
  <si>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</si>
  <si>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</si>
  <si>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</si>
  <si>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</si>
  <si>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</si>
  <si>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</si>
  <si>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</si>
  <si>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</si>
  <si>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</si>
  <si>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</si>
  <si>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</si>
  <si>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</si>
  <si>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</si>
  <si>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</si>
  <si>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</si>
  <si>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</si>
  <si>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</si>
  <si>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</si>
  <si>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</si>
  <si>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</si>
  <si>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</si>
  <si>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</si>
  <si>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</si>
  <si>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</si>
  <si>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</si>
  <si>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</si>
  <si>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</si>
  <si>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</si>
  <si>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</si>
  <si>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</si>
  <si>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</si>
  <si>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</si>
  <si>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</si>
  <si>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</si>
  <si>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</si>
  <si>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</si>
  <si>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</si>
  <si>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</si>
  <si>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</si>
  <si>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</si>
  <si>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</si>
  <si>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</si>
  <si>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</si>
  <si>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</si>
  <si>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</si>
  <si>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</si>
  <si>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</si>
  <si>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</si>
  <si>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</si>
  <si>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</si>
  <si>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</si>
  <si>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</si>
  <si>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</si>
  <si>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</si>
  <si>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</si>
  <si>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</si>
  <si>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</si>
  <si>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</si>
  <si>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</si>
  <si>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</si>
  <si>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</si>
  <si>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</si>
  <si>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</si>
  <si>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</si>
  <si>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</si>
  <si>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</si>
  <si>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</si>
  <si>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</si>
  <si>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</si>
  <si>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</si>
  <si>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</si>
  <si>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</si>
  <si>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</si>
  <si>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</si>
  <si>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</si>
  <si>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</si>
  <si>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</si>
  <si>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</si>
  <si>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</si>
  <si>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</si>
  <si>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</si>
  <si>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</si>
  <si>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</si>
  <si>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</si>
  <si>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</si>
  <si>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</si>
  <si>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</si>
  <si>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</si>
  <si>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</si>
  <si>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</si>
  <si>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</si>
  <si>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</si>
  <si>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</si>
  <si>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</si>
  <si>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</si>
  <si>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</si>
  <si>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</si>
  <si>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</si>
  <si>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</si>
  <si>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</si>
  <si>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</si>
  <si>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</si>
  <si>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</si>
  <si>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</si>
  <si>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</si>
  <si>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</si>
  <si>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</si>
  <si>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</si>
  <si>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</si>
  <si>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</si>
  <si>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</si>
  <si>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</si>
  <si>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</si>
  <si>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</si>
  <si>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</si>
  <si>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</si>
  <si>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</si>
  <si>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</si>
  <si>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</si>
  <si>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</si>
  <si>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</si>
  <si>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</si>
  <si>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</si>
  <si>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</si>
  <si>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</si>
  <si>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</si>
  <si>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</si>
  <si>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</si>
  <si>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</si>
  <si>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</si>
  <si>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</si>
  <si>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</si>
  <si>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</si>
  <si>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</si>
  <si>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</si>
  <si>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</si>
  <si>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</si>
  <si>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</si>
  <si>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</si>
  <si>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</si>
  <si>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</si>
  <si>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</si>
  <si>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</si>
  <si>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</si>
  <si>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</si>
  <si>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</si>
  <si>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</si>
  <si>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</si>
  <si>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</si>
  <si>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</si>
  <si>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</si>
  <si>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</si>
  <si>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</si>
  <si>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</si>
  <si>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</si>
  <si>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</si>
  <si>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</si>
  <si>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</si>
  <si>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</si>
  <si>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</si>
  <si>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</si>
  <si>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</si>
  <si>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</si>
  <si>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</si>
  <si>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</si>
  <si>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</si>
  <si>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</si>
  <si>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</si>
  <si>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</si>
  <si>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</si>
  <si>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</si>
  <si>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</si>
  <si>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</si>
  <si>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</si>
  <si>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</si>
  <si>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</si>
  <si>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</si>
  <si>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</si>
  <si>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</si>
  <si>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</si>
  <si>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</si>
  <si>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</si>
  <si>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</si>
  <si>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</si>
  <si>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</si>
  <si>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</si>
  <si>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</si>
  <si>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</si>
  <si>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</si>
  <si>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</si>
  <si>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</si>
  <si>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</si>
  <si>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</si>
  <si>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</si>
  <si>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</si>
  <si>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</si>
  <si>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</si>
  <si>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</si>
  <si>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</si>
  <si>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</si>
  <si>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</si>
  <si>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</si>
  <si>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</si>
  <si>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</si>
  <si>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</si>
  <si>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</si>
  <si>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</si>
  <si>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</si>
  <si>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</si>
  <si>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</si>
  <si>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</si>
  <si>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</si>
  <si>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</si>
  <si>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</si>
  <si>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</si>
  <si>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</si>
  <si>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</si>
  <si>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</si>
  <si>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</si>
  <si>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</si>
  <si>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</si>
  <si>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</si>
  <si>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</si>
  <si>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</si>
  <si>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</si>
  <si>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</si>
  <si>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</si>
  <si>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</si>
  <si>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</si>
  <si>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</si>
  <si>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</si>
  <si>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</si>
  <si>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</si>
  <si>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</si>
  <si>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</si>
  <si>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</si>
  <si>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</si>
  <si>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</si>
  <si>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</si>
  <si>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</si>
  <si>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</si>
  <si>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</si>
  <si>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</si>
  <si>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</si>
  <si>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</si>
  <si>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</si>
  <si>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</si>
  <si>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</si>
  <si>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</si>
  <si>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</si>
  <si>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</si>
  <si>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</si>
  <si>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</si>
  <si>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</si>
  <si>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</si>
  <si>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</si>
  <si>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</si>
  <si>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</si>
  <si>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</si>
  <si>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</si>
  <si>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</si>
  <si>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</si>
  <si>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</si>
  <si>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</si>
  <si>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</si>
  <si>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</si>
  <si>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</si>
  <si>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</si>
  <si>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</si>
  <si>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</si>
  <si>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</si>
  <si>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</si>
  <si>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</si>
  <si>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</si>
  <si>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</si>
  <si>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</si>
  <si>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</si>
  <si>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</si>
  <si>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</si>
  <si>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</si>
  <si>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</si>
  <si>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</si>
  <si>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</si>
  <si>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</si>
  <si>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</si>
  <si>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</si>
  <si>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</si>
  <si>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</si>
  <si>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</si>
  <si>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</si>
  <si>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</si>
  <si>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</si>
  <si>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</si>
  <si>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</si>
  <si>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</si>
  <si>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</si>
  <si>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</si>
  <si>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</si>
  <si>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</si>
  <si>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</si>
  <si>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</si>
  <si>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</si>
  <si>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</si>
  <si>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</si>
  <si>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</si>
  <si>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</si>
  <si>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</si>
  <si>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</si>
  <si>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</si>
  <si>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</si>
  <si>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</si>
  <si>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</si>
  <si>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</si>
  <si>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</si>
  <si>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</si>
  <si>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</si>
  <si>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</si>
  <si>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</si>
  <si>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</si>
  <si>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</si>
  <si>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</si>
  <si>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</si>
  <si>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</si>
  <si>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</si>
  <si>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</si>
  <si>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</si>
  <si>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</si>
  <si>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</si>
  <si>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</si>
  <si>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</si>
  <si>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</si>
  <si>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</si>
  <si>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</si>
  <si>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</si>
  <si>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</si>
  <si>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</si>
  <si>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</si>
  <si>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</si>
  <si>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</si>
  <si>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</si>
  <si>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</si>
  <si>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</si>
  <si>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</si>
  <si>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</si>
  <si>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</si>
  <si>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</si>
  <si>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</si>
  <si>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</si>
  <si>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</si>
  <si>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</si>
  <si>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</si>
  <si>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</si>
  <si>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</si>
  <si>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</si>
  <si>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</si>
  <si>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</si>
  <si>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</si>
  <si>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</si>
  <si>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</si>
  <si>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</si>
  <si>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</si>
  <si>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</si>
  <si>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</si>
  <si>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</si>
  <si>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</si>
  <si>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</si>
  <si>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</si>
  <si>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</si>
  <si>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</si>
  <si>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</si>
  <si>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</si>
  <si>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</si>
  <si>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</si>
  <si>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</si>
  <si>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</si>
  <si>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</si>
  <si>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</si>
  <si>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</si>
  <si>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</si>
  <si>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</si>
  <si>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</si>
  <si>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</si>
  <si>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</si>
  <si>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</si>
  <si>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</si>
  <si>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</si>
  <si>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</si>
  <si>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</si>
  <si>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</si>
  <si>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</si>
  <si>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</si>
  <si>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</si>
  <si>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</si>
  <si>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</si>
  <si>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</si>
  <si>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</si>
  <si>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</si>
  <si>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</si>
  <si>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</si>
  <si>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</si>
  <si>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</si>
  <si>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</si>
  <si>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</si>
  <si>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</si>
  <si>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</si>
  <si>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</si>
  <si>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</si>
  <si>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</si>
  <si>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</si>
  <si>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</si>
  <si>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</si>
  <si>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</si>
  <si>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</si>
  <si>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</si>
  <si>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</si>
  <si>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</si>
  <si>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</si>
  <si>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</si>
  <si>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</si>
  <si>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</si>
  <si>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</si>
  <si>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</si>
  <si>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</si>
  <si>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</si>
  <si>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</si>
  <si>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</si>
  <si>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</si>
  <si>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</si>
  <si>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</si>
  <si>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</si>
  <si>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</si>
  <si>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</si>
  <si>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</si>
  <si>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</si>
  <si>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</si>
  <si>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</si>
  <si>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</si>
  <si>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</si>
  <si>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</si>
  <si>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</si>
  <si>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</si>
  <si>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</si>
  <si>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</si>
  <si>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</si>
  <si>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</si>
  <si>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</si>
  <si>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</si>
  <si>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</si>
  <si>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</si>
  <si>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</si>
  <si>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</si>
  <si>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</si>
  <si>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</si>
  <si>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</si>
  <si>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</si>
  <si>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</si>
  <si>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</si>
  <si>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</si>
  <si>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</si>
  <si>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</si>
  <si>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</si>
  <si>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</si>
  <si>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</si>
  <si>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</si>
  <si>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</si>
  <si>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</si>
  <si>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</si>
  <si>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</si>
  <si>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</si>
  <si>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</si>
  <si>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</si>
  <si>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</si>
  <si>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</si>
  <si>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</si>
  <si>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</si>
  <si>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</si>
  <si>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</si>
  <si>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</si>
  <si>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</si>
  <si>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</si>
  <si>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</si>
  <si>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</si>
  <si>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</si>
  <si>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</si>
  <si>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</si>
  <si>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</si>
  <si>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</si>
  <si>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</si>
  <si>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</si>
  <si>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</si>
  <si>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</si>
  <si>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</si>
  <si>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</si>
  <si>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</si>
  <si>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</si>
  <si>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</si>
  <si>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</si>
  <si>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</si>
  <si>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</si>
  <si>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</si>
  <si>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</si>
  <si>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</si>
  <si>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</si>
  <si>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</si>
  <si>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</si>
  <si>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</si>
  <si>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</si>
  <si>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</si>
  <si>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</si>
  <si>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</si>
  <si>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</si>
  <si>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</si>
  <si>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</si>
  <si>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</si>
  <si>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</si>
  <si>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</si>
  <si>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</si>
  <si>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</si>
  <si>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</si>
  <si>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</si>
  <si>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</si>
  <si>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</si>
  <si>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</si>
  <si>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</si>
  <si>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</si>
  <si>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</si>
  <si>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</si>
  <si>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</si>
  <si>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</si>
  <si>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</si>
  <si>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</si>
  <si>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</si>
  <si>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</si>
  <si>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</si>
  <si>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</si>
  <si>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</si>
  <si>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</si>
  <si>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</si>
  <si>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</si>
  <si>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</si>
  <si>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</si>
  <si>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</si>
  <si>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</si>
  <si>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</si>
  <si>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</si>
  <si>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</si>
  <si>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</si>
  <si>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</si>
  <si>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</si>
  <si>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</si>
  <si>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</si>
  <si>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</si>
  <si>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</si>
  <si>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</si>
  <si>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</si>
  <si>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</si>
  <si>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</si>
  <si>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</si>
  <si>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</si>
  <si>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</si>
  <si>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</si>
  <si>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</si>
  <si>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</si>
  <si>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</si>
  <si>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</si>
  <si>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</si>
  <si>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</si>
  <si>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</si>
  <si>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</si>
  <si>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</si>
  <si>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</si>
  <si>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</si>
  <si>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</si>
  <si>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</si>
  <si>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</si>
  <si>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</si>
  <si>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</si>
  <si>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</si>
  <si>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</si>
  <si>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</si>
  <si>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</si>
  <si>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</si>
  <si>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</si>
  <si>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</si>
  <si>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</si>
  <si>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</si>
  <si>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</si>
  <si>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</si>
  <si>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</si>
  <si>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</si>
  <si>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</si>
  <si>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</si>
  <si>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</si>
  <si>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</si>
  <si>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</si>
  <si>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</si>
  <si>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</si>
  <si>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</si>
  <si>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</si>
  <si>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</si>
  <si>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</si>
  <si>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</si>
  <si>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</si>
  <si>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</si>
  <si>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</si>
  <si>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</si>
  <si>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</si>
  <si>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</si>
  <si>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</si>
  <si>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</si>
  <si>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</si>
  <si>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</si>
  <si>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</si>
  <si>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</si>
  <si>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</si>
  <si>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</si>
  <si>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</si>
  <si>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</si>
  <si>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</si>
  <si>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</si>
  <si>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</si>
  <si>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</si>
  <si>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</si>
  <si>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</si>
  <si>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</si>
  <si>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</si>
  <si>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</si>
  <si>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</si>
  <si>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</si>
  <si>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</si>
  <si>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</si>
  <si>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</si>
  <si>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</si>
  <si>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</si>
  <si>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</si>
  <si>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</si>
  <si>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</si>
  <si>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</si>
  <si>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</si>
  <si>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</si>
  <si>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</si>
  <si>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</si>
  <si>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</si>
  <si>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</si>
  <si>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</si>
  <si>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</si>
  <si>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</si>
  <si>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</si>
  <si>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</si>
  <si>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</si>
  <si>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</si>
  <si>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</si>
  <si>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</si>
  <si>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</si>
  <si>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</si>
  <si>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</si>
  <si>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</si>
  <si>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</si>
  <si>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</si>
  <si>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</si>
  <si>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</si>
  <si>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</si>
  <si>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</si>
  <si>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</si>
  <si>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</si>
  <si>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</si>
  <si>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</si>
  <si>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</si>
  <si>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</si>
  <si>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</si>
  <si>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</si>
  <si>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</si>
  <si>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</si>
  <si>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</si>
  <si>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</si>
  <si>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</si>
  <si>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</si>
  <si>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</si>
  <si>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</si>
  <si>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</si>
  <si>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</si>
  <si>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</si>
  <si>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</si>
  <si>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</si>
  <si>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</si>
  <si>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</si>
  <si>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</si>
  <si>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</si>
  <si>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</si>
  <si>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</si>
  <si>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</si>
  <si>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</si>
  <si>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</si>
  <si>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</si>
  <si>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</si>
  <si>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</si>
  <si>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</si>
  <si>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</si>
  <si>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</si>
  <si>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</si>
  <si>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</si>
  <si>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</si>
  <si>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</si>
  <si>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</si>
  <si>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</si>
  <si>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</si>
  <si>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</si>
  <si>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</si>
  <si>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</si>
  <si>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</si>
  <si>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</si>
  <si>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</si>
  <si>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</si>
  <si>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</si>
  <si>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</si>
  <si>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</si>
  <si>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</si>
  <si>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</si>
  <si>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</si>
  <si>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</si>
  <si>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</si>
  <si>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</si>
  <si>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</si>
  <si>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</si>
  <si>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</si>
  <si>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</si>
  <si>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</si>
  <si>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</si>
  <si>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</si>
  <si>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</si>
  <si>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</si>
  <si>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</si>
  <si>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</si>
  <si>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</si>
  <si>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</si>
  <si>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</si>
  <si>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</si>
  <si>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</si>
  <si>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</si>
  <si>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</si>
  <si>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</si>
  <si>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</si>
  <si>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</si>
  <si>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</si>
  <si>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</si>
  <si>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</si>
  <si>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</si>
  <si>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</si>
  <si>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</si>
  <si>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</si>
  <si>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</si>
  <si>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</si>
  <si>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</si>
  <si>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</si>
  <si>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</si>
  <si>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</si>
  <si>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</si>
  <si>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</si>
  <si>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</si>
  <si>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</si>
  <si>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</si>
  <si>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</si>
  <si>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</si>
  <si>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</si>
  <si>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</si>
  <si>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</si>
  <si>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</si>
  <si>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</si>
  <si>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</si>
  <si>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</si>
  <si>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</si>
  <si>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</si>
  <si>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</si>
  <si>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</si>
  <si>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</si>
  <si>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</si>
  <si>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</si>
  <si>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</si>
  <si>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</si>
  <si>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</si>
  <si>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</si>
  <si>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</si>
  <si>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</si>
  <si>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</si>
  <si>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</si>
  <si>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</si>
  <si>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</si>
  <si>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</si>
  <si>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</si>
  <si>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</si>
  <si>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</si>
  <si>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</si>
  <si>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</si>
  <si>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</si>
  <si>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</si>
  <si>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</si>
  <si>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</si>
  <si>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</si>
  <si>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</si>
  <si>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</si>
  <si>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</si>
  <si>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</si>
  <si>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</si>
  <si>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</si>
  <si>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</si>
  <si>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</si>
  <si>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</si>
  <si>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</si>
  <si>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</si>
  <si>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</si>
  <si>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</si>
  <si>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</si>
  <si>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</si>
  <si>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</si>
  <si>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</si>
  <si>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</si>
  <si>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</si>
  <si>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</si>
  <si>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</si>
  <si>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</si>
  <si>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</si>
  <si>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</si>
  <si>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</si>
  <si>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</si>
  <si>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</si>
  <si>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</si>
  <si>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</si>
  <si>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</si>
  <si>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</si>
  <si>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</si>
  <si>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</si>
  <si>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</si>
  <si>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</si>
  <si>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</si>
  <si>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</si>
  <si>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</si>
  <si>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</si>
  <si>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</si>
  <si>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</si>
  <si>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</si>
  <si>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</si>
  <si>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</si>
  <si>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</si>
  <si>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</si>
  <si>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</si>
  <si>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</si>
  <si>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</si>
  <si>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</si>
  <si>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</si>
  <si>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</si>
  <si>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</si>
  <si>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</si>
  <si>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</si>
  <si>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</si>
  <si>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</si>
  <si>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</si>
  <si>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</si>
  <si>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</si>
  <si>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</si>
  <si>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</si>
  <si>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</si>
  <si>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</si>
  <si>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</si>
  <si>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</si>
  <si>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</si>
  <si>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</si>
  <si>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</si>
  <si>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</si>
  <si>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</si>
  <si>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</si>
  <si>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</si>
  <si>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</si>
  <si>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</si>
  <si>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</si>
  <si>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</si>
  <si>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</si>
  <si>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</si>
  <si>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</si>
  <si>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</si>
  <si>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</si>
  <si>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</si>
  <si>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</si>
  <si>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</si>
  <si>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</si>
  <si>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</si>
  <si>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</si>
  <si>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</si>
  <si>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</si>
  <si>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</si>
  <si>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</si>
  <si>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</si>
  <si>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</si>
  <si>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</si>
  <si>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</si>
  <si>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</si>
  <si>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</si>
  <si>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</si>
  <si>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</si>
  <si>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</si>
  <si>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</si>
  <si>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</si>
  <si>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</si>
  <si>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</si>
  <si>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</si>
  <si>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</si>
  <si>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</si>
  <si>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</si>
  <si>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</si>
  <si>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</si>
  <si>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</si>
  <si>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</si>
  <si>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</si>
  <si>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</si>
  <si>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</si>
  <si>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</si>
  <si>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</si>
  <si>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</si>
  <si>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</si>
  <si>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</si>
  <si>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</si>
  <si>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</si>
  <si>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</si>
  <si>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</si>
  <si>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</si>
  <si>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</si>
  <si>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</si>
  <si>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</si>
  <si>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</si>
  <si>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</si>
  <si>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</si>
  <si>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</si>
  <si>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</si>
  <si>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</si>
  <si>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</si>
  <si>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</si>
  <si>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</si>
  <si>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</si>
  <si>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</si>
  <si>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</si>
  <si>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</si>
  <si>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</si>
  <si>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</si>
  <si>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</si>
  <si>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</si>
  <si>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</si>
  <si>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</si>
  <si>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</si>
  <si>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</si>
  <si>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</si>
  <si>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</si>
  <si>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</si>
  <si>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</si>
  <si>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</si>
  <si>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</si>
  <si>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</si>
  <si>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</si>
  <si>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</si>
  <si>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</si>
  <si>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</si>
  <si>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</si>
  <si>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</si>
  <si>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</si>
  <si>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</si>
  <si>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</si>
  <si>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</si>
  <si>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</si>
  <si>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</si>
  <si>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</si>
  <si>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</si>
  <si>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</si>
  <si>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</si>
  <si>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</si>
  <si>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</si>
  <si>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</si>
  <si>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</si>
  <si>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</si>
  <si>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</si>
  <si>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</si>
  <si>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</si>
  <si>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</si>
  <si>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</si>
  <si>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</si>
  <si>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</si>
  <si>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</si>
  <si>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</si>
  <si>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</si>
  <si>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</si>
  <si>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</si>
  <si>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</si>
  <si>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</si>
  <si>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</si>
  <si>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</si>
  <si>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</si>
  <si>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</si>
  <si>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</si>
  <si>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</si>
  <si>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</si>
  <si>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</si>
  <si>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</si>
  <si>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</si>
  <si>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</si>
  <si>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</si>
  <si>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</si>
  <si>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</si>
  <si>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</si>
  <si>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</si>
  <si>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</si>
  <si>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</si>
  <si>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</si>
  <si>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</si>
  <si>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</si>
  <si>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</si>
  <si>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</si>
  <si>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</si>
  <si>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</si>
  <si>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</si>
  <si>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</si>
  <si>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</si>
  <si>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</si>
  <si>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</si>
  <si>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</si>
  <si>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</si>
  <si>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</si>
  <si>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</si>
  <si>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</si>
  <si>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</si>
  <si>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</si>
  <si>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</si>
  <si>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</si>
  <si>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</si>
  <si>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</si>
  <si>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</si>
  <si>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</si>
  <si>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</si>
  <si>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</si>
  <si>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</si>
  <si>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</si>
  <si>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</si>
  <si>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</si>
  <si>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</si>
  <si>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</si>
  <si>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</si>
  <si>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</si>
  <si>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</si>
  <si>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</si>
  <si>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</si>
  <si>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</si>
  <si>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</si>
  <si>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</si>
  <si>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</si>
  <si>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</si>
  <si>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</si>
  <si>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</si>
  <si>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</si>
  <si>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</si>
  <si>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</si>
  <si>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</si>
  <si>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</si>
  <si>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</si>
  <si>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</si>
  <si>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</si>
  <si>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</si>
  <si>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</si>
  <si>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</si>
  <si>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</si>
  <si>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</si>
  <si>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</si>
  <si>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</si>
  <si>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</si>
  <si>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</si>
  <si>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</si>
  <si>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</si>
  <si>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</si>
  <si>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</si>
  <si>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</si>
  <si>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</si>
  <si>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</si>
  <si>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</si>
  <si>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</si>
  <si>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</si>
  <si>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</si>
  <si>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</si>
  <si>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</si>
  <si>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</si>
  <si>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</si>
  <si>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</si>
  <si>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</si>
  <si>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</si>
  <si>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</si>
  <si>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</si>
  <si>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</si>
  <si>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</si>
  <si>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</si>
  <si>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</si>
  <si>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</si>
  <si>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</si>
  <si>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</si>
  <si>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</si>
  <si>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</si>
  <si>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</si>
  <si>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</si>
  <si>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</si>
  <si>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</si>
  <si>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</si>
  <si>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</si>
  <si>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</si>
  <si>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</si>
  <si>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</si>
  <si>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</si>
  <si>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</si>
  <si>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</si>
  <si>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</si>
  <si>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</si>
  <si>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</si>
  <si>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</si>
  <si>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</si>
  <si>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</si>
  <si>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</si>
  <si>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</si>
  <si>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</si>
  <si>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</si>
  <si>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</si>
  <si>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</si>
  <si>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</si>
  <si>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</si>
  <si>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</si>
  <si>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</si>
  <si>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</si>
  <si>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</si>
  <si>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</si>
  <si>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</si>
  <si>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</si>
  <si>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</si>
  <si>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</si>
  <si>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</si>
  <si>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</si>
  <si>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</si>
  <si>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</si>
  <si>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</si>
  <si>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</si>
  <si>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</si>
  <si>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</si>
  <si>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</si>
  <si>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</si>
  <si>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</si>
  <si>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</si>
  <si>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</si>
  <si>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</si>
  <si>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</si>
  <si>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</si>
  <si>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</si>
  <si>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</si>
  <si>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</si>
  <si>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</si>
  <si>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</si>
  <si>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</si>
  <si>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</si>
  <si>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</si>
  <si>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</si>
  <si>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</si>
  <si>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</si>
  <si>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</si>
  <si>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</si>
  <si>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</si>
  <si>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</si>
  <si>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</si>
  <si>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</si>
  <si>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</si>
  <si>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</si>
  <si>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</si>
  <si>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</si>
  <si>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</si>
  <si>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</si>
  <si>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</si>
  <si>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</si>
  <si>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</si>
  <si>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</si>
  <si>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</si>
  <si>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</si>
  <si>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</si>
  <si>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</si>
  <si>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</si>
  <si>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</si>
  <si>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</si>
  <si>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</si>
  <si>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</si>
  <si>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</si>
  <si>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</si>
  <si>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</si>
  <si>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</si>
  <si>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</si>
  <si>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</si>
  <si>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</si>
  <si>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</si>
  <si>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</si>
  <si>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</si>
  <si>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</si>
  <si>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</si>
  <si>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</si>
  <si>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</si>
  <si>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</si>
  <si>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</si>
  <si>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</si>
  <si>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</si>
  <si>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</si>
  <si>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</si>
  <si>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</si>
  <si>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</si>
  <si>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</si>
  <si>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</si>
  <si>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</si>
  <si>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</si>
  <si>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</si>
  <si>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</si>
  <si>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</si>
  <si>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</si>
  <si>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</si>
  <si>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</si>
  <si>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</si>
  <si>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</si>
  <si>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</si>
  <si>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</si>
  <si>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</si>
  <si>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</si>
  <si>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</si>
  <si>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</si>
  <si>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</si>
  <si>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</si>
  <si>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</si>
  <si>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</si>
  <si>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</si>
  <si>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</si>
  <si>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</si>
  <si>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</si>
  <si>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</si>
  <si>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</si>
  <si>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</si>
  <si>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</si>
  <si>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</si>
  <si>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</si>
  <si>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</si>
  <si>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</si>
  <si>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</si>
  <si>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</si>
  <si>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</si>
  <si>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</si>
  <si>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</si>
  <si>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</si>
  <si>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</si>
  <si>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</si>
  <si>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</si>
  <si>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</si>
  <si>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</si>
  <si>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</si>
  <si>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</si>
  <si>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</si>
  <si>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</si>
  <si>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</si>
  <si>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</si>
  <si>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</si>
  <si>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</si>
  <si>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</si>
  <si>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</si>
  <si>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</si>
  <si>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</si>
  <si>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</si>
  <si>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</si>
  <si>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</si>
  <si>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</si>
  <si>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</si>
  <si>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</si>
  <si>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</si>
  <si>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</si>
  <si>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</si>
  <si>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</si>
  <si>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</si>
  <si>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</si>
  <si>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</si>
  <si>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</si>
  <si>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</si>
  <si>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</si>
  <si>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</si>
  <si>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</si>
  <si>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</si>
  <si>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</si>
  <si>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</si>
  <si>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</si>
  <si>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</si>
  <si>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</si>
  <si>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</si>
  <si>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</si>
  <si>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</si>
  <si>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</si>
  <si>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</si>
  <si>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</si>
  <si>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</si>
  <si>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</si>
  <si>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</si>
  <si>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</si>
  <si>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</si>
  <si>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</si>
  <si>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</si>
  <si>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</si>
  <si>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</si>
  <si>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</si>
  <si>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</si>
  <si>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</si>
  <si>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</si>
  <si>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</si>
  <si>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</si>
  <si>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</si>
  <si>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</si>
  <si>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</si>
  <si>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</si>
  <si>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</si>
  <si>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</si>
  <si>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</si>
  <si>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</si>
  <si>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</si>
  <si>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</si>
  <si>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</si>
  <si>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</si>
  <si>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</si>
  <si>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</si>
  <si>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</si>
  <si>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</si>
  <si>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</si>
  <si>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</si>
  <si>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</si>
  <si>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</si>
  <si>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</si>
  <si>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</si>
  <si>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</si>
  <si>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</si>
  <si>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</si>
  <si>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</si>
  <si>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</si>
  <si>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</si>
  <si>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</si>
  <si>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</si>
  <si>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</si>
  <si>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</si>
  <si>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</si>
  <si>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</si>
  <si>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</si>
  <si>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</si>
  <si>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</si>
  <si>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</si>
  <si>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</si>
  <si>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</si>
  <si>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</si>
  <si>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</si>
  <si>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</si>
  <si>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</si>
  <si>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</si>
  <si>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</si>
  <si>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</si>
  <si>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</si>
  <si>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</si>
  <si>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</si>
  <si>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</si>
  <si>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</si>
  <si>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</si>
  <si>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</si>
  <si>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</si>
  <si>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</si>
  <si>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</si>
  <si>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</si>
  <si>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</si>
  <si>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</si>
  <si>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</si>
  <si>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</si>
  <si>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</si>
  <si>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</si>
  <si>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</si>
  <si>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</si>
  <si>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</si>
  <si>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</si>
  <si>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</si>
  <si>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</si>
  <si>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</si>
  <si>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</si>
  <si>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</si>
  <si>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</si>
  <si>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</si>
  <si>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</si>
  <si>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</si>
  <si>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</si>
  <si>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</si>
  <si>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</si>
  <si>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</si>
  <si>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</si>
  <si>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</si>
  <si>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</si>
  <si>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</si>
  <si>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</si>
  <si>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</si>
  <si>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</si>
  <si>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</si>
  <si>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</si>
  <si>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</si>
  <si>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</si>
  <si>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</si>
  <si>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</si>
  <si>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</si>
  <si>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</si>
  <si>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</si>
  <si>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</si>
  <si>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</si>
  <si>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</si>
  <si>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</si>
  <si>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</si>
  <si>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</si>
  <si>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</si>
  <si>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</si>
  <si>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</si>
  <si>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</si>
  <si>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</si>
  <si>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</si>
  <si>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</si>
  <si>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</si>
  <si>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</si>
  <si>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</si>
  <si>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</si>
  <si>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</si>
  <si>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</si>
  <si>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</si>
  <si>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</si>
  <si>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</si>
  <si>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</si>
  <si>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</si>
  <si>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</si>
  <si>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</si>
  <si>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</si>
  <si>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</si>
  <si>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</si>
  <si>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</si>
  <si>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</si>
  <si>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</si>
  <si>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</si>
  <si>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</si>
  <si>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</si>
  <si>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</si>
  <si>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</si>
  <si>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McHenry County</t>
  </si>
  <si>
    <t>Crystal Lake</t>
  </si>
  <si>
    <t>Tighe, Kress &amp; Orr, P.C.</t>
  </si>
  <si>
    <t>Cynthia Petschke</t>
  </si>
  <si>
    <t>2001 Larkin Avenue, Suite 202</t>
  </si>
  <si>
    <t>Elgin</t>
  </si>
  <si>
    <t>IL</t>
  </si>
  <si>
    <t>847-695-2700</t>
  </si>
  <si>
    <t>847-695-2748</t>
  </si>
  <si>
    <t>065-036379</t>
  </si>
  <si>
    <t>Cynthia.Petschke@tkocpa.com</t>
  </si>
  <si>
    <t>Steve Olson</t>
  </si>
  <si>
    <t>solson@d155.org</t>
  </si>
  <si>
    <t>815-455-8500</t>
  </si>
  <si>
    <t>Life Safety Bonds, Series 2014 B</t>
  </si>
  <si>
    <t>Limited school Bonds, Series 2015</t>
  </si>
  <si>
    <t>X</t>
  </si>
  <si>
    <t>TJA - Transportation Joint Agreement - D47 and D155</t>
  </si>
  <si>
    <t>Asset 190 - Flex Deposit</t>
  </si>
  <si>
    <t>Revenue 1719 - Other entry fees</t>
  </si>
  <si>
    <t>Revenue 1790 - Miscellaneous activity fund receipts, library fines, techonology fees</t>
  </si>
  <si>
    <t>Revenue 1890 - Student textbook fines</t>
  </si>
  <si>
    <t>Revenue 1993 - Educational - Other local grants</t>
  </si>
  <si>
    <t>Revenue 1999 - Educational - Contributions from employees for medical/dental insruance premiums, preschool fees.</t>
  </si>
  <si>
    <t>Revenue 1999 - Operations and Maintenance - Scrap deposits and other local revenue</t>
  </si>
  <si>
    <t>Revenue 4299 - Non cash commodities</t>
  </si>
  <si>
    <t>Revenue 4799 - CTE Perkins - Secondary</t>
  </si>
  <si>
    <t>Expenditure 2490 - Other building administrative expenditures</t>
  </si>
  <si>
    <t>Expenditure 4190 - Security payments to other local governmental units</t>
  </si>
  <si>
    <t>Expenditure 5400 - Bond fees</t>
  </si>
  <si>
    <t>Community High School District 155</t>
  </si>
  <si>
    <t>Schedule of Expenditures of Federal Awards</t>
  </si>
  <si>
    <r>
      <t>Expenditure/Disbursements</t>
    </r>
    <r>
      <rPr>
        <b/>
        <vertAlign val="superscript"/>
        <sz val="8"/>
        <rFont val="Arial"/>
        <family val="2"/>
      </rPr>
      <t>4</t>
    </r>
  </si>
  <si>
    <t>Federal Grantor/Pass-Through Grantor/</t>
  </si>
  <si>
    <r>
      <t>Number</t>
    </r>
    <r>
      <rPr>
        <b/>
        <vertAlign val="superscript"/>
        <sz val="9"/>
        <rFont val="Arial"/>
        <family val="2"/>
      </rPr>
      <t>2</t>
    </r>
  </si>
  <si>
    <t>or Contract #3</t>
  </si>
  <si>
    <t>7/1/18-6/30/19</t>
  </si>
  <si>
    <t>7/1/19-6/30/20</t>
  </si>
  <si>
    <t>U.S Department of Agriculture</t>
  </si>
  <si>
    <t>Flow Through Illinois Department of Education</t>
  </si>
  <si>
    <t xml:space="preserve">  National School Lunch</t>
  </si>
  <si>
    <t>19-4210-00</t>
  </si>
  <si>
    <t>N/A</t>
  </si>
  <si>
    <t>20-4210-00</t>
  </si>
  <si>
    <t xml:space="preserve">  School Breakfast Program</t>
  </si>
  <si>
    <t>20-4220-00</t>
  </si>
  <si>
    <t xml:space="preserve">  Summer Food Service Program</t>
  </si>
  <si>
    <t>20-4225-00</t>
  </si>
  <si>
    <t xml:space="preserve">  Food Commodities - Department of Defense Fresh Fruit &amp; Vegetables</t>
  </si>
  <si>
    <t>20-4250-00</t>
  </si>
  <si>
    <t xml:space="preserve">  Commodities</t>
  </si>
  <si>
    <t>20-4299-00</t>
  </si>
  <si>
    <t>Total U.S. Department of Agriculture</t>
  </si>
  <si>
    <t>U.S. Department of Education</t>
  </si>
  <si>
    <t xml:space="preserve">  IDEA Room &amp; Board</t>
  </si>
  <si>
    <t>84.027A</t>
  </si>
  <si>
    <t>19-4625-00</t>
  </si>
  <si>
    <t>19-4625-XC</t>
  </si>
  <si>
    <t>84.010A</t>
  </si>
  <si>
    <t>20-4625-00</t>
  </si>
  <si>
    <t>84.367A</t>
  </si>
  <si>
    <t xml:space="preserve">  Title I - Low Income</t>
  </si>
  <si>
    <t>19-4300-00</t>
  </si>
  <si>
    <t>84.424A</t>
  </si>
  <si>
    <t>20-4300-00</t>
  </si>
  <si>
    <t>84.425D</t>
  </si>
  <si>
    <t xml:space="preserve">  Title II - Teacher Quality</t>
  </si>
  <si>
    <t>19-4932-00</t>
  </si>
  <si>
    <t>20-4932-00</t>
  </si>
  <si>
    <t xml:space="preserve">  Title IV - Student Support &amp; Academic Enrichment</t>
  </si>
  <si>
    <t>20-4400-00</t>
  </si>
  <si>
    <t xml:space="preserve">  IDEA Flow Through</t>
  </si>
  <si>
    <t>19-4620-00</t>
  </si>
  <si>
    <t>20-4620-00</t>
  </si>
  <si>
    <t xml:space="preserve">  Elementary and Secondary School Emergency Fund</t>
  </si>
  <si>
    <t>20-4998-ER</t>
  </si>
  <si>
    <r>
      <t xml:space="preserve">    </t>
    </r>
    <r>
      <rPr>
        <b/>
        <sz val="8"/>
        <rFont val="Arial"/>
        <family val="2"/>
      </rPr>
      <t>Total Flow Through Illinois Department of Education</t>
    </r>
  </si>
  <si>
    <t>Flow Through McHenry County Cooperative for Employment Education</t>
  </si>
  <si>
    <t xml:space="preserve">  CTE - Perkins - Secondary</t>
  </si>
  <si>
    <t>84.048A</t>
  </si>
  <si>
    <t>19-4905-00</t>
  </si>
  <si>
    <t>20-4905-00</t>
  </si>
  <si>
    <r>
      <t xml:space="preserve">    </t>
    </r>
    <r>
      <rPr>
        <b/>
        <sz val="8"/>
        <rFont val="Arial"/>
        <family val="2"/>
      </rPr>
      <t>Total Flow Through McHenry County Cooperative for Employment Education</t>
    </r>
  </si>
  <si>
    <t>Total U.S. Department of Education</t>
  </si>
  <si>
    <t>Department of Health and Human Services</t>
  </si>
  <si>
    <t>Flow Through Illinois Department of Healthcare and Family Services</t>
  </si>
  <si>
    <t xml:space="preserve">  Medicaid Administrative Outreach</t>
  </si>
  <si>
    <t>20-4900-00</t>
  </si>
  <si>
    <t>Total Flow Through Illinois Department of Healthcare and Family Services</t>
  </si>
  <si>
    <t>Total Department of Health and Human Services</t>
  </si>
  <si>
    <t>Total Schedule of Expenditures of Federal Awards</t>
  </si>
  <si>
    <t>Food Commodities - Department of Defense</t>
  </si>
  <si>
    <t>Commodities</t>
  </si>
  <si>
    <t>Unmodified</t>
  </si>
  <si>
    <t>Child Nutrition Cluster</t>
  </si>
  <si>
    <t>Food Commodities - Department of Defense Fresh Fruit &amp; Vegetable</t>
  </si>
  <si>
    <t>Commodities (noncash)</t>
  </si>
  <si>
    <t>IDEA Room and Board</t>
  </si>
  <si>
    <t>IDEA Flow Through</t>
  </si>
  <si>
    <t>See SEFA-1</t>
  </si>
  <si>
    <t>NONE</t>
  </si>
  <si>
    <t>Revenue 1690- Food Service Rebates</t>
  </si>
  <si>
    <r>
      <t xml:space="preserve">The accompanying Schedule of Expenditures of Federal Awards includes the federal grant activity of </t>
    </r>
    <r>
      <rPr>
        <b/>
        <sz val="9"/>
        <rFont val="Calibri"/>
        <family val="2"/>
        <scheme val="minor"/>
      </rPr>
      <t>Community High School District #155</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</si>
  <si>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Community High School District # 155</t>
    </r>
    <r>
      <rPr>
        <sz val="9"/>
        <rFont val="Calibri"/>
        <family val="2"/>
        <scheme val="minor"/>
      </rPr>
      <t xml:space="preserve"> provided federal awards to subrecipients as follows:</t>
    </r>
  </si>
  <si>
    <t>One South Virginia Road</t>
  </si>
  <si>
    <t>Revenue 1993 - Capital Projects - Other student activity receipts</t>
  </si>
  <si>
    <t>Revenue 1999 - Capital Projects - Energy rebats and other local revenue</t>
  </si>
  <si>
    <t>Revenue 3999 - Educational - State Library Grant</t>
  </si>
  <si>
    <t>Revenue 3999 - Capital Projects - State Culinary Grant</t>
  </si>
  <si>
    <t>Revenue 4998 - CARES Act Funding</t>
  </si>
  <si>
    <t>Education-Instruction</t>
  </si>
  <si>
    <t>Oper. &amp; Naubt. Plant Services</t>
  </si>
  <si>
    <t>Education-Instruction Staff</t>
  </si>
  <si>
    <t>Education-Instuction</t>
  </si>
  <si>
    <t>Education-Instruction-General Admin.</t>
  </si>
  <si>
    <t>Education-Fiscal Services</t>
  </si>
  <si>
    <t>Education-Data Processing Services</t>
  </si>
  <si>
    <t>Food Service</t>
  </si>
  <si>
    <t>10-2660-300</t>
  </si>
  <si>
    <t>Active Internet Technologies</t>
  </si>
  <si>
    <t>Alexander Leigh Center for Autism</t>
  </si>
  <si>
    <t>10-1000-300</t>
  </si>
  <si>
    <t>Alexian Brothers Behavioral Health Resources</t>
  </si>
  <si>
    <t>Brehm Preparatory School, Inc.</t>
  </si>
  <si>
    <t>20-2540-400</t>
  </si>
  <si>
    <t>Caby &amp; Company</t>
  </si>
  <si>
    <t>Centerpoint Energy Service</t>
  </si>
  <si>
    <t>10-2200-400</t>
  </si>
  <si>
    <t>College Board</t>
  </si>
  <si>
    <t>Cove School, The</t>
  </si>
  <si>
    <t>FlexPriint LLC Managed Technology Service</t>
  </si>
  <si>
    <t>FlexPrint, LLC</t>
  </si>
  <si>
    <t>Frederic L. Chamberlain Center, Inc.</t>
  </si>
  <si>
    <t>20-2540-300</t>
  </si>
  <si>
    <t>Geske And Sons, Inc.</t>
  </si>
  <si>
    <t>10-2300-300</t>
  </si>
  <si>
    <t>Hodges-Loizzi-Eisenhammer Rodick &amp; Kohn</t>
  </si>
  <si>
    <t>10-2200-300</t>
  </si>
  <si>
    <t>Instructure</t>
  </si>
  <si>
    <t>KidsPeace Corporation</t>
  </si>
  <si>
    <t>Mid American Energy Co.</t>
  </si>
  <si>
    <t>10-1000-400</t>
  </si>
  <si>
    <t>Midland Paper</t>
  </si>
  <si>
    <t>New Connections Academy</t>
  </si>
  <si>
    <t>10-2520-300</t>
  </si>
  <si>
    <t>RevTrak Inc.</t>
  </si>
  <si>
    <t>Sage YMCA of Metropolitan Chicago</t>
  </si>
  <si>
    <t>40-2550-300</t>
  </si>
  <si>
    <t xml:space="preserve">SchoolBells LTD. </t>
  </si>
  <si>
    <t>Seal Of Illinois</t>
  </si>
  <si>
    <t>Service-Centered Operations Support, Inc</t>
  </si>
  <si>
    <t>10-2660-400</t>
  </si>
  <si>
    <t>Skyward Account Dept.</t>
  </si>
  <si>
    <t>10-2560-300</t>
  </si>
  <si>
    <t>Sodexo Inc &amp; Affiliates</t>
  </si>
  <si>
    <t>Tighe, Kress &amp; Orr</t>
  </si>
  <si>
    <t>Transportation Joint Agreement- TJA</t>
  </si>
  <si>
    <t>10-2520-400</t>
  </si>
  <si>
    <t>Tyler Technologies, Inc.</t>
  </si>
  <si>
    <t>U.S. Security Associates, Inc.</t>
  </si>
  <si>
    <t>Verizon Wireless</t>
  </si>
  <si>
    <t xml:space="preserve"> CHSD 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</si>
</sst>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1"/>
      <name val="Arial"/>
      <family val="2"/>
    </font>
    <font>
      <b/>
      <vertAlign val="superscript"/>
      <sz val="8"/>
      <name val="Arial"/>
      <family val="2"/>
    </font>
    <font>
      <b/>
      <vertAlign val="superscript"/>
      <sz val="9"/>
      <name val="Arial"/>
      <family val="2"/>
    </font>
    <font>
      <sz val="11"/>
      <color theme="1"/>
      <name val="Calibri"/>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595959"/>
      </left>
      <right style="thin">
        <color rgb="FF595959"/>
      </right>
      <top style="thin">
        <color rgb="FF595959"/>
      </top>
      <bottom style="thin">
        <color rgb="FF595959"/>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67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31"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56" fillId="0" borderId="126" xfId="3" applyNumberFormat="1" applyFont="1" applyBorder="1" applyAlignment="1">
      <alignment vertical="center"/>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0" applyNumberFormat="1" applyFont="1" applyBorder="1" applyAlignment="1">
      <alignment horizontal="center" vertical="center" wrapText="1"/>
    </xf>
    <xf numFmtId="0" fontId="64" fillId="0" borderId="125"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31"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6" fillId="0" borderId="169" xfId="20" applyFont="1" applyBorder="1" applyAlignment="1">
      <alignment horizontal="center"/>
    </xf>
    <xf numFmtId="0" fontId="56" fillId="0" borderId="174"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8" xfId="20" applyFont="1" applyBorder="1" applyAlignment="1">
      <alignment horizontal="center"/>
    </xf>
    <xf numFmtId="0" fontId="56" fillId="26" borderId="77" xfId="20" applyFont="1" applyFill="1" applyBorder="1"/>
    <xf numFmtId="0" fontId="56" fillId="26" borderId="77" xfId="20" applyFont="1" applyFill="1" applyBorder="1" applyAlignment="1">
      <alignment horizontal="center"/>
    </xf>
    <xf numFmtId="38" fontId="56" fillId="26" borderId="0"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77" xfId="20" applyNumberFormat="1" applyFont="1" applyFill="1" applyBorder="1" applyAlignment="1">
      <alignment horizontal="center"/>
    </xf>
    <xf numFmtId="38" fontId="64" fillId="16" borderId="172" xfId="20" applyNumberFormat="1" applyFont="1" applyFill="1" applyBorder="1" applyAlignment="1">
      <alignment horizontal="center" wrapText="1"/>
    </xf>
    <xf numFmtId="38" fontId="64" fillId="16" borderId="170" xfId="20" applyNumberFormat="1" applyFont="1" applyFill="1" applyBorder="1" applyAlignment="1">
      <alignment horizontal="center"/>
    </xf>
    <xf numFmtId="38" fontId="64" fillId="16" borderId="175" xfId="20" applyNumberFormat="1" applyFont="1" applyFill="1" applyBorder="1" applyAlignment="1">
      <alignment horizontal="center"/>
    </xf>
    <xf numFmtId="38" fontId="64" fillId="16" borderId="179" xfId="20" applyNumberFormat="1" applyFont="1" applyFill="1" applyBorder="1" applyAlignment="1">
      <alignment horizontal="center"/>
    </xf>
    <xf numFmtId="0" fontId="56" fillId="0" borderId="181" xfId="3" applyNumberFormat="1" applyFont="1" applyBorder="1" applyAlignment="1">
      <alignment vertical="center"/>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56" fillId="0" borderId="182" xfId="20" applyFont="1" applyBorder="1"/>
    <xf numFmtId="0" fontId="56" fillId="0" borderId="0" xfId="20" applyFont="1" applyBorder="1"/>
    <xf numFmtId="0" fontId="56" fillId="0" borderId="183" xfId="20" applyFont="1" applyBorder="1"/>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38" fontId="64"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4" fillId="0" borderId="164" xfId="3" applyNumberFormat="1" applyFont="1" applyBorder="1" applyAlignment="1">
      <alignment horizontal="center" vertical="center"/>
    </xf>
    <xf numFmtId="0" fontId="64" fillId="0" borderId="164" xfId="3" applyNumberFormat="1" applyFont="1" applyBorder="1" applyAlignment="1">
      <alignment horizontal="left" vertical="center"/>
    </xf>
    <xf numFmtId="0" fontId="56" fillId="0" borderId="182" xfId="3" applyNumberFormat="1" applyFont="1" applyBorder="1" applyAlignment="1">
      <alignment vertical="center"/>
    </xf>
    <xf numFmtId="0" fontId="56" fillId="0" borderId="183" xfId="3" applyNumberFormat="1" applyFont="1" applyBorder="1" applyAlignment="1">
      <alignment vertical="center"/>
    </xf>
    <xf numFmtId="0" fontId="64" fillId="22" borderId="190" xfId="3" applyNumberFormat="1" applyFont="1" applyFill="1" applyBorder="1" applyAlignment="1">
      <alignment horizontal="left"/>
    </xf>
    <xf numFmtId="0" fontId="56" fillId="22" borderId="191" xfId="3" applyNumberFormat="1" applyFont="1" applyFill="1" applyBorder="1" applyAlignment="1">
      <alignment vertical="center"/>
    </xf>
    <xf numFmtId="0" fontId="56" fillId="0" borderId="190" xfId="3" applyNumberFormat="1" applyFont="1" applyBorder="1" applyAlignment="1">
      <alignment vertical="center"/>
    </xf>
    <xf numFmtId="0" fontId="56" fillId="0" borderId="182" xfId="3" applyNumberFormat="1" applyFont="1" applyFill="1" applyBorder="1" applyAlignment="1">
      <alignment vertical="center"/>
    </xf>
    <xf numFmtId="164" fontId="64" fillId="0" borderId="192" xfId="3" applyNumberFormat="1" applyFont="1" applyBorder="1" applyAlignment="1">
      <alignment horizontal="right" vertical="center"/>
    </xf>
    <xf numFmtId="164" fontId="64" fillId="0" borderId="192" xfId="3" applyNumberFormat="1" applyFont="1" applyBorder="1" applyAlignment="1">
      <alignment vertical="top"/>
    </xf>
    <xf numFmtId="0" fontId="56" fillId="0" borderId="182"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82" xfId="3" applyNumberFormat="1" applyFont="1" applyBorder="1" applyAlignment="1">
      <alignment vertical="center"/>
    </xf>
    <xf numFmtId="0" fontId="56" fillId="0" borderId="182"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82"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7" xfId="3" applyNumberFormat="1" applyFont="1" applyBorder="1" applyAlignment="1">
      <alignment vertical="center"/>
    </xf>
    <xf numFmtId="0" fontId="56" fillId="0" borderId="188" xfId="3" applyNumberFormat="1" applyFont="1" applyBorder="1" applyAlignment="1">
      <alignment vertical="center"/>
    </xf>
    <xf numFmtId="0" fontId="56" fillId="0" borderId="189" xfId="3" applyNumberFormat="1" applyFont="1" applyBorder="1" applyAlignment="1">
      <alignment vertical="center"/>
    </xf>
    <xf numFmtId="0" fontId="98" fillId="0" borderId="182" xfId="20" applyFont="1" applyBorder="1"/>
    <xf numFmtId="0" fontId="87"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0" fillId="0" borderId="0" xfId="20" applyFont="1"/>
    <xf numFmtId="0" fontId="141" fillId="0" borderId="182" xfId="20" applyFont="1" applyBorder="1" applyAlignment="1"/>
    <xf numFmtId="38" fontId="56" fillId="0" borderId="171" xfId="20" applyNumberFormat="1" applyFont="1" applyBorder="1" applyAlignment="1" applyProtection="1">
      <alignment horizontal="center"/>
      <protection locked="0"/>
    </xf>
    <xf numFmtId="38" fontId="56" fillId="0" borderId="169" xfId="20" applyNumberFormat="1" applyFont="1" applyBorder="1" applyAlignment="1" applyProtection="1">
      <alignment horizontal="center"/>
      <protection locked="0"/>
    </xf>
    <xf numFmtId="38" fontId="56" fillId="0" borderId="176" xfId="20" applyNumberFormat="1" applyFont="1" applyBorder="1" applyAlignment="1" applyProtection="1">
      <alignment horizontal="center"/>
      <protection locked="0"/>
    </xf>
    <xf numFmtId="38" fontId="56" fillId="0" borderId="174" xfId="20" applyNumberFormat="1" applyFont="1" applyBorder="1" applyAlignment="1" applyProtection="1">
      <alignment horizontal="center"/>
      <protection locked="0"/>
    </xf>
    <xf numFmtId="38" fontId="56" fillId="0" borderId="180" xfId="20" applyNumberFormat="1" applyFont="1" applyBorder="1" applyAlignment="1" applyProtection="1">
      <alignment horizontal="center"/>
      <protection locked="0"/>
    </xf>
    <xf numFmtId="38" fontId="56" fillId="0" borderId="178" xfId="20" applyNumberFormat="1" applyFont="1" applyBorder="1" applyAlignment="1" applyProtection="1">
      <alignment horizontal="center"/>
      <protection locked="0"/>
    </xf>
    <xf numFmtId="0" fontId="0" fillId="0" borderId="0" xfId="0"/>
    <xf numFmtId="0" fontId="0" fillId="0" borderId="0" xfId="0" applyFill="1"/>
    <xf numFmtId="3"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11" fillId="0" borderId="22" xfId="3" applyNumberFormat="1" applyFont="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9" fillId="0" borderId="0" xfId="3" applyFill="1" applyProtection="1"/>
    <xf numFmtId="0" fontId="142" fillId="0" borderId="0" xfId="3" applyFont="1" applyFill="1" applyAlignment="1" applyProtection="1">
      <alignment horizontal="center" vertical="center"/>
    </xf>
    <xf numFmtId="0" fontId="9" fillId="0" borderId="45" xfId="3" applyFill="1" applyBorder="1" applyProtection="1"/>
    <xf numFmtId="169" fontId="11" fillId="0" borderId="45" xfId="3" applyNumberFormat="1" applyFont="1" applyFill="1" applyBorder="1" applyAlignment="1" applyProtection="1">
      <alignment horizontal="center"/>
    </xf>
    <xf numFmtId="1" fontId="11" fillId="0" borderId="143" xfId="3" applyNumberFormat="1" applyFont="1" applyFill="1" applyBorder="1" applyAlignment="1" applyProtection="1">
      <alignment horizontal="center"/>
    </xf>
    <xf numFmtId="0" fontId="11" fillId="0" borderId="142" xfId="3" applyFont="1" applyFill="1" applyBorder="1" applyAlignment="1" applyProtection="1">
      <alignment horizontal="centerContinuous"/>
    </xf>
    <xf numFmtId="0" fontId="11" fillId="0" borderId="143" xfId="3" applyFont="1" applyFill="1" applyBorder="1" applyAlignment="1" applyProtection="1">
      <alignment horizontal="centerContinuous"/>
    </xf>
    <xf numFmtId="0" fontId="11" fillId="0" borderId="73" xfId="3" applyFont="1" applyFill="1" applyBorder="1" applyAlignment="1" applyProtection="1">
      <alignment horizontal="centerContinuous"/>
    </xf>
    <xf numFmtId="0" fontId="11" fillId="0" borderId="45" xfId="3" applyFont="1" applyFill="1" applyBorder="1" applyAlignment="1" applyProtection="1">
      <alignment horizontal="center"/>
    </xf>
    <xf numFmtId="0" fontId="11" fillId="0" borderId="143" xfId="3" applyFont="1" applyFill="1" applyBorder="1" applyAlignment="1" applyProtection="1">
      <alignment horizontal="center"/>
    </xf>
    <xf numFmtId="0" fontId="11" fillId="0" borderId="5" xfId="3" applyFont="1" applyFill="1" applyBorder="1" applyAlignment="1" applyProtection="1">
      <alignment horizontal="left" indent="1"/>
    </xf>
    <xf numFmtId="169" fontId="11" fillId="0" borderId="44" xfId="3" applyNumberFormat="1" applyFont="1" applyFill="1" applyBorder="1" applyAlignment="1" applyProtection="1">
      <alignment horizontal="center"/>
    </xf>
    <xf numFmtId="1" fontId="11" fillId="0" borderId="40" xfId="3" applyNumberFormat="1" applyFont="1" applyFill="1" applyBorder="1" applyAlignment="1" applyProtection="1">
      <alignment horizontal="center"/>
    </xf>
    <xf numFmtId="0" fontId="11" fillId="0" borderId="44" xfId="3" applyFont="1" applyFill="1" applyBorder="1" applyAlignment="1" applyProtection="1">
      <alignment horizontal="center"/>
    </xf>
    <xf numFmtId="0" fontId="11" fillId="0" borderId="40" xfId="3" applyFont="1" applyFill="1" applyBorder="1" applyAlignment="1" applyProtection="1">
      <alignment horizontal="center"/>
    </xf>
    <xf numFmtId="0" fontId="11" fillId="0" borderId="5" xfId="3" applyFont="1" applyFill="1" applyBorder="1" applyAlignment="1" applyProtection="1">
      <alignment horizontal="center"/>
    </xf>
    <xf numFmtId="0" fontId="11" fillId="0" borderId="72" xfId="3" applyFont="1" applyFill="1" applyBorder="1" applyAlignment="1" applyProtection="1">
      <alignment horizontal="center"/>
    </xf>
    <xf numFmtId="0" fontId="11" fillId="0" borderId="71" xfId="3" applyFont="1" applyFill="1" applyBorder="1" applyAlignment="1" applyProtection="1">
      <alignment horizontal="left" indent="1"/>
    </xf>
    <xf numFmtId="169" fontId="11" fillId="0" borderId="8" xfId="3" applyNumberFormat="1" applyFont="1" applyFill="1" applyBorder="1" applyAlignment="1" applyProtection="1">
      <alignment horizontal="center"/>
    </xf>
    <xf numFmtId="1" fontId="11" fillId="0" borderId="59" xfId="3" applyNumberFormat="1" applyFont="1" applyFill="1" applyBorder="1" applyAlignment="1" applyProtection="1">
      <alignment horizontal="center"/>
    </xf>
    <xf numFmtId="0" fontId="11" fillId="0" borderId="8" xfId="3" applyFont="1" applyFill="1" applyBorder="1" applyAlignment="1" applyProtection="1">
      <alignment horizontal="center"/>
    </xf>
    <xf numFmtId="0" fontId="11" fillId="0" borderId="59" xfId="3" applyFont="1" applyFill="1" applyBorder="1" applyAlignment="1" applyProtection="1">
      <alignment horizontal="center"/>
    </xf>
    <xf numFmtId="0" fontId="11" fillId="0" borderId="50" xfId="3" applyFont="1" applyFill="1" applyBorder="1" applyAlignment="1" applyProtection="1">
      <alignment horizontal="center"/>
    </xf>
    <xf numFmtId="0" fontId="11" fillId="0" borderId="70" xfId="3" applyFont="1" applyFill="1" applyBorder="1" applyAlignment="1" applyProtection="1">
      <alignment horizontal="center"/>
    </xf>
    <xf numFmtId="3" fontId="11" fillId="0" borderId="22" xfId="3" applyNumberFormat="1" applyFont="1" applyFill="1" applyBorder="1" applyAlignment="1" applyProtection="1">
      <alignment horizontal="left" vertical="center" wrapText="1"/>
      <protection locked="0"/>
    </xf>
    <xf numFmtId="169" fontId="10" fillId="0" borderId="8" xfId="3" applyNumberFormat="1" applyFont="1" applyFill="1" applyBorder="1" applyAlignment="1" applyProtection="1">
      <alignment horizontal="center"/>
      <protection locked="0"/>
    </xf>
    <xf numFmtId="1" fontId="10" fillId="0" borderId="8" xfId="3" applyNumberFormat="1" applyFont="1" applyFill="1" applyBorder="1" applyAlignment="1" applyProtection="1">
      <alignment horizontal="center"/>
      <protection locked="0"/>
    </xf>
    <xf numFmtId="3" fontId="10" fillId="0" borderId="8" xfId="3" applyNumberFormat="1" applyFont="1" applyFill="1" applyBorder="1" applyAlignment="1" applyProtection="1">
      <alignment horizontal="center"/>
      <protection locked="0"/>
    </xf>
    <xf numFmtId="0" fontId="9" fillId="0" borderId="0" xfId="3" applyFill="1" applyAlignment="1" applyProtection="1">
      <alignment textRotation="180" wrapText="1"/>
    </xf>
    <xf numFmtId="169" fontId="9" fillId="0" borderId="0" xfId="3" applyNumberFormat="1" applyFill="1" applyProtection="1"/>
    <xf numFmtId="0" fontId="9" fillId="0" borderId="0" xfId="3" applyFill="1" applyAlignment="1" applyProtection="1">
      <alignment horizontal="center"/>
    </xf>
    <xf numFmtId="3" fontId="10" fillId="0" borderId="22" xfId="3" applyNumberFormat="1" applyFont="1" applyFill="1" applyBorder="1" applyAlignment="1" applyProtection="1">
      <alignment horizontal="left" vertical="center"/>
      <protection locked="0"/>
    </xf>
    <xf numFmtId="3" fontId="9" fillId="0" borderId="0" xfId="3" applyNumberFormat="1" applyFill="1" applyProtection="1"/>
    <xf numFmtId="0" fontId="145" fillId="0" borderId="196" xfId="0" applyFont="1" applyBorder="1" applyAlignment="1">
      <alignment horizontal="left" vertical="top" wrapText="1"/>
    </xf>
    <xf numFmtId="184" fontId="145" fillId="0" borderId="196" xfId="0" applyNumberFormat="1" applyFont="1" applyBorder="1" applyAlignment="1">
      <alignment horizontal="center" vertical="top"/>
    </xf>
    <xf numFmtId="0" fontId="145" fillId="0" borderId="196" xfId="0" applyFont="1" applyBorder="1" applyAlignment="1">
      <alignment vertical="top"/>
    </xf>
    <xf numFmtId="38" fontId="145" fillId="0" borderId="196" xfId="0" applyNumberFormat="1" applyFont="1" applyBorder="1" applyAlignment="1">
      <alignment horizontal="right" vertical="top"/>
    </xf>
    <xf numFmtId="184" fontId="145" fillId="0" borderId="196" xfId="0" applyNumberFormat="1" applyFont="1" applyBorder="1" applyAlignment="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56" fillId="0" borderId="173" xfId="20" applyFont="1" applyBorder="1" applyAlignment="1"/>
    <xf numFmtId="0" fontId="56" fillId="0" borderId="174" xfId="20" applyFont="1" applyBorder="1" applyAlignment="1"/>
    <xf numFmtId="0" fontId="56" fillId="0" borderId="177" xfId="20" applyFont="1" applyBorder="1" applyAlignment="1"/>
    <xf numFmtId="0" fontId="56" fillId="0" borderId="178" xfId="20" applyFont="1" applyBorder="1" applyAlignment="1"/>
    <xf numFmtId="0" fontId="64" fillId="0" borderId="186" xfId="20" applyFont="1" applyBorder="1" applyAlignment="1"/>
    <xf numFmtId="0" fontId="64" fillId="0" borderId="77" xfId="20" applyFont="1" applyBorder="1" applyAlignment="1"/>
    <xf numFmtId="0" fontId="56" fillId="0" borderId="173" xfId="20" applyFont="1" applyBorder="1" applyAlignment="1">
      <alignment wrapText="1"/>
    </xf>
    <xf numFmtId="0" fontId="56" fillId="0" borderId="174"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0" fontId="56" fillId="0" borderId="126" xfId="3" applyNumberFormat="1" applyFont="1" applyBorder="1" applyAlignment="1">
      <alignment horizontal="left" vertical="center" indent="1"/>
    </xf>
    <xf numFmtId="0" fontId="56" fillId="0" borderId="184" xfId="3" applyNumberFormat="1" applyFont="1" applyBorder="1" applyAlignment="1">
      <alignment horizontal="left" vertical="center"/>
    </xf>
    <xf numFmtId="166" fontId="56" fillId="0" borderId="21" xfId="3" applyNumberFormat="1" applyFont="1" applyBorder="1" applyAlignment="1">
      <alignment horizontal="left" vertical="center" indent="1"/>
    </xf>
    <xf numFmtId="166" fontId="56" fillId="0" borderId="185" xfId="3" applyNumberFormat="1" applyFont="1" applyBorder="1" applyAlignment="1">
      <alignment horizontal="left" vertical="center" indent="1"/>
    </xf>
    <xf numFmtId="0" fontId="56" fillId="26" borderId="186" xfId="20" applyFont="1" applyFill="1" applyBorder="1"/>
    <xf numFmtId="0" fontId="56" fillId="26" borderId="77" xfId="20" applyFont="1" applyFill="1" applyBorder="1"/>
    <xf numFmtId="0" fontId="64" fillId="0" borderId="164" xfId="20" applyFont="1" applyBorder="1" applyAlignment="1">
      <alignment horizontal="center" wrapText="1"/>
    </xf>
    <xf numFmtId="0" fontId="64"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68" xfId="20" applyFont="1" applyBorder="1" applyAlignment="1"/>
    <xf numFmtId="0" fontId="56" fillId="0" borderId="169" xfId="20" applyFont="1" applyBorder="1" applyAlignment="1"/>
    <xf numFmtId="0" fontId="79" fillId="0" borderId="131" xfId="3" applyNumberFormat="1" applyFont="1" applyBorder="1" applyAlignment="1">
      <alignment horizontal="center"/>
    </xf>
    <xf numFmtId="0" fontId="56" fillId="0" borderId="126" xfId="3" applyNumberFormat="1" applyFont="1" applyBorder="1" applyAlignment="1">
      <alignment horizontal="left" vertical="center"/>
    </xf>
    <xf numFmtId="0" fontId="56" fillId="22" borderId="182"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0" fontId="64" fillId="0" borderId="191"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32" xfId="3" applyNumberFormat="1"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NumberFormat="1" applyFont="1" applyBorder="1" applyAlignment="1" applyProtection="1">
      <alignment horizont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14" fontId="19" fillId="0" borderId="0" xfId="3" applyNumberFormat="1" applyFont="1" applyFill="1" applyAlignment="1" applyProtection="1">
      <alignment horizontal="center" vertical="center"/>
    </xf>
    <xf numFmtId="0" fontId="19" fillId="0" borderId="0" xfId="3" applyNumberFormat="1" applyFont="1" applyFill="1" applyAlignment="1" applyProtection="1">
      <alignment horizontal="center" vertical="center"/>
    </xf>
    <xf numFmtId="0" fontId="12" fillId="0" borderId="0" xfId="3" applyNumberFormat="1" applyFont="1" applyFill="1" applyAlignment="1" applyProtection="1">
      <alignment horizontal="center"/>
    </xf>
    <xf numFmtId="0" fontId="12" fillId="0" borderId="0" xfId="3" applyNumberFormat="1" applyFont="1" applyFill="1" applyAlignment="1">
      <alignment horizontal="center"/>
    </xf>
    <xf numFmtId="165" fontId="19" fillId="0" borderId="0" xfId="3" applyNumberFormat="1" applyFont="1" applyFill="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6</xdr:row>
          <xdr:rowOff>0</xdr:rowOff>
        </xdr:from>
        <xdr:to>
          <xdr:col>1</xdr:col>
          <xdr:colOff>1981200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6">
        <f>+'AFR20'!E4</f>
        <v>44119</v>
      </c>
      <c r="C1" s="2166"/>
      <c r="D1" s="2167"/>
      <c r="I1" s="2125" t="s">
        <v>402</v>
      </c>
      <c r="J1" s="2126"/>
      <c r="K1" s="2126"/>
      <c r="L1" s="2126"/>
      <c r="M1" s="2126"/>
      <c r="N1" s="2126"/>
      <c r="O1" s="2126"/>
      <c r="P1" s="2126"/>
      <c r="Q1" s="2126"/>
      <c r="R1" s="2126"/>
      <c r="S1" s="2126"/>
    </row>
    <row r="2" spans="1:32" ht="12" customHeight="1" x14ac:dyDescent="0.2">
      <c r="A2" s="1831" t="str">
        <f>"Due to ISBE on "</f>
        <v xml:space="preserve">Due to ISBE on </v>
      </c>
      <c r="B2" s="2168">
        <f>+'AFR20'!F4</f>
        <v>44151</v>
      </c>
      <c r="C2" s="2168"/>
      <c r="D2" s="2169"/>
      <c r="I2" s="2127" t="s">
        <v>2001</v>
      </c>
      <c r="J2" s="2126"/>
      <c r="K2" s="2126"/>
      <c r="L2" s="2126"/>
      <c r="M2" s="2126"/>
      <c r="N2" s="2126"/>
      <c r="O2" s="2126"/>
      <c r="P2" s="2126"/>
      <c r="Q2" s="2126"/>
      <c r="R2" s="2126"/>
      <c r="S2" s="2126"/>
    </row>
    <row r="3" spans="1:32" ht="12" customHeight="1" x14ac:dyDescent="0.2">
      <c r="A3" s="1834"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t="s">
        <v>2049</v>
      </c>
      <c r="C5" s="26" t="s">
        <v>904</v>
      </c>
      <c r="D5" s="81"/>
      <c r="E5" s="81"/>
      <c r="H5" s="38"/>
      <c r="I5" s="2135" t="s">
        <v>675</v>
      </c>
      <c r="J5" s="2134"/>
      <c r="K5" s="2134"/>
      <c r="L5" s="2134"/>
      <c r="M5" s="2134"/>
      <c r="N5" s="2134"/>
      <c r="O5" s="2134"/>
      <c r="P5" s="2134"/>
      <c r="Q5" s="2134"/>
      <c r="R5" s="2134"/>
      <c r="S5" s="2134"/>
      <c r="AF5" s="1827"/>
    </row>
    <row r="6" spans="1:32" ht="14.1" customHeight="1" x14ac:dyDescent="0.2">
      <c r="B6" s="101"/>
      <c r="C6" s="26" t="s">
        <v>905</v>
      </c>
      <c r="D6" s="81"/>
      <c r="E6" s="81"/>
      <c r="I6" s="2133" t="s">
        <v>877</v>
      </c>
      <c r="J6" s="2134"/>
      <c r="K6" s="2134"/>
      <c r="L6" s="2134"/>
      <c r="M6" s="2134"/>
      <c r="N6" s="2134"/>
      <c r="O6" s="2134"/>
      <c r="P6" s="2134"/>
      <c r="Q6" s="2134"/>
      <c r="R6" s="2134"/>
      <c r="S6" s="2134"/>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183" t="s">
        <v>530</v>
      </c>
      <c r="U9" s="2184"/>
      <c r="V9" s="2184"/>
      <c r="W9" s="2184"/>
      <c r="X9" s="2184"/>
      <c r="Y9" s="2184"/>
      <c r="Z9" s="2184"/>
      <c r="AA9" s="2185"/>
    </row>
    <row r="10" spans="1:32" ht="13.5" customHeight="1" x14ac:dyDescent="0.2">
      <c r="A10" s="2190" t="s">
        <v>670</v>
      </c>
      <c r="B10" s="2191"/>
      <c r="C10" s="2191"/>
      <c r="D10" s="2191"/>
      <c r="E10" s="2191"/>
      <c r="F10" s="2191"/>
      <c r="G10" s="2191"/>
      <c r="H10" s="2192"/>
      <c r="I10" s="29"/>
      <c r="J10" s="30"/>
      <c r="K10" s="28"/>
      <c r="R10" s="30"/>
      <c r="S10" s="30"/>
      <c r="T10" s="2186"/>
      <c r="U10" s="2134"/>
      <c r="V10" s="2134"/>
      <c r="W10" s="2134"/>
      <c r="X10" s="2134"/>
      <c r="Y10" s="2134"/>
      <c r="Z10" s="2134"/>
      <c r="AA10" s="2140"/>
    </row>
    <row r="11" spans="1:32" ht="14.25" customHeight="1" x14ac:dyDescent="0.2">
      <c r="A11" s="2193" t="s">
        <v>949</v>
      </c>
      <c r="B11" s="2194"/>
      <c r="C11" s="2194"/>
      <c r="D11" s="2194"/>
      <c r="E11" s="2194"/>
      <c r="F11" s="2194"/>
      <c r="G11" s="2194"/>
      <c r="H11" s="2195"/>
      <c r="I11" s="27"/>
      <c r="J11" s="71"/>
      <c r="K11" s="27"/>
      <c r="O11" s="144"/>
      <c r="P11" s="97" t="s">
        <v>199</v>
      </c>
      <c r="Q11" s="30"/>
      <c r="R11" s="28"/>
      <c r="S11" s="27"/>
      <c r="T11" s="2187"/>
      <c r="U11" s="2188"/>
      <c r="V11" s="2188"/>
      <c r="W11" s="2188"/>
      <c r="X11" s="2188"/>
      <c r="Y11" s="2188"/>
      <c r="Z11" s="2188"/>
      <c r="AA11" s="2189"/>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146">
        <v>44063155016</v>
      </c>
      <c r="B13" s="2147"/>
      <c r="C13" s="2147"/>
      <c r="D13" s="2147"/>
      <c r="E13" s="2147"/>
      <c r="F13" s="2147"/>
      <c r="G13" s="2147"/>
      <c r="H13" s="2148"/>
      <c r="I13" s="31"/>
      <c r="J13" s="30"/>
      <c r="K13" s="28"/>
      <c r="L13" s="30"/>
      <c r="M13" s="30"/>
      <c r="N13" s="30"/>
      <c r="O13" s="30"/>
      <c r="P13" s="30"/>
      <c r="Q13" s="30"/>
      <c r="R13" s="30"/>
      <c r="S13" s="30"/>
      <c r="T13" s="2152" t="s">
        <v>2052</v>
      </c>
      <c r="U13" s="2153"/>
      <c r="V13" s="2153"/>
      <c r="W13" s="2153"/>
      <c r="X13" s="2153"/>
      <c r="Y13" s="2154"/>
      <c r="Z13" s="2154"/>
      <c r="AA13" s="215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49" t="s">
        <v>2050</v>
      </c>
      <c r="B15" s="2150"/>
      <c r="C15" s="2150"/>
      <c r="D15" s="2150"/>
      <c r="E15" s="2150"/>
      <c r="F15" s="2150"/>
      <c r="G15" s="2150"/>
      <c r="H15" s="2151"/>
      <c r="T15" s="2156" t="s">
        <v>2053</v>
      </c>
      <c r="U15" s="2113"/>
      <c r="V15" s="2113"/>
      <c r="W15" s="2113"/>
      <c r="X15" s="2113"/>
      <c r="Y15" s="2157"/>
      <c r="Z15" s="2157"/>
      <c r="AA15" s="215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9" t="s">
        <v>2211</v>
      </c>
      <c r="B17" s="2120"/>
      <c r="C17" s="2120"/>
      <c r="D17" s="2120"/>
      <c r="E17" s="2120"/>
      <c r="F17" s="2120"/>
      <c r="G17" s="2120"/>
      <c r="H17" s="2145"/>
      <c r="T17" s="2163" t="s">
        <v>2054</v>
      </c>
      <c r="U17" s="2164"/>
      <c r="V17" s="2164"/>
      <c r="W17" s="2164"/>
      <c r="X17" s="2164"/>
      <c r="Y17" s="2164"/>
      <c r="Z17" s="2164"/>
      <c r="AA17" s="2165"/>
    </row>
    <row r="18" spans="1:27" ht="13.5" customHeight="1" x14ac:dyDescent="0.2">
      <c r="A18" s="82" t="s">
        <v>527</v>
      </c>
      <c r="B18" s="73"/>
      <c r="C18" s="69"/>
      <c r="D18" s="73"/>
      <c r="E18" s="73"/>
      <c r="F18" s="73"/>
      <c r="G18" s="73"/>
      <c r="H18" s="53"/>
      <c r="I18" s="2144" t="s">
        <v>671</v>
      </c>
      <c r="J18" s="2095"/>
      <c r="K18" s="2095"/>
      <c r="L18" s="2095"/>
      <c r="M18" s="2095"/>
      <c r="N18" s="2095"/>
      <c r="O18" s="2095"/>
      <c r="P18" s="2095"/>
      <c r="Q18" s="2095"/>
      <c r="R18" s="2095"/>
      <c r="S18" s="2096"/>
      <c r="T18" s="82" t="s">
        <v>706</v>
      </c>
      <c r="U18" s="48"/>
      <c r="V18" s="69"/>
      <c r="W18" s="47"/>
      <c r="X18" s="82" t="s">
        <v>264</v>
      </c>
      <c r="Y18" s="78"/>
      <c r="Z18" s="154" t="s">
        <v>672</v>
      </c>
      <c r="AA18" s="44"/>
    </row>
    <row r="19" spans="1:27" ht="13.5" customHeight="1" x14ac:dyDescent="0.2">
      <c r="A19" s="2149" t="s">
        <v>2154</v>
      </c>
      <c r="B19" s="2105"/>
      <c r="C19" s="2105"/>
      <c r="D19" s="2105"/>
      <c r="E19" s="2105"/>
      <c r="F19" s="2105"/>
      <c r="G19" s="2105"/>
      <c r="H19" s="2085"/>
      <c r="I19" s="30"/>
      <c r="J19" s="96"/>
      <c r="K19" s="40"/>
      <c r="L19" s="38"/>
      <c r="M19" s="109" t="s">
        <v>312</v>
      </c>
      <c r="P19" s="27"/>
      <c r="Q19" s="27"/>
      <c r="R19" s="27"/>
      <c r="S19" s="31"/>
      <c r="T19" s="2149" t="s">
        <v>2055</v>
      </c>
      <c r="U19" s="2084"/>
      <c r="V19" s="2084"/>
      <c r="W19" s="2085"/>
      <c r="X19" s="2161" t="s">
        <v>2056</v>
      </c>
      <c r="Y19" s="2162"/>
      <c r="Z19" s="2159">
        <v>60123</v>
      </c>
      <c r="AA19" s="216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2051</v>
      </c>
      <c r="B21" s="2084"/>
      <c r="C21" s="2084"/>
      <c r="D21" s="2084"/>
      <c r="E21" s="2084"/>
      <c r="F21" s="2084"/>
      <c r="G21" s="2084"/>
      <c r="H21" s="2085"/>
      <c r="I21" s="2139" t="s">
        <v>673</v>
      </c>
      <c r="J21" s="2134"/>
      <c r="K21" s="2134"/>
      <c r="L21" s="2134"/>
      <c r="M21" s="2134"/>
      <c r="N21" s="2134"/>
      <c r="O21" s="2134"/>
      <c r="P21" s="2134"/>
      <c r="Q21" s="2134"/>
      <c r="R21" s="2134"/>
      <c r="S21" s="2140"/>
      <c r="T21" s="2174" t="s">
        <v>2057</v>
      </c>
      <c r="U21" s="2175"/>
      <c r="V21" s="2175"/>
      <c r="W21" s="2175"/>
      <c r="X21" s="2180" t="s">
        <v>2058</v>
      </c>
      <c r="Y21" s="2181"/>
      <c r="Z21" s="2181"/>
      <c r="AA21" s="2182"/>
    </row>
    <row r="22" spans="1:27" ht="13.5" customHeight="1" x14ac:dyDescent="0.2">
      <c r="A22" s="84" t="s">
        <v>528</v>
      </c>
      <c r="B22" s="56"/>
      <c r="C22" s="56"/>
      <c r="D22" s="56"/>
      <c r="E22" s="56"/>
      <c r="F22" s="56"/>
      <c r="G22" s="56"/>
      <c r="H22" s="57"/>
      <c r="I22" s="2141" t="s">
        <v>1412</v>
      </c>
      <c r="J22" s="2142"/>
      <c r="K22" s="2142"/>
      <c r="L22" s="2142"/>
      <c r="M22" s="2142"/>
      <c r="N22" s="2142"/>
      <c r="O22" s="2142"/>
      <c r="P22" s="2142"/>
      <c r="Q22" s="2142"/>
      <c r="R22" s="2142"/>
      <c r="S22" s="2143"/>
      <c r="T22" s="82" t="s">
        <v>1499</v>
      </c>
      <c r="U22" s="48"/>
      <c r="V22" s="69"/>
      <c r="W22" s="48"/>
      <c r="X22" s="155" t="s">
        <v>1307</v>
      </c>
      <c r="Z22" s="43"/>
      <c r="AA22" s="44"/>
    </row>
    <row r="23" spans="1:27" ht="13.5" customHeight="1" x14ac:dyDescent="0.2">
      <c r="A23" s="2136"/>
      <c r="B23" s="2137"/>
      <c r="C23" s="2137"/>
      <c r="D23" s="2137"/>
      <c r="E23" s="2137"/>
      <c r="F23" s="2137"/>
      <c r="G23" s="2137"/>
      <c r="H23" s="2138"/>
      <c r="T23" s="2119" t="s">
        <v>2059</v>
      </c>
      <c r="U23" s="2173"/>
      <c r="V23" s="2173"/>
      <c r="W23" s="2173"/>
      <c r="X23" s="2177">
        <v>44469</v>
      </c>
      <c r="Y23" s="2178"/>
      <c r="Z23" s="2178"/>
      <c r="AA23" s="2179"/>
    </row>
    <row r="24" spans="1:27" ht="14.1" customHeight="1" x14ac:dyDescent="0.2">
      <c r="A24" s="85" t="s">
        <v>672</v>
      </c>
      <c r="B24" s="46"/>
      <c r="C24" s="46"/>
      <c r="D24" s="46"/>
      <c r="E24" s="46"/>
      <c r="F24" s="46"/>
      <c r="G24" s="46"/>
      <c r="H24" s="58"/>
      <c r="J24" s="2106">
        <f>IF(B5="x",IF(AUDITCHECK!D29="AFR form Incomplete.","",IF(AUDITCHECK!D29="Deficit reduction plan is required.","School District must complete a deficit reduction plan in the 2020-2021 Budget",)),"")</f>
        <v>0</v>
      </c>
      <c r="K24" s="2106"/>
      <c r="L24" s="2106"/>
      <c r="M24" s="2106"/>
      <c r="N24" s="2106"/>
      <c r="O24" s="2106"/>
      <c r="P24" s="2106"/>
      <c r="Q24" s="2106"/>
      <c r="R24" s="2106"/>
      <c r="S24" s="2107"/>
      <c r="T24" s="102" t="s">
        <v>528</v>
      </c>
      <c r="U24" s="103"/>
      <c r="V24" s="103"/>
      <c r="W24" s="103"/>
      <c r="X24" s="104"/>
      <c r="Y24" s="104"/>
      <c r="Z24" s="104"/>
      <c r="AA24" s="105"/>
    </row>
    <row r="25" spans="1:27" ht="14.1" customHeight="1" x14ac:dyDescent="0.2">
      <c r="A25" s="2083">
        <v>60014</v>
      </c>
      <c r="B25" s="2084"/>
      <c r="C25" s="2084"/>
      <c r="D25" s="2084"/>
      <c r="E25" s="2084"/>
      <c r="F25" s="2084"/>
      <c r="G25" s="2084"/>
      <c r="H25" s="2085"/>
      <c r="I25" s="110"/>
      <c r="J25" s="2108"/>
      <c r="K25" s="2108"/>
      <c r="L25" s="2108"/>
      <c r="M25" s="2108"/>
      <c r="N25" s="2108"/>
      <c r="O25" s="2108"/>
      <c r="P25" s="2108"/>
      <c r="Q25" s="2108"/>
      <c r="R25" s="2108"/>
      <c r="S25" s="2109"/>
      <c r="T25" s="2170" t="s">
        <v>2060</v>
      </c>
      <c r="U25" s="2171"/>
      <c r="V25" s="2171"/>
      <c r="W25" s="2171"/>
      <c r="X25" s="2171"/>
      <c r="Y25" s="2171"/>
      <c r="Z25" s="2171"/>
      <c r="AA25" s="217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4" t="s">
        <v>1494</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5"/>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9" t="s">
        <v>2061</v>
      </c>
      <c r="B38" s="2120"/>
      <c r="C38" s="2120"/>
      <c r="D38" s="2120"/>
      <c r="E38" s="2120"/>
      <c r="F38" s="2084"/>
      <c r="G38" s="2084"/>
      <c r="H38" s="2085"/>
      <c r="I38" s="2112"/>
      <c r="J38" s="2113"/>
      <c r="K38" s="2113"/>
      <c r="L38" s="2113"/>
      <c r="M38" s="2113"/>
      <c r="N38" s="2113"/>
      <c r="O38" s="2113"/>
      <c r="P38" s="2114"/>
      <c r="Q38" s="2114"/>
      <c r="R38" s="2114"/>
      <c r="S38" s="2115"/>
      <c r="T38" s="2156"/>
      <c r="U38" s="2113"/>
      <c r="V38" s="2113"/>
      <c r="W38" s="2113"/>
      <c r="X38" s="2114"/>
      <c r="Y38" s="2114"/>
      <c r="Z38" s="2114"/>
      <c r="AA38" s="2115"/>
    </row>
    <row r="39" spans="1:27" ht="12" customHeight="1" x14ac:dyDescent="0.2">
      <c r="A39" s="2089" t="s">
        <v>528</v>
      </c>
      <c r="B39" s="2090"/>
      <c r="C39" s="69"/>
      <c r="D39" s="66"/>
      <c r="E39" s="66"/>
      <c r="F39" s="76"/>
      <c r="G39" s="66"/>
      <c r="H39" s="53"/>
      <c r="I39" s="2089" t="s">
        <v>528</v>
      </c>
      <c r="J39" s="2090"/>
      <c r="K39" s="2090"/>
      <c r="L39" s="2090"/>
      <c r="M39" s="2090"/>
      <c r="N39" s="64"/>
      <c r="O39" s="69"/>
      <c r="P39" s="69"/>
      <c r="Q39" s="75"/>
      <c r="R39" s="69"/>
      <c r="S39" s="53"/>
      <c r="T39" s="69" t="s">
        <v>528</v>
      </c>
      <c r="U39" s="48"/>
      <c r="V39" s="69"/>
      <c r="W39" s="47"/>
      <c r="X39" s="75"/>
      <c r="Y39" s="43"/>
      <c r="Z39" s="43"/>
      <c r="AA39" s="44"/>
    </row>
    <row r="40" spans="1:27" ht="13.5" customHeight="1" x14ac:dyDescent="0.2">
      <c r="A40" s="2097" t="s">
        <v>2062</v>
      </c>
      <c r="B40" s="2098"/>
      <c r="C40" s="2099"/>
      <c r="D40" s="2099"/>
      <c r="E40" s="2099"/>
      <c r="F40" s="2100"/>
      <c r="G40" s="2100"/>
      <c r="H40" s="2101"/>
      <c r="I40" s="2122"/>
      <c r="J40" s="2123"/>
      <c r="K40" s="2123"/>
      <c r="L40" s="2123"/>
      <c r="M40" s="2123"/>
      <c r="N40" s="2123"/>
      <c r="O40" s="2123"/>
      <c r="P40" s="2123"/>
      <c r="Q40" s="2123"/>
      <c r="R40" s="2123"/>
      <c r="S40" s="2124"/>
      <c r="T40" s="2122"/>
      <c r="U40" s="2176"/>
      <c r="V40" s="2123"/>
      <c r="W40" s="2123"/>
      <c r="X40" s="2123"/>
      <c r="Y40" s="2123"/>
      <c r="Z40" s="2123"/>
      <c r="AA40" s="212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1" t="s">
        <v>2063</v>
      </c>
      <c r="B42" s="2103"/>
      <c r="C42" s="2104"/>
      <c r="D42" s="2102"/>
      <c r="E42" s="2103"/>
      <c r="F42" s="2103"/>
      <c r="G42" s="2103"/>
      <c r="H42" s="2104"/>
      <c r="I42" s="2086"/>
      <c r="J42" s="2087"/>
      <c r="K42" s="2087"/>
      <c r="L42" s="2087"/>
      <c r="M42" s="2087"/>
      <c r="N42" s="2087"/>
      <c r="O42" s="2088"/>
      <c r="P42" s="2121"/>
      <c r="Q42" s="2087"/>
      <c r="R42" s="2087"/>
      <c r="S42" s="2088"/>
      <c r="T42" s="2086"/>
      <c r="U42" s="2087"/>
      <c r="V42" s="2087"/>
      <c r="W42" s="2088"/>
      <c r="X42" s="2121"/>
      <c r="Y42" s="2087"/>
      <c r="Z42" s="2087"/>
      <c r="AA42" s="208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6"/>
      <c r="B44" s="2117"/>
      <c r="C44" s="2117"/>
      <c r="D44" s="2117"/>
      <c r="E44" s="2117"/>
      <c r="F44" s="2117"/>
      <c r="G44" s="2117"/>
      <c r="H44" s="2118"/>
      <c r="I44" s="2091"/>
      <c r="J44" s="2092"/>
      <c r="K44" s="2092"/>
      <c r="L44" s="2092"/>
      <c r="M44" s="2092"/>
      <c r="N44" s="2092"/>
      <c r="O44" s="2092"/>
      <c r="P44" s="2092"/>
      <c r="Q44" s="2092"/>
      <c r="R44" s="2092"/>
      <c r="S44" s="2093"/>
      <c r="T44" s="2091"/>
      <c r="U44" s="2110"/>
      <c r="V44" s="2110"/>
      <c r="W44" s="2110"/>
      <c r="X44" s="2110"/>
      <c r="Y44" s="2110"/>
      <c r="Z44" s="2092"/>
      <c r="AA44" s="209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4"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5"/>
      <c r="B3" s="1294"/>
      <c r="C3" s="1295"/>
      <c r="D3" s="1296" t="s">
        <v>254</v>
      </c>
      <c r="E3" s="1295"/>
      <c r="F3" s="1296" t="s">
        <v>255</v>
      </c>
    </row>
    <row r="4" spans="1:8" ht="13.7" customHeight="1" x14ac:dyDescent="0.2">
      <c r="A4" s="579" t="s">
        <v>1145</v>
      </c>
      <c r="B4" s="1721">
        <f>'Revenues 9-14'!C5</f>
        <v>62518182</v>
      </c>
      <c r="C4" s="1722">
        <v>29925248</v>
      </c>
      <c r="D4" s="1723">
        <f>B4-C4</f>
        <v>32592934</v>
      </c>
      <c r="E4" s="1722">
        <v>64420503</v>
      </c>
      <c r="F4" s="1723">
        <f>E4-C4</f>
        <v>34495255</v>
      </c>
    </row>
    <row r="5" spans="1:8" ht="13.7" customHeight="1" x14ac:dyDescent="0.2">
      <c r="A5" s="579" t="s">
        <v>865</v>
      </c>
      <c r="B5" s="1724">
        <f>'Revenues 9-14'!D5</f>
        <v>5185971</v>
      </c>
      <c r="C5" s="1664">
        <v>2470767</v>
      </c>
      <c r="D5" s="1725">
        <f t="shared" ref="D5:D18" si="0">B5-C5</f>
        <v>2715204</v>
      </c>
      <c r="E5" s="1664">
        <v>5318854</v>
      </c>
      <c r="F5" s="1725">
        <f>E5-C5</f>
        <v>2848087</v>
      </c>
    </row>
    <row r="6" spans="1:8" ht="13.7" customHeight="1" x14ac:dyDescent="0.2">
      <c r="A6" s="579" t="s">
        <v>408</v>
      </c>
      <c r="B6" s="1724">
        <f>'Revenues 9-14'!E5</f>
        <v>1374849</v>
      </c>
      <c r="C6" s="1664">
        <v>640213</v>
      </c>
      <c r="D6" s="1725">
        <f t="shared" si="0"/>
        <v>734636</v>
      </c>
      <c r="E6" s="1664">
        <v>1378205</v>
      </c>
      <c r="F6" s="1725">
        <f t="shared" ref="F6:F18" si="1">E6-C6</f>
        <v>737992</v>
      </c>
    </row>
    <row r="7" spans="1:8" ht="13.7" customHeight="1" x14ac:dyDescent="0.2">
      <c r="A7" s="579" t="s">
        <v>154</v>
      </c>
      <c r="B7" s="1724">
        <f>'Revenues 9-14'!F5</f>
        <v>1451787</v>
      </c>
      <c r="C7" s="1664">
        <v>691681</v>
      </c>
      <c r="D7" s="1725">
        <f t="shared" si="0"/>
        <v>760106</v>
      </c>
      <c r="E7" s="1664">
        <v>1488990</v>
      </c>
      <c r="F7" s="1725">
        <f t="shared" si="1"/>
        <v>797309</v>
      </c>
    </row>
    <row r="8" spans="1:8" ht="13.7" customHeight="1" x14ac:dyDescent="0.2">
      <c r="A8" s="579" t="s">
        <v>1169</v>
      </c>
      <c r="B8" s="1724">
        <f>'Revenues 9-14'!G5</f>
        <v>465494</v>
      </c>
      <c r="C8" s="1664">
        <v>221764</v>
      </c>
      <c r="D8" s="1725">
        <f t="shared" si="0"/>
        <v>243730</v>
      </c>
      <c r="E8" s="1664">
        <v>477395</v>
      </c>
      <c r="F8" s="1725">
        <f t="shared" si="1"/>
        <v>255631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1801038</v>
      </c>
      <c r="C14" s="1664">
        <v>858100</v>
      </c>
      <c r="D14" s="1725">
        <f t="shared" si="0"/>
        <v>942938</v>
      </c>
      <c r="E14" s="1664">
        <v>1847244</v>
      </c>
      <c r="F14" s="1725">
        <f t="shared" si="1"/>
        <v>989144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1337916</v>
      </c>
      <c r="C16" s="1664">
        <v>498061</v>
      </c>
      <c r="D16" s="1725">
        <f t="shared" si="0"/>
        <v>839855</v>
      </c>
      <c r="E16" s="1664">
        <v>1072183</v>
      </c>
      <c r="F16" s="1725">
        <f t="shared" si="1"/>
        <v>574122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74135237</v>
      </c>
      <c r="C19" s="1726">
        <f>SUM(C4:C18)</f>
        <v>35305834</v>
      </c>
      <c r="D19" s="1726">
        <f>SUM(D4:D18)</f>
        <v>38829403</v>
      </c>
      <c r="E19" s="1726">
        <f>SUM(E4:E18)</f>
        <v>76003374</v>
      </c>
      <c r="F19" s="1726">
        <f>SUM(F4:F18)</f>
        <v>40697540</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8"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6" t="s">
        <v>625</v>
      </c>
      <c r="B1" s="2354"/>
      <c r="C1" s="585"/>
    </row>
    <row r="2" spans="1:7" ht="33.75" x14ac:dyDescent="0.2">
      <c r="A2" s="2361" t="s">
        <v>1777</v>
      </c>
      <c r="B2" s="236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63" t="s">
        <v>1104</v>
      </c>
      <c r="B3" s="2364"/>
      <c r="C3" s="2357"/>
      <c r="D3" s="2358"/>
      <c r="E3" s="2358"/>
      <c r="F3" s="2359"/>
    </row>
    <row r="4" spans="1:7" ht="12.75" customHeight="1" thickBot="1" x14ac:dyDescent="0.25">
      <c r="A4" s="2351" t="s">
        <v>626</v>
      </c>
      <c r="B4" s="2352"/>
      <c r="C4" s="1656"/>
      <c r="D4" s="1656"/>
      <c r="E4" s="1656"/>
      <c r="F4" s="1732">
        <f>SUM(C4+D4)-E4</f>
        <v>0</v>
      </c>
    </row>
    <row r="5" spans="1:7" ht="15.75" customHeight="1" thickTop="1" x14ac:dyDescent="0.2">
      <c r="A5" s="2355" t="s">
        <v>1101</v>
      </c>
      <c r="B5" s="2350"/>
      <c r="C5" s="2344"/>
      <c r="D5" s="2345"/>
      <c r="E5" s="2345"/>
      <c r="F5" s="234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7" t="s">
        <v>627</v>
      </c>
      <c r="B15" s="2348"/>
      <c r="C15" s="1732">
        <f>SUM(C6:C14)</f>
        <v>0</v>
      </c>
      <c r="D15" s="1732">
        <f>SUM(D6:D14)</f>
        <v>0</v>
      </c>
      <c r="E15" s="1732">
        <f>SUM(E6:E14)</f>
        <v>0</v>
      </c>
      <c r="F15" s="1732">
        <f>SUM(F6:F14)</f>
        <v>0</v>
      </c>
      <c r="G15" s="473"/>
    </row>
    <row r="16" spans="1:7" s="197" customFormat="1" ht="15.75" customHeight="1" thickTop="1" x14ac:dyDescent="0.2">
      <c r="A16" s="2360" t="s">
        <v>1102</v>
      </c>
      <c r="B16" s="2350"/>
      <c r="C16" s="2344"/>
      <c r="D16" s="2345"/>
      <c r="E16" s="2345"/>
      <c r="F16" s="2346"/>
    </row>
    <row r="17" spans="1:11" ht="12.75" customHeight="1" thickBot="1" x14ac:dyDescent="0.25">
      <c r="A17" s="2342" t="s">
        <v>64</v>
      </c>
      <c r="B17" s="2343"/>
      <c r="C17" s="1733"/>
      <c r="D17" s="1664"/>
      <c r="E17" s="1733"/>
      <c r="F17" s="1732">
        <f>SUM(C17+D17)-E17</f>
        <v>0</v>
      </c>
    </row>
    <row r="18" spans="1:11" ht="12.75" customHeight="1" thickTop="1" thickBot="1" x14ac:dyDescent="0.25">
      <c r="A18" s="2342" t="s">
        <v>6</v>
      </c>
      <c r="B18" s="2343"/>
      <c r="C18" s="1733"/>
      <c r="D18" s="1664"/>
      <c r="E18" s="1733"/>
      <c r="F18" s="1732">
        <f>SUM(C18+D18)-E18</f>
        <v>0</v>
      </c>
    </row>
    <row r="19" spans="1:11" ht="12.75" customHeight="1" thickTop="1" thickBot="1" x14ac:dyDescent="0.25">
      <c r="A19" s="2342" t="s">
        <v>385</v>
      </c>
      <c r="B19" s="2343"/>
      <c r="C19" s="1733"/>
      <c r="D19" s="1664"/>
      <c r="E19" s="1733"/>
      <c r="F19" s="1732">
        <f>SUM(C19+D19)-E19</f>
        <v>0</v>
      </c>
    </row>
    <row r="20" spans="1:11" ht="12.75" customHeight="1" thickTop="1" thickBot="1" x14ac:dyDescent="0.25">
      <c r="A20" s="2342" t="s">
        <v>445</v>
      </c>
      <c r="B20" s="2343"/>
      <c r="C20" s="1733"/>
      <c r="D20" s="1664"/>
      <c r="E20" s="1733"/>
      <c r="F20" s="1732">
        <f>SUM(C20+D20)-E20</f>
        <v>0</v>
      </c>
    </row>
    <row r="21" spans="1:11" ht="14.25" thickTop="1" thickBot="1" x14ac:dyDescent="0.25">
      <c r="A21" s="2347" t="s">
        <v>628</v>
      </c>
      <c r="B21" s="2348"/>
      <c r="C21" s="1732">
        <f>SUM(C17:C20)</f>
        <v>0</v>
      </c>
      <c r="D21" s="1732">
        <f>SUM(D17:D20)</f>
        <v>0</v>
      </c>
      <c r="E21" s="1732">
        <f>SUM(E17:E20)</f>
        <v>0</v>
      </c>
      <c r="F21" s="1732">
        <f>SUM(F17:F20)</f>
        <v>0</v>
      </c>
      <c r="G21" s="473"/>
    </row>
    <row r="22" spans="1:11" ht="15.75" customHeight="1" thickTop="1" x14ac:dyDescent="0.2">
      <c r="A22" s="2349" t="s">
        <v>1103</v>
      </c>
      <c r="B22" s="2350"/>
      <c r="C22" s="2344"/>
      <c r="D22" s="2345"/>
      <c r="E22" s="2345"/>
      <c r="F22" s="2346"/>
    </row>
    <row r="23" spans="1:11" ht="13.5" thickBot="1" x14ac:dyDescent="0.25">
      <c r="A23" s="2351" t="s">
        <v>629</v>
      </c>
      <c r="B23" s="2352"/>
      <c r="C23" s="1656"/>
      <c r="D23" s="1656"/>
      <c r="E23" s="1656"/>
      <c r="F23" s="1732">
        <f>SUM(C23+D23)-E23</f>
        <v>0</v>
      </c>
      <c r="G23" s="473"/>
    </row>
    <row r="24" spans="1:11" ht="15.75" customHeight="1" thickTop="1" x14ac:dyDescent="0.2">
      <c r="A24" s="2349" t="s">
        <v>2004</v>
      </c>
      <c r="B24" s="2350"/>
      <c r="C24" s="2344"/>
      <c r="D24" s="2345"/>
      <c r="E24" s="2345"/>
      <c r="F24" s="2346"/>
    </row>
    <row r="25" spans="1:11" ht="13.5" thickBot="1" x14ac:dyDescent="0.25">
      <c r="A25" s="2351" t="s">
        <v>2005</v>
      </c>
      <c r="B25" s="2352"/>
      <c r="C25" s="1656"/>
      <c r="D25" s="1656"/>
      <c r="E25" s="1656"/>
      <c r="F25" s="1732">
        <f>SUM(C25+D25)-E25</f>
        <v>0</v>
      </c>
      <c r="G25" s="473"/>
    </row>
    <row r="26" spans="1:11" ht="15.75" customHeight="1" thickTop="1" x14ac:dyDescent="0.2">
      <c r="A26" s="2355" t="s">
        <v>652</v>
      </c>
      <c r="B26" s="2350"/>
      <c r="C26" s="589"/>
      <c r="D26" s="589"/>
      <c r="E26" s="589"/>
      <c r="F26" s="590"/>
    </row>
    <row r="27" spans="1:11" ht="13.5" thickBot="1" x14ac:dyDescent="0.25">
      <c r="A27" s="2347" t="s">
        <v>1061</v>
      </c>
      <c r="B27" s="2348"/>
      <c r="C27" s="1664"/>
      <c r="D27" s="1664"/>
      <c r="E27" s="1664"/>
      <c r="F27" s="1732">
        <f>SUM(C27+D27)-E27</f>
        <v>0</v>
      </c>
      <c r="G27" s="473"/>
    </row>
    <row r="28" spans="1:11" ht="7.5" customHeight="1" thickTop="1" x14ac:dyDescent="0.2">
      <c r="A28" s="489"/>
    </row>
    <row r="29" spans="1:11" ht="23.25" customHeight="1" x14ac:dyDescent="0.2">
      <c r="A29" s="2353" t="s">
        <v>578</v>
      </c>
      <c r="B29" s="235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41730</v>
      </c>
      <c r="C31" s="1734">
        <v>9440000</v>
      </c>
      <c r="D31" s="1735">
        <v>4</v>
      </c>
      <c r="E31" s="1734">
        <v>9110000</v>
      </c>
      <c r="F31" s="1734"/>
      <c r="G31" s="1734"/>
      <c r="H31" s="1734"/>
      <c r="I31" s="1736">
        <f>((E31+F31)-H31)+G31</f>
        <v>9110000</v>
      </c>
      <c r="J31" s="1734">
        <f>9110000-72937</f>
        <v>9037063</v>
      </c>
      <c r="K31" s="596"/>
    </row>
    <row r="32" spans="1:11" ht="12" customHeight="1" x14ac:dyDescent="0.2">
      <c r="A32" s="594" t="s">
        <v>2065</v>
      </c>
      <c r="B32" s="595">
        <v>42055</v>
      </c>
      <c r="C32" s="1734">
        <v>9575000</v>
      </c>
      <c r="D32" s="1735">
        <v>4</v>
      </c>
      <c r="E32" s="1734">
        <v>6520000</v>
      </c>
      <c r="F32" s="1734"/>
      <c r="G32" s="1734"/>
      <c r="H32" s="1734">
        <v>795000</v>
      </c>
      <c r="I32" s="1736">
        <f>((E32+F32)-H32)+G32</f>
        <v>5725000</v>
      </c>
      <c r="J32" s="1734">
        <v>5725000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19015000</v>
      </c>
      <c r="D49" s="1742"/>
      <c r="E49" s="1736">
        <f t="shared" ref="E49:J49" si="2">SUM(E31:E48)</f>
        <v>15630000</v>
      </c>
      <c r="F49" s="1736">
        <f t="shared" si="2"/>
        <v>0</v>
      </c>
      <c r="G49" s="1736">
        <f t="shared" si="2"/>
        <v>0</v>
      </c>
      <c r="H49" s="1736">
        <f t="shared" si="2"/>
        <v>795000</v>
      </c>
      <c r="I49" s="1736">
        <f t="shared" si="2"/>
        <v>14835000</v>
      </c>
      <c r="J49" s="1736">
        <f t="shared" si="2"/>
        <v>14762063</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336" t="s">
        <v>580</v>
      </c>
      <c r="C52" s="2337"/>
      <c r="D52" s="2337"/>
      <c r="E52" s="603" t="s">
        <v>840</v>
      </c>
      <c r="F52" s="2338"/>
      <c r="G52" s="2339"/>
      <c r="H52" s="596"/>
      <c r="I52" s="596"/>
      <c r="J52" s="600"/>
    </row>
    <row r="53" spans="1:11" ht="11.25" customHeight="1" x14ac:dyDescent="0.2">
      <c r="A53" s="604" t="s">
        <v>907</v>
      </c>
      <c r="B53" s="605" t="s">
        <v>945</v>
      </c>
      <c r="C53" s="600"/>
      <c r="D53" s="597"/>
      <c r="E53" s="603" t="s">
        <v>494</v>
      </c>
      <c r="F53" s="2340"/>
      <c r="G53" s="2341"/>
      <c r="H53" s="596"/>
      <c r="I53" s="596"/>
      <c r="J53" s="600"/>
    </row>
    <row r="54" spans="1:11" ht="11.25" customHeight="1" x14ac:dyDescent="0.2">
      <c r="A54" s="606" t="s">
        <v>908</v>
      </c>
      <c r="B54" s="601" t="s">
        <v>946</v>
      </c>
      <c r="C54" s="600"/>
      <c r="D54" s="597"/>
      <c r="E54" s="603" t="s">
        <v>495</v>
      </c>
      <c r="F54" s="2340"/>
      <c r="G54" s="234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E37" sqref="E3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5" t="s">
        <v>851</v>
      </c>
      <c r="B1" s="2366"/>
      <c r="C1" s="2366"/>
      <c r="D1" s="2366"/>
      <c r="E1" s="2366"/>
      <c r="F1" s="2366"/>
      <c r="G1" s="2367"/>
      <c r="H1" s="1298"/>
      <c r="I1" s="614"/>
      <c r="J1" s="400"/>
    </row>
    <row r="2" spans="1:11" ht="26.25" x14ac:dyDescent="0.2">
      <c r="A2" s="2384" t="s">
        <v>1658</v>
      </c>
      <c r="B2" s="2385"/>
      <c r="C2" s="2385"/>
      <c r="D2" s="2385"/>
      <c r="E2" s="2386"/>
      <c r="F2" s="615" t="s">
        <v>898</v>
      </c>
      <c r="G2" s="616" t="s">
        <v>1655</v>
      </c>
      <c r="H2" s="616" t="s">
        <v>407</v>
      </c>
      <c r="I2" s="616" t="s">
        <v>1148</v>
      </c>
      <c r="J2" s="616" t="s">
        <v>1787</v>
      </c>
      <c r="K2" s="616" t="s">
        <v>137</v>
      </c>
    </row>
    <row r="3" spans="1:11" x14ac:dyDescent="0.2">
      <c r="A3" s="2387" t="str">
        <f>"Cash Basis Fund Balance as of July 1, "&amp;'AFR20'!E2-1</f>
        <v>Cash Basis Fund Balance as of July 1, 2019</v>
      </c>
      <c r="B3" s="2388"/>
      <c r="C3" s="2388"/>
      <c r="D3" s="2388"/>
      <c r="E3" s="2389"/>
      <c r="F3" s="617"/>
      <c r="G3" s="1744"/>
      <c r="H3" s="1744"/>
      <c r="I3" s="1744"/>
      <c r="J3" s="1745"/>
      <c r="K3" s="1745"/>
    </row>
    <row r="4" spans="1:11" x14ac:dyDescent="0.2">
      <c r="A4" s="2390" t="s">
        <v>366</v>
      </c>
      <c r="B4" s="2391"/>
      <c r="C4" s="2391"/>
      <c r="D4" s="2391"/>
      <c r="E4" s="2337"/>
      <c r="F4" s="620"/>
      <c r="G4" s="1746"/>
      <c r="H4" s="1747"/>
      <c r="I4" s="1746"/>
      <c r="J4" s="1748"/>
      <c r="K4" s="1748"/>
    </row>
    <row r="5" spans="1:11" x14ac:dyDescent="0.2">
      <c r="A5" s="2368" t="s">
        <v>1060</v>
      </c>
      <c r="B5" s="2369"/>
      <c r="C5" s="2369"/>
      <c r="D5" s="2369"/>
      <c r="E5" s="2370"/>
      <c r="F5" s="622" t="s">
        <v>843</v>
      </c>
      <c r="G5" s="1749"/>
      <c r="H5" s="1744">
        <v>1801038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50814</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122498</v>
      </c>
    </row>
    <row r="10" spans="1:11" x14ac:dyDescent="0.2">
      <c r="A10" s="2368" t="s">
        <v>1788</v>
      </c>
      <c r="B10" s="2369"/>
      <c r="C10" s="2369"/>
      <c r="D10" s="2369"/>
      <c r="E10" s="2371"/>
      <c r="F10" s="633" t="s">
        <v>857</v>
      </c>
      <c r="G10" s="1753"/>
      <c r="H10" s="1754"/>
      <c r="I10" s="1744"/>
      <c r="J10" s="1745"/>
      <c r="K10" s="1745"/>
    </row>
    <row r="11" spans="1:11" x14ac:dyDescent="0.2">
      <c r="A11" s="2368" t="s">
        <v>159</v>
      </c>
      <c r="B11" s="2369"/>
      <c r="C11" s="2369"/>
      <c r="D11" s="2369"/>
      <c r="E11" s="2370"/>
      <c r="F11" s="622" t="s">
        <v>847</v>
      </c>
      <c r="G11" s="1749"/>
      <c r="H11" s="1744"/>
      <c r="I11" s="1744"/>
      <c r="J11" s="1745"/>
      <c r="K11" s="1751"/>
    </row>
    <row r="12" spans="1:11" ht="13.5" thickBot="1" x14ac:dyDescent="0.25">
      <c r="A12" s="2395" t="s">
        <v>899</v>
      </c>
      <c r="B12" s="2396"/>
      <c r="C12" s="2396"/>
      <c r="D12" s="2396"/>
      <c r="E12" s="2397"/>
      <c r="F12" s="1433"/>
      <c r="G12" s="1755">
        <f>SUM(G5:G11)</f>
        <v>0</v>
      </c>
      <c r="H12" s="1755">
        <f>SUM(H5:H11)</f>
        <v>1801038</v>
      </c>
      <c r="I12" s="1755">
        <f>SUM(I5:I11)</f>
        <v>0</v>
      </c>
      <c r="J12" s="1755">
        <f>SUM(J5:J11)</f>
        <v>0</v>
      </c>
      <c r="K12" s="1755">
        <f>SUM(K5:K11)</f>
        <v>173312</v>
      </c>
    </row>
    <row r="13" spans="1:11" ht="13.5" thickTop="1" x14ac:dyDescent="0.2">
      <c r="A13" s="2392" t="s">
        <v>367</v>
      </c>
      <c r="B13" s="2393"/>
      <c r="C13" s="2393"/>
      <c r="D13" s="2393"/>
      <c r="E13" s="2394"/>
      <c r="F13" s="634"/>
      <c r="G13" s="1756"/>
      <c r="H13" s="1757"/>
      <c r="I13" s="1758"/>
      <c r="J13" s="1758"/>
      <c r="K13" s="1758"/>
    </row>
    <row r="14" spans="1:11" x14ac:dyDescent="0.2">
      <c r="A14" s="2375" t="s">
        <v>453</v>
      </c>
      <c r="B14" s="2375"/>
      <c r="C14" s="2375"/>
      <c r="D14" s="2375"/>
      <c r="E14" s="2376"/>
      <c r="F14" s="635" t="s">
        <v>849</v>
      </c>
      <c r="G14" s="1753"/>
      <c r="H14" s="1744">
        <v>1801038</v>
      </c>
      <c r="I14" s="1749"/>
      <c r="J14" s="1751"/>
      <c r="K14" s="1745">
        <v>173312</v>
      </c>
    </row>
    <row r="15" spans="1:11" x14ac:dyDescent="0.2">
      <c r="A15" s="2369" t="s">
        <v>4</v>
      </c>
      <c r="B15" s="2369"/>
      <c r="C15" s="2369"/>
      <c r="D15" s="2369"/>
      <c r="E15" s="2370"/>
      <c r="F15" s="635" t="s">
        <v>850</v>
      </c>
      <c r="G15" s="1749"/>
      <c r="H15" s="1744"/>
      <c r="I15" s="1744"/>
      <c r="J15" s="1745"/>
      <c r="K15" s="1745"/>
    </row>
    <row r="16" spans="1:11" x14ac:dyDescent="0.2">
      <c r="A16" s="2369" t="s">
        <v>295</v>
      </c>
      <c r="B16" s="2369"/>
      <c r="C16" s="2369"/>
      <c r="D16" s="2369"/>
      <c r="E16" s="2370"/>
      <c r="F16" s="635" t="s">
        <v>917</v>
      </c>
      <c r="G16" s="1750"/>
      <c r="H16" s="1746"/>
      <c r="I16" s="1746"/>
      <c r="J16" s="1748"/>
      <c r="K16" s="1748"/>
    </row>
    <row r="17" spans="1:15" x14ac:dyDescent="0.2">
      <c r="A17" s="2402" t="s">
        <v>929</v>
      </c>
      <c r="B17" s="2402"/>
      <c r="C17" s="2402"/>
      <c r="D17" s="2402"/>
      <c r="E17" s="2403"/>
      <c r="F17" s="636"/>
      <c r="G17" s="1759"/>
      <c r="H17" s="1760"/>
      <c r="I17" s="1760"/>
      <c r="J17" s="1761"/>
      <c r="K17" s="1762"/>
    </row>
    <row r="18" spans="1:15" x14ac:dyDescent="0.2">
      <c r="A18" s="2379" t="s">
        <v>365</v>
      </c>
      <c r="B18" s="2380"/>
      <c r="C18" s="2380"/>
      <c r="D18" s="2380"/>
      <c r="E18" s="2381"/>
      <c r="F18" s="635" t="s">
        <v>926</v>
      </c>
      <c r="G18" s="1753"/>
      <c r="H18" s="1753"/>
      <c r="I18" s="1753"/>
      <c r="J18" s="1745"/>
      <c r="K18" s="1763"/>
    </row>
    <row r="19" spans="1:15" ht="21.75" customHeight="1" x14ac:dyDescent="0.2">
      <c r="A19" s="2377" t="s">
        <v>1784</v>
      </c>
      <c r="B19" s="2377"/>
      <c r="C19" s="2377"/>
      <c r="D19" s="2377"/>
      <c r="E19" s="2378"/>
      <c r="F19" s="635" t="s">
        <v>927</v>
      </c>
      <c r="G19" s="1753"/>
      <c r="H19" s="1753"/>
      <c r="I19" s="1753"/>
      <c r="J19" s="1745"/>
      <c r="K19" s="1763"/>
    </row>
    <row r="20" spans="1:15" x14ac:dyDescent="0.2">
      <c r="A20" s="2379" t="s">
        <v>1789</v>
      </c>
      <c r="B20" s="2380"/>
      <c r="C20" s="2380"/>
      <c r="D20" s="2380"/>
      <c r="E20" s="2381"/>
      <c r="F20" s="635" t="s">
        <v>928</v>
      </c>
      <c r="G20" s="1753"/>
      <c r="H20" s="1753"/>
      <c r="I20" s="1753"/>
      <c r="J20" s="1745"/>
      <c r="K20" s="1763"/>
    </row>
    <row r="21" spans="1:15" ht="13.5" thickBot="1" x14ac:dyDescent="0.25">
      <c r="A21" s="2398" t="s">
        <v>633</v>
      </c>
      <c r="B21" s="2398"/>
      <c r="C21" s="2398"/>
      <c r="D21" s="2398"/>
      <c r="E21" s="2398"/>
      <c r="F21" s="1434"/>
      <c r="G21" s="1760"/>
      <c r="H21" s="1764"/>
      <c r="I21" s="1764"/>
      <c r="J21" s="1765">
        <f>SUM(J18:J20)</f>
        <v>0</v>
      </c>
      <c r="K21" s="1761"/>
    </row>
    <row r="22" spans="1:15" ht="13.5" thickTop="1" x14ac:dyDescent="0.2">
      <c r="A22" s="2369" t="s">
        <v>1790</v>
      </c>
      <c r="B22" s="2369"/>
      <c r="C22" s="2369"/>
      <c r="D22" s="2369"/>
      <c r="E22" s="2370"/>
      <c r="F22" s="635" t="s">
        <v>857</v>
      </c>
      <c r="G22" s="1753"/>
      <c r="H22" s="1744"/>
      <c r="I22" s="1744"/>
      <c r="J22" s="1766"/>
      <c r="K22" s="1745"/>
    </row>
    <row r="23" spans="1:15" ht="13.5" thickBot="1" x14ac:dyDescent="0.25">
      <c r="A23" s="2399" t="s">
        <v>900</v>
      </c>
      <c r="B23" s="2398"/>
      <c r="C23" s="2398"/>
      <c r="D23" s="2398"/>
      <c r="E23" s="2398"/>
      <c r="F23" s="1436"/>
      <c r="G23" s="1755">
        <f>SUM(G14:G16,G21,G22)</f>
        <v>0</v>
      </c>
      <c r="H23" s="1755">
        <f>SUM(H14:H16,H21,H22)</f>
        <v>1801038</v>
      </c>
      <c r="I23" s="1755">
        <f>SUM(I14:I16,I21,I22)</f>
        <v>0</v>
      </c>
      <c r="J23" s="1755">
        <f>SUM(J14:J16,J21,J22)</f>
        <v>0</v>
      </c>
      <c r="K23" s="1755">
        <f>SUM(K14:K16,K21,K22)</f>
        <v>173312</v>
      </c>
      <c r="M23" s="1846"/>
      <c r="N23" s="1846"/>
      <c r="O23" s="1846"/>
    </row>
    <row r="24" spans="1:15" ht="14.25" thickTop="1" thickBot="1" x14ac:dyDescent="0.25">
      <c r="A24" s="2400" t="str">
        <f>"Ending Cash Basis Fund Balance as of June 30, "&amp;'AFR20'!E2</f>
        <v>Ending Cash Basis Fund Balance as of June 30, 2020</v>
      </c>
      <c r="B24" s="2401"/>
      <c r="C24" s="2401"/>
      <c r="D24" s="2401"/>
      <c r="E24" s="240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2066</v>
      </c>
      <c r="E30" s="648" t="s">
        <v>763</v>
      </c>
      <c r="F30" s="197"/>
      <c r="G30" s="645"/>
    </row>
    <row r="31" spans="1:15" x14ac:dyDescent="0.2">
      <c r="A31" s="649"/>
      <c r="D31" s="232"/>
      <c r="E31" s="650" t="s">
        <v>764</v>
      </c>
      <c r="F31" s="651" t="s">
        <v>536</v>
      </c>
      <c r="G31" s="618"/>
      <c r="H31" s="2372"/>
      <c r="I31" s="2373"/>
      <c r="J31" s="2373"/>
      <c r="K31" s="2373"/>
    </row>
    <row r="32" spans="1:15" x14ac:dyDescent="0.2">
      <c r="A32" s="649"/>
      <c r="B32" s="232"/>
      <c r="C32" s="232"/>
      <c r="D32" s="232"/>
      <c r="E32" s="645"/>
      <c r="F32" s="651" t="s">
        <v>537</v>
      </c>
      <c r="G32" s="618"/>
      <c r="H32" s="2374"/>
      <c r="I32" s="2373"/>
      <c r="J32" s="2373"/>
      <c r="K32" s="2373"/>
    </row>
    <row r="33" spans="1:11" ht="1.5" customHeight="1" x14ac:dyDescent="0.2">
      <c r="A33" s="652" t="s">
        <v>1159</v>
      </c>
      <c r="B33" s="341"/>
      <c r="C33" s="341"/>
      <c r="D33" s="341"/>
      <c r="E33" s="341"/>
      <c r="F33" s="341"/>
      <c r="G33" s="653"/>
      <c r="H33" s="2374"/>
      <c r="I33" s="2373"/>
      <c r="J33" s="2373"/>
      <c r="K33" s="2373"/>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9" t="s">
        <v>538</v>
      </c>
      <c r="B41" s="2382"/>
      <c r="C41" s="2382"/>
      <c r="D41" s="2382"/>
      <c r="E41" s="2382"/>
      <c r="F41" s="238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0" sqref="J2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6" t="s">
        <v>1873</v>
      </c>
      <c r="B1" s="2407"/>
      <c r="C1" s="2408"/>
      <c r="D1" s="666"/>
      <c r="E1" s="667"/>
      <c r="F1" s="667"/>
      <c r="G1" s="668"/>
      <c r="H1" s="669"/>
      <c r="I1" s="670"/>
      <c r="J1" s="2404"/>
      <c r="K1" s="2405"/>
      <c r="L1" s="240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2330356</v>
      </c>
      <c r="D5" s="1770"/>
      <c r="E5" s="1770"/>
      <c r="F5" s="1765">
        <f>(C5+D5)-E5</f>
        <v>2330356</v>
      </c>
      <c r="G5" s="676"/>
      <c r="H5" s="680"/>
      <c r="I5" s="680"/>
      <c r="J5" s="680"/>
      <c r="K5" s="637"/>
      <c r="L5" s="1442">
        <f>F5-K5</f>
        <v>2330356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118552190</v>
      </c>
      <c r="D8" s="1771">
        <v>15067001</v>
      </c>
      <c r="E8" s="1771"/>
      <c r="F8" s="1765">
        <f>(C8+D8)-E8</f>
        <v>133619191</v>
      </c>
      <c r="G8" s="681">
        <v>50</v>
      </c>
      <c r="H8" s="619">
        <v>32125385</v>
      </c>
      <c r="I8" s="619">
        <v>4008050</v>
      </c>
      <c r="J8" s="619"/>
      <c r="K8" s="1442">
        <f>(H8+I8)-J8</f>
        <v>36133435</v>
      </c>
      <c r="L8" s="1442">
        <f>F8-K8</f>
        <v>97485756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5096872</v>
      </c>
      <c r="D10" s="1772">
        <v>39235</v>
      </c>
      <c r="E10" s="1772"/>
      <c r="F10" s="1773">
        <f>(C10+D10)-E10</f>
        <v>5136107</v>
      </c>
      <c r="G10" s="681">
        <v>20</v>
      </c>
      <c r="H10" s="683">
        <v>4125728</v>
      </c>
      <c r="I10" s="683">
        <v>91475</v>
      </c>
      <c r="J10" s="683"/>
      <c r="K10" s="1442">
        <f>(H10+I10)-J10</f>
        <v>4217203</v>
      </c>
      <c r="L10" s="1442">
        <f>F10-K10</f>
        <v>918904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f>729117+9015056</f>
        <v>9744173</v>
      </c>
      <c r="D12" s="1771">
        <f>18852+363154</f>
        <v>382006</v>
      </c>
      <c r="E12" s="1771">
        <v>6646</v>
      </c>
      <c r="F12" s="1765">
        <f>(C12+D12)-E12</f>
        <v>10119533</v>
      </c>
      <c r="G12" s="681">
        <v>10</v>
      </c>
      <c r="H12" s="619">
        <v>7926020</v>
      </c>
      <c r="I12" s="619">
        <f>11966+173989</f>
        <v>185955</v>
      </c>
      <c r="J12" s="619">
        <v>6646</v>
      </c>
      <c r="K12" s="1442">
        <f>(H12+I12)-J12</f>
        <v>8105329</v>
      </c>
      <c r="L12" s="1442">
        <f>F12-K12</f>
        <v>2014204</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4098772</v>
      </c>
      <c r="D15" s="1771">
        <v>4981156</v>
      </c>
      <c r="E15" s="1771">
        <v>4098772</v>
      </c>
      <c r="F15" s="1765">
        <f>(C15+D15)-E15</f>
        <v>4981156</v>
      </c>
      <c r="G15" s="685" t="s">
        <v>857</v>
      </c>
      <c r="H15" s="632"/>
      <c r="I15" s="632"/>
      <c r="J15" s="632"/>
      <c r="K15" s="632"/>
      <c r="L15" s="1442">
        <f>F15-K15</f>
        <v>4981156</v>
      </c>
    </row>
    <row r="16" spans="1:14" ht="15" customHeight="1" thickTop="1" thickBot="1" x14ac:dyDescent="0.25">
      <c r="A16" s="1438" t="s">
        <v>638</v>
      </c>
      <c r="B16" s="1439">
        <v>200</v>
      </c>
      <c r="C16" s="1765">
        <f>SUM(C3,C5:C6,C8:C10,C12:C15)</f>
        <v>139822363</v>
      </c>
      <c r="D16" s="1765">
        <f>SUM(D3,D5:D6,D8:D10,D12:D15)</f>
        <v>20469398</v>
      </c>
      <c r="E16" s="1765">
        <f>SUM(E3,E5:E6,E8:E10,E12:E15)</f>
        <v>4105418</v>
      </c>
      <c r="F16" s="1765">
        <f>SUM(F3,F5:F6,F8:F10,F12:F15)</f>
        <v>156186343</v>
      </c>
      <c r="G16" s="681"/>
      <c r="H16" s="1435">
        <f>SUM(H3,H6,H8:H10,H12:H14,)</f>
        <v>44177133</v>
      </c>
      <c r="I16" s="1435">
        <f>SUM(I3,I6,I8:I10,I12:I14,)</f>
        <v>4285480</v>
      </c>
      <c r="J16" s="1435">
        <f>SUM(J3,J6,J8:J10,J12:J14,)</f>
        <v>6646</v>
      </c>
      <c r="K16" s="1435">
        <f>(H16+I16)-J16</f>
        <v>48455967</v>
      </c>
      <c r="L16" s="1435">
        <f>F16-K16</f>
        <v>107730376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1860003</v>
      </c>
      <c r="G17" s="676">
        <v>10</v>
      </c>
      <c r="H17" s="621"/>
      <c r="I17" s="1442">
        <f>F17/G17</f>
        <v>186000.3</v>
      </c>
      <c r="J17" s="621"/>
      <c r="K17" s="638"/>
      <c r="L17" s="638"/>
    </row>
    <row r="18" spans="1:12" ht="14.25" thickTop="1" thickBot="1" x14ac:dyDescent="0.25">
      <c r="A18" s="1440" t="s">
        <v>680</v>
      </c>
      <c r="B18" s="1441"/>
      <c r="C18" s="623"/>
      <c r="D18" s="623"/>
      <c r="E18" s="623"/>
      <c r="F18" s="686"/>
      <c r="G18" s="687"/>
      <c r="H18" s="624"/>
      <c r="I18" s="1435">
        <f>SUM(I16,I17)</f>
        <v>4471480.3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D187" sqref="D18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x14ac:dyDescent="0.25">
      <c r="A2" s="2415" t="s">
        <v>474</v>
      </c>
      <c r="B2" s="2416"/>
      <c r="C2" s="2416"/>
      <c r="D2" s="2416"/>
      <c r="E2" s="2416"/>
      <c r="F2" s="241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8"/>
      <c r="B5" s="2419"/>
      <c r="C5" s="2419"/>
      <c r="D5" s="2419"/>
      <c r="E5" s="2419"/>
      <c r="F5" s="2419"/>
    </row>
    <row r="6" spans="1:9" ht="13.5" customHeight="1" thickBot="1" x14ac:dyDescent="0.25">
      <c r="A6" s="2409" t="s">
        <v>1095</v>
      </c>
      <c r="B6" s="2410"/>
      <c r="C6" s="2410"/>
      <c r="D6" s="2410"/>
      <c r="E6" s="2410"/>
      <c r="F6" s="241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79322511</v>
      </c>
      <c r="G8" s="701"/>
    </row>
    <row r="9" spans="1:9" x14ac:dyDescent="0.2">
      <c r="A9" s="705" t="s">
        <v>457</v>
      </c>
      <c r="B9" s="706" t="s">
        <v>1846</v>
      </c>
      <c r="C9" s="707"/>
      <c r="D9" s="705" t="s">
        <v>498</v>
      </c>
      <c r="E9" s="704"/>
      <c r="F9" s="1775">
        <f>'Expenditures 15-22'!K151</f>
        <v>7140547</v>
      </c>
      <c r="G9" s="708"/>
    </row>
    <row r="10" spans="1:9" x14ac:dyDescent="0.2">
      <c r="A10" s="705" t="s">
        <v>496</v>
      </c>
      <c r="B10" s="706" t="s">
        <v>1847</v>
      </c>
      <c r="C10" s="707"/>
      <c r="D10" s="705" t="s">
        <v>498</v>
      </c>
      <c r="E10" s="704"/>
      <c r="F10" s="1775">
        <f>'Expenditures 15-22'!K174</f>
        <v>1370339</v>
      </c>
      <c r="G10" s="708"/>
    </row>
    <row r="11" spans="1:9" x14ac:dyDescent="0.2">
      <c r="A11" s="705" t="s">
        <v>458</v>
      </c>
      <c r="B11" s="706" t="s">
        <v>1848</v>
      </c>
      <c r="C11" s="707"/>
      <c r="D11" s="705" t="s">
        <v>498</v>
      </c>
      <c r="E11" s="704"/>
      <c r="F11" s="1775">
        <f>'Expenditures 15-22'!K210</f>
        <v>4152747</v>
      </c>
      <c r="G11" s="708"/>
    </row>
    <row r="12" spans="1:9" x14ac:dyDescent="0.2">
      <c r="A12" s="705" t="s">
        <v>459</v>
      </c>
      <c r="B12" s="706" t="s">
        <v>1849</v>
      </c>
      <c r="C12" s="707"/>
      <c r="D12" s="705" t="s">
        <v>498</v>
      </c>
      <c r="E12" s="704"/>
      <c r="F12" s="1775">
        <f>'Expenditures 15-22'!K295</f>
        <v>2352507</v>
      </c>
      <c r="G12" s="708"/>
    </row>
    <row r="13" spans="1:9" x14ac:dyDescent="0.2">
      <c r="A13" s="705" t="s">
        <v>106</v>
      </c>
      <c r="B13" s="706" t="s">
        <v>1850</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94338651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100006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893528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128700</v>
      </c>
      <c r="G53" s="701"/>
    </row>
    <row r="54" spans="1:7" x14ac:dyDescent="0.2">
      <c r="A54" s="705" t="s">
        <v>456</v>
      </c>
      <c r="B54" s="705" t="s">
        <v>1459</v>
      </c>
      <c r="C54" s="724" t="s">
        <v>975</v>
      </c>
      <c r="D54" s="720" t="s">
        <v>1086</v>
      </c>
      <c r="E54" s="704"/>
      <c r="F54" s="1782">
        <f>'Expenditures 15-22'!G114</f>
        <v>210695</v>
      </c>
      <c r="G54" s="701"/>
    </row>
    <row r="55" spans="1:7" x14ac:dyDescent="0.2">
      <c r="A55" s="705" t="s">
        <v>456</v>
      </c>
      <c r="B55" s="705" t="s">
        <v>1460</v>
      </c>
      <c r="C55" s="724" t="s">
        <v>975</v>
      </c>
      <c r="D55" s="720" t="s">
        <v>288</v>
      </c>
      <c r="E55" s="704"/>
      <c r="F55" s="1782">
        <f>'Expenditures 15-22'!I114</f>
        <v>1656526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450680</v>
      </c>
      <c r="G58" s="701"/>
    </row>
    <row r="59" spans="1:7" x14ac:dyDescent="0.2">
      <c r="A59" s="728" t="s">
        <v>457</v>
      </c>
      <c r="B59" s="692" t="s">
        <v>1853</v>
      </c>
      <c r="C59" s="729" t="s">
        <v>975</v>
      </c>
      <c r="D59" s="692" t="s">
        <v>288</v>
      </c>
      <c r="F59" s="1785">
        <f>'Expenditures 15-22'!I151</f>
        <v>109500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795000</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499092</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1988</v>
      </c>
      <c r="G71" s="701"/>
    </row>
    <row r="72" spans="1:9" x14ac:dyDescent="0.2">
      <c r="A72" s="705" t="s">
        <v>459</v>
      </c>
      <c r="B72" s="705" t="s">
        <v>1865</v>
      </c>
      <c r="C72" s="721">
        <f>'Expenditures 15-22'!B280</f>
        <v>3000</v>
      </c>
      <c r="D72" s="712" t="s">
        <v>446</v>
      </c>
      <c r="E72" s="704"/>
      <c r="F72" s="1782">
        <f>'Expenditures 15-22'!K280</f>
        <v>0</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0</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4845715</v>
      </c>
      <c r="G77" s="701"/>
    </row>
    <row r="78" spans="1:9" s="728" customFormat="1" ht="12" customHeight="1" thickTop="1" thickBot="1" x14ac:dyDescent="0.25">
      <c r="A78" s="1450"/>
      <c r="B78" s="1448"/>
      <c r="C78" s="1445"/>
      <c r="D78" s="1449" t="s">
        <v>2010</v>
      </c>
      <c r="E78" s="1447"/>
      <c r="F78" s="1788">
        <f>(F14-F77)</f>
        <v>89492936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5416.1</v>
      </c>
      <c r="G79" s="733"/>
      <c r="H79" s="705"/>
      <c r="I79" s="705"/>
    </row>
    <row r="80" spans="1:9" s="728" customFormat="1" ht="12" customHeight="1" thickBot="1" x14ac:dyDescent="0.25">
      <c r="A80" s="1452"/>
      <c r="B80" s="1448"/>
      <c r="C80" s="1445"/>
      <c r="D80" s="1449" t="s">
        <v>2011</v>
      </c>
      <c r="E80" s="1447" t="s">
        <v>952</v>
      </c>
      <c r="F80" s="1790">
        <f>IF(F79&gt;0,F78/F79," Complete Line 79")</f>
        <v>16523.501412455455</v>
      </c>
      <c r="G80" s="705"/>
    </row>
    <row r="81" spans="1:7" s="728" customFormat="1" ht="8.25" customHeight="1" thickTop="1" x14ac:dyDescent="0.2">
      <c r="A81" s="734"/>
      <c r="B81" s="705"/>
      <c r="C81" s="707"/>
      <c r="D81" s="735"/>
      <c r="E81" s="704"/>
      <c r="F81" s="1791"/>
      <c r="G81" s="705"/>
    </row>
    <row r="82" spans="1:7" s="728" customFormat="1" ht="12" thickBot="1" x14ac:dyDescent="0.25">
      <c r="A82" s="2409" t="s">
        <v>1096</v>
      </c>
      <c r="B82" s="2410"/>
      <c r="C82" s="2410"/>
      <c r="D82" s="2410"/>
      <c r="E82" s="2410"/>
      <c r="F82" s="241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45690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944546</v>
      </c>
      <c r="G95" s="745"/>
    </row>
    <row r="96" spans="1:7" x14ac:dyDescent="0.2">
      <c r="A96" s="741" t="s">
        <v>139</v>
      </c>
      <c r="B96" s="741" t="s">
        <v>174</v>
      </c>
      <c r="C96" s="743">
        <v>1700</v>
      </c>
      <c r="D96" s="751" t="str">
        <f>'Revenues 9-14'!A82</f>
        <v>Total District/School Activity Income</v>
      </c>
      <c r="E96" s="739"/>
      <c r="F96" s="1793">
        <f>SUM('Revenues 9-14'!C82,'Revenues 9-14'!D82)</f>
        <v>1696993</v>
      </c>
      <c r="G96" s="745"/>
    </row>
    <row r="97" spans="1:7" x14ac:dyDescent="0.2">
      <c r="A97" s="741" t="s">
        <v>456</v>
      </c>
      <c r="B97" s="741" t="s">
        <v>175</v>
      </c>
      <c r="C97" s="743">
        <f>'Revenues 9-14'!B84</f>
        <v>1811</v>
      </c>
      <c r="D97" s="744" t="str">
        <f>'Revenues 9-14'!A84</f>
        <v>Rentals - Regular Textbooks</v>
      </c>
      <c r="E97" s="739"/>
      <c r="F97" s="1793">
        <f>'Revenues 9-14'!C84</f>
        <v>1090068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440</v>
      </c>
      <c r="G101" s="745"/>
    </row>
    <row r="102" spans="1:7" x14ac:dyDescent="0.2">
      <c r="A102" s="741" t="s">
        <v>139</v>
      </c>
      <c r="B102" s="741" t="s">
        <v>180</v>
      </c>
      <c r="C102" s="743">
        <f>'Revenues 9-14'!B95</f>
        <v>1910</v>
      </c>
      <c r="D102" s="744" t="str">
        <f>'Revenues 9-14'!A95</f>
        <v>Rentals</v>
      </c>
      <c r="E102" s="739"/>
      <c r="F102" s="1793">
        <f>SUM('Revenues 9-14'!C95:D95)</f>
        <v>64664</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573</v>
      </c>
      <c r="G104" s="745"/>
    </row>
    <row r="105" spans="1:7" x14ac:dyDescent="0.2">
      <c r="A105" s="741" t="s">
        <v>456</v>
      </c>
      <c r="B105" s="741" t="s">
        <v>803</v>
      </c>
      <c r="C105" s="743">
        <f>'Revenues 9-14'!B106</f>
        <v>1993</v>
      </c>
      <c r="D105" s="744" t="str">
        <f>'Revenues 9-14'!A106</f>
        <v>Other Local Fees (Describe &amp; Itemize)</v>
      </c>
      <c r="E105" s="739"/>
      <c r="F105" s="1793">
        <f>('Revenues 9-14'!C106)</f>
        <v>34300</v>
      </c>
      <c r="G105" s="745"/>
    </row>
    <row r="106" spans="1:7" x14ac:dyDescent="0.2">
      <c r="A106" s="741" t="s">
        <v>500</v>
      </c>
      <c r="B106" s="741" t="s">
        <v>1908</v>
      </c>
      <c r="C106" s="746">
        <v>3100</v>
      </c>
      <c r="D106" s="752" t="str">
        <f>'Revenues 9-14'!A132</f>
        <v>Total Special Education</v>
      </c>
      <c r="E106" s="739"/>
      <c r="F106" s="1793">
        <f>SUM('Revenues 9-14'!C132:D132,'Revenues 9-14'!F132)</f>
        <v>324889</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140660</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4930</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122498</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1143551</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1924</v>
      </c>
      <c r="C122" s="761">
        <f>'Revenues 9-14'!B168</f>
        <v>3999</v>
      </c>
      <c r="D122" s="762" t="s">
        <v>540</v>
      </c>
      <c r="E122" s="764"/>
      <c r="F122" s="1793">
        <f>SUM('Revenues 9-14'!C168:G168,'Revenues 9-14'!J168)</f>
        <v>4583</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3">
        <f>SUM('Revenues 9-14'!C198,'Revenues 9-14'!G198)</f>
        <v>617328</v>
      </c>
      <c r="G126" s="763"/>
    </row>
    <row r="127" spans="1:7" x14ac:dyDescent="0.2">
      <c r="A127" s="760" t="s">
        <v>663</v>
      </c>
      <c r="B127" s="760" t="s">
        <v>1929</v>
      </c>
      <c r="C127" s="765">
        <v>4300</v>
      </c>
      <c r="D127" s="766" t="str">
        <f>'Revenues 9-14'!A204</f>
        <v>Total Title I</v>
      </c>
      <c r="E127" s="739"/>
      <c r="F127" s="1793">
        <f>SUM('Revenues 9-14'!C204,'Revenues 9-14'!D204,'Revenues 9-14'!F204,'Revenues 9-14'!G204)</f>
        <v>488495</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24390</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1182278</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204274</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88836</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65173</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67828</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78737</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320798</v>
      </c>
      <c r="G171" s="760"/>
    </row>
    <row r="172" spans="1:7" x14ac:dyDescent="0.2">
      <c r="A172" s="1529" t="s">
        <v>5</v>
      </c>
      <c r="B172" s="1530" t="s">
        <v>1883</v>
      </c>
      <c r="C172" s="1531">
        <v>3100</v>
      </c>
      <c r="D172" s="1532" t="s">
        <v>1885</v>
      </c>
      <c r="E172" s="739"/>
      <c r="F172" s="1794">
        <v>1807693</v>
      </c>
      <c r="G172" s="760"/>
    </row>
    <row r="173" spans="1:7" x14ac:dyDescent="0.2">
      <c r="A173" s="1529" t="s">
        <v>659</v>
      </c>
      <c r="B173" s="1530" t="s">
        <v>1883</v>
      </c>
      <c r="C173" s="1531">
        <v>3300</v>
      </c>
      <c r="D173" s="1532" t="s">
        <v>1886</v>
      </c>
      <c r="E173" s="739"/>
      <c r="F173" s="1794">
        <v>46008</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10660223</v>
      </c>
    </row>
    <row r="176" spans="1:7" ht="12" customHeight="1" x14ac:dyDescent="0.2">
      <c r="A176" s="1443"/>
      <c r="B176" s="1453"/>
      <c r="C176" s="1454"/>
      <c r="D176" s="1455" t="s">
        <v>2012</v>
      </c>
      <c r="E176" s="1456"/>
      <c r="F176" s="1793">
        <f>'PCTC-OEPP 27-28'!F78-F175</f>
        <v>78832713</v>
      </c>
    </row>
    <row r="177" spans="1:9" ht="12" customHeight="1" x14ac:dyDescent="0.2">
      <c r="A177" s="1443"/>
      <c r="B177" s="1453"/>
      <c r="C177" s="1454"/>
      <c r="D177" s="1455" t="s">
        <v>1792</v>
      </c>
      <c r="E177" s="1456"/>
      <c r="F177" s="1793">
        <f>'Cap Outlay Deprec 26'!I18</f>
        <v>4471480.3</v>
      </c>
    </row>
    <row r="178" spans="1:9" ht="12" customHeight="1" x14ac:dyDescent="0.2">
      <c r="A178" s="1443"/>
      <c r="B178" s="1453"/>
      <c r="C178" s="1454"/>
      <c r="D178" s="1455" t="s">
        <v>2013</v>
      </c>
      <c r="E178" s="1456"/>
      <c r="F178" s="1793">
        <f>F176+F177</f>
        <v>83304193.299999997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5416.1</v>
      </c>
      <c r="G179" s="763"/>
      <c r="I179" s="701"/>
    </row>
    <row r="180" spans="1:9" ht="12" customHeight="1" thickBot="1" x14ac:dyDescent="0.25">
      <c r="A180" s="1443"/>
      <c r="B180" s="1457"/>
      <c r="C180" s="1454"/>
      <c r="D180" s="1455" t="s">
        <v>2015</v>
      </c>
      <c r="E180" s="1456" t="s">
        <v>1528</v>
      </c>
      <c r="F180" s="1798">
        <f>F178/F179</f>
        <v>15380.844759144033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B45" sqref="B45"/>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2" t="s">
        <v>2001</v>
      </c>
      <c r="D2" s="1863"/>
      <c r="E2" s="1863"/>
      <c r="F2" s="1863"/>
    </row>
    <row r="3" spans="1:6" ht="5.25" customHeight="1" x14ac:dyDescent="0.25">
      <c r="A3" s="1865"/>
      <c r="B3" s="1866"/>
      <c r="C3" s="1865"/>
      <c r="D3" s="1865"/>
      <c r="E3" s="1865"/>
      <c r="F3" s="1865"/>
    </row>
    <row r="4" spans="1:6" ht="18.75" customHeight="1" x14ac:dyDescent="0.25">
      <c r="A4" s="2423" t="s">
        <v>1793</v>
      </c>
      <c r="B4" s="2424"/>
      <c r="C4" s="2424"/>
      <c r="D4" s="2424"/>
      <c r="E4" s="2424"/>
      <c r="F4" s="2425"/>
    </row>
    <row r="5" spans="1:6" x14ac:dyDescent="0.25">
      <c r="A5" s="2426"/>
      <c r="B5" s="2427"/>
      <c r="C5" s="2427"/>
      <c r="D5" s="2427"/>
      <c r="E5" s="2427"/>
      <c r="F5" s="2428"/>
    </row>
    <row r="6" spans="1:6" ht="18.75" x14ac:dyDescent="0.25">
      <c r="A6" s="1867" t="s">
        <v>1794</v>
      </c>
      <c r="B6" s="1868"/>
      <c r="C6" s="1869"/>
      <c r="D6" s="1869"/>
      <c r="E6" s="1869"/>
      <c r="F6" s="1870"/>
    </row>
    <row r="7" spans="1:6" ht="47.25" customHeight="1" x14ac:dyDescent="0.25">
      <c r="A7" s="2429" t="s">
        <v>1983</v>
      </c>
      <c r="B7" s="2430"/>
      <c r="C7" s="2430"/>
      <c r="D7" s="2430"/>
      <c r="E7" s="2430"/>
      <c r="F7" s="2431"/>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432" t="s">
        <v>1979</v>
      </c>
      <c r="B10" s="2433"/>
      <c r="C10" s="2433"/>
      <c r="D10" s="2433"/>
      <c r="E10" s="2433"/>
      <c r="F10" s="2434"/>
    </row>
    <row r="11" spans="1:6" ht="33" customHeight="1" x14ac:dyDescent="0.25">
      <c r="A11" s="2429" t="s">
        <v>1984</v>
      </c>
      <c r="B11" s="2430"/>
      <c r="C11" s="2430"/>
      <c r="D11" s="2430"/>
      <c r="E11" s="2430"/>
      <c r="F11" s="2431"/>
    </row>
    <row r="12" spans="1:6" ht="15" customHeight="1" x14ac:dyDescent="0.25">
      <c r="A12" s="1873" t="s">
        <v>1980</v>
      </c>
      <c r="B12" s="1874"/>
      <c r="C12" s="1875"/>
      <c r="D12" s="1875"/>
      <c r="E12" s="1875"/>
      <c r="F12" s="1876"/>
    </row>
    <row r="13" spans="1:6" ht="17.25" customHeight="1" x14ac:dyDescent="0.25">
      <c r="A13" s="2429" t="s">
        <v>1981</v>
      </c>
      <c r="B13" s="2430"/>
      <c r="C13" s="2430"/>
      <c r="D13" s="2430"/>
      <c r="E13" s="2430"/>
      <c r="F13" s="2431"/>
    </row>
    <row r="14" spans="1:6" ht="15" customHeight="1" x14ac:dyDescent="0.25">
      <c r="A14" s="1873" t="s">
        <v>1798</v>
      </c>
      <c r="B14" s="1874"/>
      <c r="C14" s="1875"/>
      <c r="D14" s="1875"/>
      <c r="E14" s="1875"/>
      <c r="F14" s="1876"/>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078" t="s">
        <v>401</v>
      </c>
      <c r="B18" s="2079" t="s">
        <v>2168</v>
      </c>
      <c r="C18" s="2080" t="s">
        <v>2169</v>
      </c>
      <c r="D18" s="2081">
        <v>29500</v>
      </c>
      <c r="E18" s="1906" t="str">
        <f t="shared" ref="E18:E81" si="0">IF(D18&lt;25000,D18,"25,000")</f>
        <v>25,000</v>
      </c>
      <c r="F18" s="1906">
        <f t="shared" ref="F18:F81" si="1">IF(D18&gt;=25000,(D18-E18),"0")</f>
        <v>4500</v>
      </c>
      <c r="G18" s="1887"/>
    </row>
    <row r="19" spans="1:7" x14ac:dyDescent="0.25">
      <c r="A19" s="2078" t="s">
        <v>2160</v>
      </c>
      <c r="B19" s="2079" t="s">
        <v>1797</v>
      </c>
      <c r="C19" s="2080" t="s">
        <v>2170</v>
      </c>
      <c r="D19" s="2081">
        <v>88078.93</v>
      </c>
      <c r="E19" s="1906" t="str">
        <f t="shared" si="0"/>
        <v>25,000</v>
      </c>
      <c r="F19" s="1906">
        <f t="shared" si="1"/>
        <v>63078.929999999993</v>
      </c>
    </row>
    <row r="20" spans="1:7" x14ac:dyDescent="0.25">
      <c r="A20" s="2078" t="s">
        <v>2160</v>
      </c>
      <c r="B20" s="2079" t="s">
        <v>2171</v>
      </c>
      <c r="C20" s="2080" t="s">
        <v>2172</v>
      </c>
      <c r="D20" s="2081">
        <v>35840</v>
      </c>
      <c r="E20" s="1906" t="str">
        <f t="shared" si="0"/>
        <v>25,000</v>
      </c>
      <c r="F20" s="1906">
        <f t="shared" si="1"/>
        <v>10840</v>
      </c>
    </row>
    <row r="21" spans="1:7" x14ac:dyDescent="0.25">
      <c r="A21" s="2078" t="s">
        <v>2160</v>
      </c>
      <c r="B21" s="2079" t="s">
        <v>1797</v>
      </c>
      <c r="C21" s="2080" t="s">
        <v>2173</v>
      </c>
      <c r="D21" s="2081">
        <v>46975</v>
      </c>
      <c r="E21" s="1906" t="str">
        <f t="shared" si="0"/>
        <v>25,000</v>
      </c>
      <c r="F21" s="1906">
        <f t="shared" si="1"/>
        <v>21975</v>
      </c>
    </row>
    <row r="22" spans="1:7" x14ac:dyDescent="0.25">
      <c r="A22" s="2078" t="s">
        <v>2161</v>
      </c>
      <c r="B22" s="2079" t="s">
        <v>2174</v>
      </c>
      <c r="C22" s="2080" t="s">
        <v>2175</v>
      </c>
      <c r="D22" s="2081">
        <v>225879.69</v>
      </c>
      <c r="E22" s="1906" t="str">
        <f t="shared" si="0"/>
        <v>25,000</v>
      </c>
      <c r="F22" s="1906">
        <f t="shared" si="1"/>
        <v>200879.69</v>
      </c>
    </row>
    <row r="23" spans="1:7" x14ac:dyDescent="0.25">
      <c r="A23" s="2078" t="s">
        <v>2161</v>
      </c>
      <c r="B23" s="2079" t="s">
        <v>2174</v>
      </c>
      <c r="C23" s="2080" t="s">
        <v>2176</v>
      </c>
      <c r="D23" s="2081">
        <v>194160.85</v>
      </c>
      <c r="E23" s="1906" t="str">
        <f t="shared" si="0"/>
        <v>25,000</v>
      </c>
      <c r="F23" s="1906">
        <f t="shared" si="1"/>
        <v>169160.85</v>
      </c>
    </row>
    <row r="24" spans="1:7" x14ac:dyDescent="0.25">
      <c r="A24" s="2078" t="s">
        <v>2162</v>
      </c>
      <c r="B24" s="2079" t="s">
        <v>2177</v>
      </c>
      <c r="C24" s="2080" t="s">
        <v>2178</v>
      </c>
      <c r="D24" s="2081">
        <v>262056</v>
      </c>
      <c r="E24" s="1906" t="str">
        <f t="shared" si="0"/>
        <v>25,000</v>
      </c>
      <c r="F24" s="1906">
        <f t="shared" si="1"/>
        <v>237056</v>
      </c>
    </row>
    <row r="25" spans="1:7" x14ac:dyDescent="0.25">
      <c r="A25" s="2078" t="s">
        <v>2160</v>
      </c>
      <c r="B25" s="2079" t="s">
        <v>1797</v>
      </c>
      <c r="C25" s="2080" t="s">
        <v>2179</v>
      </c>
      <c r="D25" s="2081">
        <v>53545.08</v>
      </c>
      <c r="E25" s="1906" t="str">
        <f t="shared" si="0"/>
        <v>25,000</v>
      </c>
      <c r="F25" s="1906">
        <f t="shared" si="1"/>
        <v>28545.08</v>
      </c>
    </row>
    <row r="26" spans="1:7" x14ac:dyDescent="0.25">
      <c r="A26" s="2078" t="s">
        <v>2163</v>
      </c>
      <c r="B26" s="2079" t="s">
        <v>2171</v>
      </c>
      <c r="C26" s="2080" t="s">
        <v>2180</v>
      </c>
      <c r="D26" s="2081">
        <v>257470.78</v>
      </c>
      <c r="E26" s="1906" t="str">
        <f t="shared" si="0"/>
        <v>25,000</v>
      </c>
      <c r="F26" s="1906">
        <f t="shared" si="1"/>
        <v>232470.78</v>
      </c>
    </row>
    <row r="27" spans="1:7" x14ac:dyDescent="0.25">
      <c r="A27" s="2078" t="s">
        <v>2160</v>
      </c>
      <c r="B27" s="2079" t="s">
        <v>2171</v>
      </c>
      <c r="C27" s="2080" t="s">
        <v>2181</v>
      </c>
      <c r="D27" s="2081">
        <v>114884</v>
      </c>
      <c r="E27" s="1906" t="str">
        <f t="shared" si="0"/>
        <v>25,000</v>
      </c>
      <c r="F27" s="1906">
        <f t="shared" si="1"/>
        <v>89884</v>
      </c>
    </row>
    <row r="28" spans="1:7" x14ac:dyDescent="0.25">
      <c r="A28" s="2078" t="s">
        <v>2160</v>
      </c>
      <c r="B28" s="2079" t="s">
        <v>1797</v>
      </c>
      <c r="C28" s="2080" t="s">
        <v>2182</v>
      </c>
      <c r="D28" s="2081">
        <v>151804.28</v>
      </c>
      <c r="E28" s="1906" t="str">
        <f t="shared" si="0"/>
        <v>25,000</v>
      </c>
      <c r="F28" s="1906">
        <f t="shared" si="1"/>
        <v>126804.28</v>
      </c>
    </row>
    <row r="29" spans="1:7" x14ac:dyDescent="0.25">
      <c r="A29" s="2078" t="s">
        <v>513</v>
      </c>
      <c r="B29" s="2079" t="s">
        <v>2183</v>
      </c>
      <c r="C29" s="2080" t="s">
        <v>2184</v>
      </c>
      <c r="D29" s="2081">
        <v>38440.36</v>
      </c>
      <c r="E29" s="1906" t="str">
        <f t="shared" si="0"/>
        <v>25,000</v>
      </c>
      <c r="F29" s="1906">
        <f t="shared" si="1"/>
        <v>13440.36</v>
      </c>
    </row>
    <row r="30" spans="1:7" x14ac:dyDescent="0.25">
      <c r="A30" s="2078" t="s">
        <v>2164</v>
      </c>
      <c r="B30" s="2079" t="s">
        <v>2185</v>
      </c>
      <c r="C30" s="2080" t="s">
        <v>2186</v>
      </c>
      <c r="D30" s="2081">
        <v>176340.39</v>
      </c>
      <c r="E30" s="1906" t="str">
        <f t="shared" si="0"/>
        <v>25,000</v>
      </c>
      <c r="F30" s="1906">
        <f t="shared" si="1"/>
        <v>151340.39000000001</v>
      </c>
    </row>
    <row r="31" spans="1:7" x14ac:dyDescent="0.25">
      <c r="A31" s="2078" t="s">
        <v>2162</v>
      </c>
      <c r="B31" s="2079" t="s">
        <v>2187</v>
      </c>
      <c r="C31" s="2080" t="s">
        <v>2188</v>
      </c>
      <c r="D31" s="2081">
        <v>83775</v>
      </c>
      <c r="E31" s="1906" t="str">
        <f t="shared" si="0"/>
        <v>25,000</v>
      </c>
      <c r="F31" s="1906">
        <f t="shared" si="1"/>
        <v>58775</v>
      </c>
    </row>
    <row r="32" spans="1:7" x14ac:dyDescent="0.25">
      <c r="A32" s="2078" t="s">
        <v>2160</v>
      </c>
      <c r="B32" s="2079" t="s">
        <v>1797</v>
      </c>
      <c r="C32" s="2080" t="s">
        <v>2189</v>
      </c>
      <c r="D32" s="2081">
        <v>54083.040000000001</v>
      </c>
      <c r="E32" s="1906" t="str">
        <f t="shared" si="0"/>
        <v>25,000</v>
      </c>
      <c r="F32" s="1906">
        <f t="shared" si="1"/>
        <v>29083.040000000001</v>
      </c>
    </row>
    <row r="33" spans="1:6" x14ac:dyDescent="0.25">
      <c r="A33" s="2078" t="s">
        <v>513</v>
      </c>
      <c r="B33" s="2079" t="s">
        <v>2174</v>
      </c>
      <c r="C33" s="2080" t="s">
        <v>2190</v>
      </c>
      <c r="D33" s="2081">
        <v>945702.04</v>
      </c>
      <c r="E33" s="1906" t="str">
        <f t="shared" si="0"/>
        <v>25,000</v>
      </c>
      <c r="F33" s="1906">
        <f t="shared" si="1"/>
        <v>920702.04</v>
      </c>
    </row>
    <row r="34" spans="1:6" x14ac:dyDescent="0.25">
      <c r="A34" s="2078" t="s">
        <v>2160</v>
      </c>
      <c r="B34" s="2079" t="s">
        <v>2191</v>
      </c>
      <c r="C34" s="2080" t="s">
        <v>2192</v>
      </c>
      <c r="D34" s="2081">
        <v>59745.2</v>
      </c>
      <c r="E34" s="1906" t="str">
        <f t="shared" si="0"/>
        <v>25,000</v>
      </c>
      <c r="F34" s="1906">
        <f t="shared" si="1"/>
        <v>34745.199999999997</v>
      </c>
    </row>
    <row r="35" spans="1:6" x14ac:dyDescent="0.25">
      <c r="A35" s="2078" t="s">
        <v>2160</v>
      </c>
      <c r="B35" s="2079" t="s">
        <v>1797</v>
      </c>
      <c r="C35" s="2080" t="s">
        <v>2193</v>
      </c>
      <c r="D35" s="2081">
        <v>52336.800000000003</v>
      </c>
      <c r="E35" s="1906" t="str">
        <f t="shared" si="0"/>
        <v>25,000</v>
      </c>
      <c r="F35" s="1906">
        <f t="shared" si="1"/>
        <v>27336.800000000003</v>
      </c>
    </row>
    <row r="36" spans="1:6" x14ac:dyDescent="0.25">
      <c r="A36" s="2078" t="s">
        <v>2165</v>
      </c>
      <c r="B36" s="2079" t="s">
        <v>2194</v>
      </c>
      <c r="C36" s="2080" t="s">
        <v>2195</v>
      </c>
      <c r="D36" s="2081">
        <v>90178.59</v>
      </c>
      <c r="E36" s="1906" t="str">
        <f t="shared" si="0"/>
        <v>25,000</v>
      </c>
      <c r="F36" s="1906">
        <f t="shared" si="1"/>
        <v>65178.59</v>
      </c>
    </row>
    <row r="37" spans="1:6" x14ac:dyDescent="0.25">
      <c r="A37" s="2078" t="s">
        <v>2160</v>
      </c>
      <c r="B37" s="2079" t="s">
        <v>2171</v>
      </c>
      <c r="C37" s="2080" t="s">
        <v>2196</v>
      </c>
      <c r="D37" s="2081">
        <v>53432</v>
      </c>
      <c r="E37" s="1906" t="str">
        <f t="shared" si="0"/>
        <v>25,000</v>
      </c>
      <c r="F37" s="1906">
        <f t="shared" si="1"/>
        <v>28432</v>
      </c>
    </row>
    <row r="38" spans="1:6" x14ac:dyDescent="0.25">
      <c r="A38" s="2078" t="s">
        <v>514</v>
      </c>
      <c r="B38" s="2079" t="s">
        <v>2197</v>
      </c>
      <c r="C38" s="2080" t="s">
        <v>2198</v>
      </c>
      <c r="D38" s="2081">
        <v>39451</v>
      </c>
      <c r="E38" s="1906" t="str">
        <f t="shared" si="0"/>
        <v>25,000</v>
      </c>
      <c r="F38" s="1906">
        <f t="shared" si="1"/>
        <v>14451</v>
      </c>
    </row>
    <row r="39" spans="1:6" x14ac:dyDescent="0.25">
      <c r="A39" s="2078" t="s">
        <v>2160</v>
      </c>
      <c r="B39" s="2082" t="s">
        <v>1797</v>
      </c>
      <c r="C39" s="2080" t="s">
        <v>2199</v>
      </c>
      <c r="D39" s="2081">
        <v>224943.13</v>
      </c>
      <c r="E39" s="1906" t="str">
        <f t="shared" si="0"/>
        <v>25,000</v>
      </c>
      <c r="F39" s="1906">
        <f t="shared" si="1"/>
        <v>199943.13</v>
      </c>
    </row>
    <row r="40" spans="1:6" x14ac:dyDescent="0.25">
      <c r="A40" s="2078" t="s">
        <v>513</v>
      </c>
      <c r="B40" s="2082" t="s">
        <v>2183</v>
      </c>
      <c r="C40" s="2080" t="s">
        <v>2200</v>
      </c>
      <c r="D40" s="2081">
        <v>149822</v>
      </c>
      <c r="E40" s="1906" t="str">
        <f t="shared" si="0"/>
        <v>25,000</v>
      </c>
      <c r="F40" s="1906">
        <f t="shared" si="1"/>
        <v>124822</v>
      </c>
    </row>
    <row r="41" spans="1:6" x14ac:dyDescent="0.25">
      <c r="A41" s="2078" t="s">
        <v>2166</v>
      </c>
      <c r="B41" s="2082" t="s">
        <v>2201</v>
      </c>
      <c r="C41" s="2080" t="s">
        <v>2202</v>
      </c>
      <c r="D41" s="2081">
        <v>51259</v>
      </c>
      <c r="E41" s="1906" t="str">
        <f t="shared" si="0"/>
        <v>25,000</v>
      </c>
      <c r="F41" s="1906">
        <f t="shared" si="1"/>
        <v>26259</v>
      </c>
    </row>
    <row r="42" spans="1:6" x14ac:dyDescent="0.25">
      <c r="A42" s="2078" t="s">
        <v>2167</v>
      </c>
      <c r="B42" s="2082" t="s">
        <v>2203</v>
      </c>
      <c r="C42" s="2080" t="s">
        <v>2204</v>
      </c>
      <c r="D42" s="2081">
        <v>1115008.96</v>
      </c>
      <c r="E42" s="1906" t="str">
        <f t="shared" si="0"/>
        <v>25,000</v>
      </c>
      <c r="F42" s="1906">
        <f t="shared" si="1"/>
        <v>1090008.96</v>
      </c>
    </row>
    <row r="43" spans="1:6" x14ac:dyDescent="0.25">
      <c r="A43" s="2078" t="s">
        <v>2164</v>
      </c>
      <c r="B43" s="2082" t="s">
        <v>2185</v>
      </c>
      <c r="C43" s="2080" t="s">
        <v>2205</v>
      </c>
      <c r="D43" s="2081">
        <v>37273</v>
      </c>
      <c r="E43" s="1906" t="str">
        <f t="shared" si="0"/>
        <v>25,000</v>
      </c>
      <c r="F43" s="1906">
        <f t="shared" si="1"/>
        <v>12273</v>
      </c>
    </row>
    <row r="44" spans="1:6" x14ac:dyDescent="0.25">
      <c r="A44" s="2078" t="s">
        <v>514</v>
      </c>
      <c r="B44" s="2082" t="s">
        <v>2197</v>
      </c>
      <c r="C44" s="2080" t="s">
        <v>2206</v>
      </c>
      <c r="D44" s="2081">
        <v>3135224.63</v>
      </c>
      <c r="E44" s="1906" t="str">
        <f t="shared" si="0"/>
        <v>25,000</v>
      </c>
      <c r="F44" s="1906">
        <f t="shared" si="1"/>
        <v>3110224.63</v>
      </c>
    </row>
    <row r="45" spans="1:6" x14ac:dyDescent="0.25">
      <c r="A45" s="2078" t="s">
        <v>2165</v>
      </c>
      <c r="B45" s="2082" t="s">
        <v>2207</v>
      </c>
      <c r="C45" s="2080" t="s">
        <v>2208</v>
      </c>
      <c r="D45" s="2081">
        <v>40583.51</v>
      </c>
      <c r="E45" s="1906" t="str">
        <f t="shared" si="0"/>
        <v>25,000</v>
      </c>
      <c r="F45" s="1906">
        <f t="shared" si="1"/>
        <v>15583.510000000002</v>
      </c>
    </row>
    <row r="46" spans="1:6" x14ac:dyDescent="0.25">
      <c r="A46" s="2078" t="s">
        <v>513</v>
      </c>
      <c r="B46" s="2082" t="s">
        <v>2183</v>
      </c>
      <c r="C46" s="2080" t="s">
        <v>2209</v>
      </c>
      <c r="D46" s="2081">
        <v>197734.44</v>
      </c>
      <c r="E46" s="1906" t="str">
        <f t="shared" si="0"/>
        <v>25,000</v>
      </c>
      <c r="F46" s="1906">
        <f t="shared" si="1"/>
        <v>172734.44</v>
      </c>
    </row>
    <row r="47" spans="1:6" x14ac:dyDescent="0.25">
      <c r="A47" s="2078" t="s">
        <v>2160</v>
      </c>
      <c r="B47" s="2082" t="s">
        <v>2171</v>
      </c>
      <c r="C47" s="2080" t="s">
        <v>2210</v>
      </c>
      <c r="D47" s="2081">
        <v>49260.67</v>
      </c>
      <c r="E47" s="1906" t="str">
        <f t="shared" si="0"/>
        <v>25,000</v>
      </c>
      <c r="F47" s="1906">
        <f t="shared" si="1"/>
        <v>24260.67</v>
      </c>
    </row>
    <row r="48" spans="1:6" x14ac:dyDescent="0.25">
      <c r="A48" s="1888"/>
      <c r="B48" s="1908"/>
      <c r="C48" s="1889"/>
      <c r="D48" s="1886"/>
      <c r="E48" s="1906">
        <f t="shared" si="0"/>
        <v>0</v>
      </c>
      <c r="F48" s="1906" t="str">
        <f t="shared" si="1"/>
        <v>0</v>
      </c>
    </row>
    <row r="49" spans="1:6" x14ac:dyDescent="0.25">
      <c r="A49" s="1888"/>
      <c r="B49" s="1908"/>
      <c r="C49" s="1889"/>
      <c r="D49" s="1886"/>
      <c r="E49" s="1906">
        <f t="shared" si="0"/>
        <v>0</v>
      </c>
      <c r="F49" s="1906" t="str">
        <f t="shared" si="1"/>
        <v>0</v>
      </c>
    </row>
    <row r="50" spans="1:6" x14ac:dyDescent="0.25">
      <c r="A50" s="1888"/>
      <c r="B50" s="1908"/>
      <c r="C50" s="1889"/>
      <c r="D50" s="1886"/>
      <c r="E50" s="1906">
        <f t="shared" si="0"/>
        <v>0</v>
      </c>
      <c r="F50" s="1906" t="str">
        <f t="shared" si="1"/>
        <v>0</v>
      </c>
    </row>
    <row r="51" spans="1:6" x14ac:dyDescent="0.25">
      <c r="A51" s="1888"/>
      <c r="B51" s="1908"/>
      <c r="C51" s="1889"/>
      <c r="D51" s="1886"/>
      <c r="E51" s="1906">
        <f t="shared" si="0"/>
        <v>0</v>
      </c>
      <c r="F51" s="1906" t="str">
        <f t="shared" si="1"/>
        <v>0</v>
      </c>
    </row>
    <row r="52" spans="1:6" x14ac:dyDescent="0.25">
      <c r="A52" s="1888"/>
      <c r="B52" s="1908"/>
      <c r="C52" s="1889"/>
      <c r="D52" s="1886"/>
      <c r="E52" s="1906">
        <f t="shared" si="0"/>
        <v>0</v>
      </c>
      <c r="F52" s="1906" t="str">
        <f t="shared" si="1"/>
        <v>0</v>
      </c>
    </row>
    <row r="53" spans="1:6" x14ac:dyDescent="0.25">
      <c r="A53" s="1888"/>
      <c r="B53" s="1908"/>
      <c r="C53" s="1889"/>
      <c r="D53" s="1886"/>
      <c r="E53" s="1906">
        <f t="shared" si="0"/>
        <v>0</v>
      </c>
      <c r="F53" s="1906" t="str">
        <f t="shared" si="1"/>
        <v>0</v>
      </c>
    </row>
    <row r="54" spans="1:6" x14ac:dyDescent="0.25">
      <c r="A54" s="1888"/>
      <c r="B54" s="1908"/>
      <c r="C54" s="1889"/>
      <c r="D54" s="1886"/>
      <c r="E54" s="1906">
        <f t="shared" si="0"/>
        <v>0</v>
      </c>
      <c r="F54" s="1906" t="str">
        <f t="shared" si="1"/>
        <v>0</v>
      </c>
    </row>
    <row r="55" spans="1:6" x14ac:dyDescent="0.25">
      <c r="A55" s="1888"/>
      <c r="B55" s="1908"/>
      <c r="C55" s="1889"/>
      <c r="D55" s="1886"/>
      <c r="E55" s="1906">
        <f t="shared" si="0"/>
        <v>0</v>
      </c>
      <c r="F55" s="1906" t="str">
        <f t="shared" si="1"/>
        <v>0</v>
      </c>
    </row>
    <row r="56" spans="1:6" x14ac:dyDescent="0.25">
      <c r="A56" s="1888"/>
      <c r="B56" s="1908"/>
      <c r="C56" s="1889"/>
      <c r="D56" s="1886"/>
      <c r="E56" s="1906">
        <f t="shared" si="0"/>
        <v>0</v>
      </c>
      <c r="F56" s="1906" t="str">
        <f t="shared" si="1"/>
        <v>0</v>
      </c>
    </row>
    <row r="57" spans="1:6" x14ac:dyDescent="0.25">
      <c r="A57" s="1888"/>
      <c r="B57" s="1908"/>
      <c r="C57" s="1889"/>
      <c r="D57" s="1886"/>
      <c r="E57" s="1906">
        <f t="shared" si="0"/>
        <v>0</v>
      </c>
      <c r="F57" s="1906" t="str">
        <f t="shared" si="1"/>
        <v>0</v>
      </c>
    </row>
    <row r="58" spans="1:6" x14ac:dyDescent="0.25">
      <c r="A58" s="1888"/>
      <c r="B58" s="1908"/>
      <c r="C58" s="1889"/>
      <c r="D58" s="1886"/>
      <c r="E58" s="1906">
        <f t="shared" si="0"/>
        <v>0</v>
      </c>
      <c r="F58" s="1906" t="str">
        <f t="shared" si="1"/>
        <v>0</v>
      </c>
    </row>
    <row r="59" spans="1:6" x14ac:dyDescent="0.25">
      <c r="A59" s="1888"/>
      <c r="B59" s="1908"/>
      <c r="C59" s="1889"/>
      <c r="D59" s="1886"/>
      <c r="E59" s="1906">
        <f t="shared" si="0"/>
        <v>0</v>
      </c>
      <c r="F59" s="1906" t="str">
        <f t="shared" si="1"/>
        <v>0</v>
      </c>
    </row>
    <row r="60" spans="1:6" x14ac:dyDescent="0.25">
      <c r="A60" s="1888"/>
      <c r="B60" s="1908"/>
      <c r="C60" s="1889"/>
      <c r="D60" s="1886"/>
      <c r="E60" s="1906">
        <f t="shared" si="0"/>
        <v>0</v>
      </c>
      <c r="F60" s="1906" t="str">
        <f t="shared" si="1"/>
        <v>0</v>
      </c>
    </row>
    <row r="61" spans="1:6" x14ac:dyDescent="0.25">
      <c r="A61" s="1888"/>
      <c r="B61" s="1908"/>
      <c r="C61" s="1889"/>
      <c r="D61" s="1886"/>
      <c r="E61" s="1906">
        <f t="shared" si="0"/>
        <v>0</v>
      </c>
      <c r="F61" s="1906" t="str">
        <f t="shared" si="1"/>
        <v>0</v>
      </c>
    </row>
    <row r="62" spans="1:6" x14ac:dyDescent="0.25">
      <c r="A62" s="1888"/>
      <c r="B62" s="1908"/>
      <c r="C62" s="1889"/>
      <c r="D62" s="1886"/>
      <c r="E62" s="1906">
        <f t="shared" si="0"/>
        <v>0</v>
      </c>
      <c r="F62" s="1906" t="str">
        <f t="shared" si="1"/>
        <v>0</v>
      </c>
    </row>
    <row r="63" spans="1:6" x14ac:dyDescent="0.25">
      <c r="A63" s="1888"/>
      <c r="B63" s="1908"/>
      <c r="C63" s="1889"/>
      <c r="D63" s="1886"/>
      <c r="E63" s="1906">
        <f t="shared" si="0"/>
        <v>0</v>
      </c>
      <c r="F63" s="1906" t="str">
        <f t="shared" si="1"/>
        <v>0</v>
      </c>
    </row>
    <row r="64" spans="1:6" x14ac:dyDescent="0.25">
      <c r="A64" s="1888"/>
      <c r="B64" s="1908"/>
      <c r="C64" s="1889"/>
      <c r="D64" s="1886"/>
      <c r="E64" s="1906">
        <f t="shared" si="0"/>
        <v>0</v>
      </c>
      <c r="F64" s="1906" t="str">
        <f t="shared" si="1"/>
        <v>0</v>
      </c>
    </row>
    <row r="65" spans="1:6" x14ac:dyDescent="0.25">
      <c r="A65" s="1884"/>
      <c r="B65" s="1908"/>
      <c r="C65" s="1885"/>
      <c r="D65" s="1886"/>
      <c r="E65" s="1906">
        <f t="shared" si="0"/>
        <v>0</v>
      </c>
      <c r="F65" s="1906" t="str">
        <f t="shared" si="1"/>
        <v>0</v>
      </c>
    </row>
    <row r="66" spans="1:6" x14ac:dyDescent="0.25">
      <c r="A66" s="1888"/>
      <c r="B66" s="1908"/>
      <c r="C66" s="1889"/>
      <c r="D66" s="1886"/>
      <c r="E66" s="1906">
        <f t="shared" si="0"/>
        <v>0</v>
      </c>
      <c r="F66" s="1906" t="str">
        <f t="shared" si="1"/>
        <v>0</v>
      </c>
    </row>
    <row r="67" spans="1:6" x14ac:dyDescent="0.25">
      <c r="A67" s="1888"/>
      <c r="B67" s="1908"/>
      <c r="C67" s="1889"/>
      <c r="D67" s="1886"/>
      <c r="E67" s="1906">
        <f t="shared" si="0"/>
        <v>0</v>
      </c>
      <c r="F67" s="1906" t="str">
        <f t="shared" si="1"/>
        <v>0</v>
      </c>
    </row>
    <row r="68" spans="1:6" x14ac:dyDescent="0.25">
      <c r="A68" s="1888"/>
      <c r="B68" s="1908"/>
      <c r="C68" s="1889"/>
      <c r="D68" s="1886"/>
      <c r="E68" s="1906">
        <f t="shared" si="0"/>
        <v>0</v>
      </c>
      <c r="F68" s="1906" t="str">
        <f t="shared" si="1"/>
        <v>0</v>
      </c>
    </row>
    <row r="69" spans="1:6" x14ac:dyDescent="0.25">
      <c r="A69" s="1888"/>
      <c r="B69" s="1908"/>
      <c r="C69" s="1889"/>
      <c r="D69" s="1886"/>
      <c r="E69" s="1906">
        <f t="shared" si="0"/>
        <v>0</v>
      </c>
      <c r="F69" s="1906" t="str">
        <f t="shared" si="1"/>
        <v>0</v>
      </c>
    </row>
    <row r="70" spans="1:6" x14ac:dyDescent="0.25">
      <c r="A70" s="1888"/>
      <c r="B70" s="1908"/>
      <c r="C70" s="1889"/>
      <c r="D70" s="1886"/>
      <c r="E70" s="1906">
        <f t="shared" si="0"/>
        <v>0</v>
      </c>
      <c r="F70" s="1906" t="str">
        <f t="shared" si="1"/>
        <v>0</v>
      </c>
    </row>
    <row r="71" spans="1:6" x14ac:dyDescent="0.25">
      <c r="A71" s="1888"/>
      <c r="B71" s="1908"/>
      <c r="C71" s="1889"/>
      <c r="D71" s="1886"/>
      <c r="E71" s="1906">
        <f t="shared" si="0"/>
        <v>0</v>
      </c>
      <c r="F71" s="1906" t="str">
        <f t="shared" si="1"/>
        <v>0</v>
      </c>
    </row>
    <row r="72" spans="1:6" x14ac:dyDescent="0.25">
      <c r="A72" s="1888"/>
      <c r="B72" s="1908"/>
      <c r="C72" s="1889"/>
      <c r="D72" s="1886"/>
      <c r="E72" s="1906">
        <f t="shared" si="0"/>
        <v>0</v>
      </c>
      <c r="F72" s="1906" t="str">
        <f t="shared" si="1"/>
        <v>0</v>
      </c>
    </row>
    <row r="73" spans="1:6" x14ac:dyDescent="0.25">
      <c r="A73" s="1888"/>
      <c r="B73" s="1908"/>
      <c r="C73" s="1889"/>
      <c r="D73" s="1886"/>
      <c r="E73" s="1906">
        <f t="shared" si="0"/>
        <v>0</v>
      </c>
      <c r="F73" s="1906" t="str">
        <f t="shared" si="1"/>
        <v>0</v>
      </c>
    </row>
    <row r="74" spans="1:6" x14ac:dyDescent="0.25">
      <c r="A74" s="1888"/>
      <c r="B74" s="1908"/>
      <c r="C74" s="1889"/>
      <c r="D74" s="1886"/>
      <c r="E74" s="1906">
        <f t="shared" si="0"/>
        <v>0</v>
      </c>
      <c r="F74" s="1906" t="str">
        <f t="shared" si="1"/>
        <v>0</v>
      </c>
    </row>
    <row r="75" spans="1:6" x14ac:dyDescent="0.25">
      <c r="A75" s="1888"/>
      <c r="B75" s="1908"/>
      <c r="C75" s="1889"/>
      <c r="D75" s="1886"/>
      <c r="E75" s="1906">
        <f t="shared" si="0"/>
        <v>0</v>
      </c>
      <c r="F75" s="1906" t="str">
        <f t="shared" si="1"/>
        <v>0</v>
      </c>
    </row>
    <row r="76" spans="1:6" x14ac:dyDescent="0.25">
      <c r="A76" s="1888"/>
      <c r="B76" s="1908"/>
      <c r="C76" s="1889"/>
      <c r="D76" s="1886"/>
      <c r="E76" s="1906">
        <f t="shared" si="0"/>
        <v>0</v>
      </c>
      <c r="F76" s="1906" t="str">
        <f t="shared" si="1"/>
        <v>0</v>
      </c>
    </row>
    <row r="77" spans="1:6" x14ac:dyDescent="0.25">
      <c r="A77" s="1888"/>
      <c r="B77" s="1908"/>
      <c r="C77" s="1889"/>
      <c r="D77" s="1886"/>
      <c r="E77" s="1906">
        <f t="shared" si="0"/>
        <v>0</v>
      </c>
      <c r="F77" s="1906" t="str">
        <f t="shared" si="1"/>
        <v>0</v>
      </c>
    </row>
    <row r="78" spans="1:6" x14ac:dyDescent="0.25">
      <c r="A78" s="1888"/>
      <c r="B78" s="1908"/>
      <c r="C78" s="1889"/>
      <c r="D78" s="1886"/>
      <c r="E78" s="1906">
        <f t="shared" si="0"/>
        <v>0</v>
      </c>
      <c r="F78" s="1906" t="str">
        <f t="shared" si="1"/>
        <v>0</v>
      </c>
    </row>
    <row r="79" spans="1:6" x14ac:dyDescent="0.25">
      <c r="A79" s="1888"/>
      <c r="B79" s="1908"/>
      <c r="C79" s="1889"/>
      <c r="D79" s="1886"/>
      <c r="E79" s="1906">
        <f t="shared" si="0"/>
        <v>0</v>
      </c>
      <c r="F79" s="1906" t="str">
        <f t="shared" si="1"/>
        <v>0</v>
      </c>
    </row>
    <row r="80" spans="1:6" x14ac:dyDescent="0.25">
      <c r="A80" s="1888"/>
      <c r="B80" s="1908"/>
      <c r="C80" s="1889"/>
      <c r="D80" s="1886"/>
      <c r="E80" s="1906">
        <f t="shared" si="0"/>
        <v>0</v>
      </c>
      <c r="F80" s="1906" t="str">
        <f t="shared" si="1"/>
        <v>0</v>
      </c>
    </row>
    <row r="81" spans="1:6" x14ac:dyDescent="0.25">
      <c r="A81" s="1888"/>
      <c r="B81" s="1908"/>
      <c r="C81" s="1889"/>
      <c r="D81" s="1886"/>
      <c r="E81" s="1906">
        <f t="shared" si="0"/>
        <v>0</v>
      </c>
      <c r="F81" s="1906" t="str">
        <f t="shared" si="1"/>
        <v>0</v>
      </c>
    </row>
    <row r="82" spans="1:6" x14ac:dyDescent="0.25">
      <c r="A82" s="1888"/>
      <c r="B82" s="1908"/>
      <c r="C82" s="1889"/>
      <c r="D82" s="1886"/>
      <c r="E82" s="1906">
        <f t="shared" ref="E82:E141" si="2">IF(D82&lt;25000,D82,"25,000")</f>
        <v>0</v>
      </c>
      <c r="F82" s="1906" t="str">
        <f t="shared" ref="F82:F141" si="3">IF(D82&gt;=25000,(D82-E82),"0")</f>
        <v>0</v>
      </c>
    </row>
    <row r="83" spans="1:6" x14ac:dyDescent="0.25">
      <c r="A83" s="1888"/>
      <c r="B83" s="1908"/>
      <c r="C83" s="1889"/>
      <c r="D83" s="1886"/>
      <c r="E83" s="1906">
        <f t="shared" si="2"/>
        <v>0</v>
      </c>
      <c r="F83" s="1906" t="str">
        <f t="shared" si="3"/>
        <v>0</v>
      </c>
    </row>
    <row r="84" spans="1:6" x14ac:dyDescent="0.25">
      <c r="A84" s="1888"/>
      <c r="B84" s="1908"/>
      <c r="C84" s="1889"/>
      <c r="D84" s="1886"/>
      <c r="E84" s="1906">
        <f t="shared" si="2"/>
        <v>0</v>
      </c>
      <c r="F84" s="1906" t="str">
        <f t="shared" si="3"/>
        <v>0</v>
      </c>
    </row>
    <row r="85" spans="1:6" x14ac:dyDescent="0.25">
      <c r="A85" s="1888"/>
      <c r="B85" s="1908"/>
      <c r="C85" s="1889"/>
      <c r="D85" s="1886"/>
      <c r="E85" s="1906">
        <f t="shared" si="2"/>
        <v>0</v>
      </c>
      <c r="F85" s="1906" t="str">
        <f t="shared" si="3"/>
        <v>0</v>
      </c>
    </row>
    <row r="86" spans="1:6" x14ac:dyDescent="0.25">
      <c r="A86" s="1888"/>
      <c r="B86" s="1908"/>
      <c r="C86" s="1889"/>
      <c r="D86" s="1886"/>
      <c r="E86" s="1906">
        <f t="shared" si="2"/>
        <v>0</v>
      </c>
      <c r="F86" s="1906" t="str">
        <f t="shared" si="3"/>
        <v>0</v>
      </c>
    </row>
    <row r="87" spans="1:6" x14ac:dyDescent="0.25">
      <c r="A87" s="1888"/>
      <c r="B87" s="1908"/>
      <c r="C87" s="1889"/>
      <c r="D87" s="1886"/>
      <c r="E87" s="1906">
        <f t="shared" si="2"/>
        <v>0</v>
      </c>
      <c r="F87" s="1906" t="str">
        <f t="shared" si="3"/>
        <v>0</v>
      </c>
    </row>
    <row r="88" spans="1:6" x14ac:dyDescent="0.25">
      <c r="A88" s="1888"/>
      <c r="B88" s="1908"/>
      <c r="C88" s="1889"/>
      <c r="D88" s="1886"/>
      <c r="E88" s="1906">
        <f t="shared" si="2"/>
        <v>0</v>
      </c>
      <c r="F88" s="1906" t="str">
        <f t="shared" si="3"/>
        <v>0</v>
      </c>
    </row>
    <row r="89" spans="1:6" x14ac:dyDescent="0.25">
      <c r="A89" s="1888"/>
      <c r="B89" s="1908"/>
      <c r="C89" s="1889"/>
      <c r="D89" s="1886"/>
      <c r="E89" s="1906">
        <f t="shared" si="2"/>
        <v>0</v>
      </c>
      <c r="F89" s="1906" t="str">
        <f t="shared" si="3"/>
        <v>0</v>
      </c>
    </row>
    <row r="90" spans="1:6" x14ac:dyDescent="0.25">
      <c r="A90" s="1888"/>
      <c r="B90" s="1908"/>
      <c r="C90" s="1889"/>
      <c r="D90" s="1886"/>
      <c r="E90" s="1906">
        <f t="shared" si="2"/>
        <v>0</v>
      </c>
      <c r="F90" s="1906" t="str">
        <f t="shared" si="3"/>
        <v>0</v>
      </c>
    </row>
    <row r="91" spans="1:6" x14ac:dyDescent="0.25">
      <c r="A91" s="1888"/>
      <c r="B91" s="1908"/>
      <c r="C91" s="1889"/>
      <c r="D91" s="1886"/>
      <c r="E91" s="1906">
        <f t="shared" si="2"/>
        <v>0</v>
      </c>
      <c r="F91" s="1906" t="str">
        <f t="shared" si="3"/>
        <v>0</v>
      </c>
    </row>
    <row r="92" spans="1:6" x14ac:dyDescent="0.25">
      <c r="A92" s="1888"/>
      <c r="B92" s="1908"/>
      <c r="C92" s="1889"/>
      <c r="D92" s="1886"/>
      <c r="E92" s="1906">
        <f t="shared" si="2"/>
        <v>0</v>
      </c>
      <c r="F92" s="1906" t="str">
        <f t="shared" si="3"/>
        <v>0</v>
      </c>
    </row>
    <row r="93" spans="1:6" x14ac:dyDescent="0.25">
      <c r="A93" s="1888"/>
      <c r="B93" s="1908"/>
      <c r="C93" s="1889"/>
      <c r="D93" s="1886"/>
      <c r="E93" s="1906">
        <f t="shared" si="2"/>
        <v>0</v>
      </c>
      <c r="F93" s="1906" t="str">
        <f t="shared" si="3"/>
        <v>0</v>
      </c>
    </row>
    <row r="94" spans="1:6" x14ac:dyDescent="0.25">
      <c r="A94" s="1888"/>
      <c r="B94" s="1908"/>
      <c r="C94" s="1889"/>
      <c r="D94" s="1886"/>
      <c r="E94" s="1906">
        <f t="shared" si="2"/>
        <v>0</v>
      </c>
      <c r="F94" s="1906" t="str">
        <f t="shared" si="3"/>
        <v>0</v>
      </c>
    </row>
    <row r="95" spans="1:6" x14ac:dyDescent="0.25">
      <c r="A95" s="1888"/>
      <c r="B95" s="1908"/>
      <c r="C95" s="1889"/>
      <c r="D95" s="1886"/>
      <c r="E95" s="1906">
        <f t="shared" si="2"/>
        <v>0</v>
      </c>
      <c r="F95" s="1906" t="str">
        <f t="shared" si="3"/>
        <v>0</v>
      </c>
    </row>
    <row r="96" spans="1:6" x14ac:dyDescent="0.25">
      <c r="A96" s="1888"/>
      <c r="B96" s="1908"/>
      <c r="C96" s="1889"/>
      <c r="D96" s="1886"/>
      <c r="E96" s="1906">
        <f t="shared" si="2"/>
        <v>0</v>
      </c>
      <c r="F96" s="1906" t="str">
        <f t="shared" si="3"/>
        <v>0</v>
      </c>
    </row>
    <row r="97" spans="1:6" x14ac:dyDescent="0.25">
      <c r="A97" s="1888"/>
      <c r="B97" s="1908"/>
      <c r="C97" s="1889"/>
      <c r="D97" s="1886"/>
      <c r="E97" s="1906">
        <f t="shared" si="2"/>
        <v>0</v>
      </c>
      <c r="F97" s="1906" t="str">
        <f t="shared" si="3"/>
        <v>0</v>
      </c>
    </row>
    <row r="98" spans="1:6" x14ac:dyDescent="0.25">
      <c r="A98" s="1888"/>
      <c r="B98" s="1908"/>
      <c r="C98" s="1889"/>
      <c r="D98" s="1886"/>
      <c r="E98" s="1906">
        <f t="shared" si="2"/>
        <v>0</v>
      </c>
      <c r="F98" s="1906" t="str">
        <f t="shared" si="3"/>
        <v>0</v>
      </c>
    </row>
    <row r="99" spans="1:6" x14ac:dyDescent="0.25">
      <c r="A99" s="1888"/>
      <c r="B99" s="1908"/>
      <c r="C99" s="1889"/>
      <c r="D99" s="1886"/>
      <c r="E99" s="1906">
        <f t="shared" si="2"/>
        <v>0</v>
      </c>
      <c r="F99" s="1906" t="str">
        <f t="shared" si="3"/>
        <v>0</v>
      </c>
    </row>
    <row r="100" spans="1:6" x14ac:dyDescent="0.25">
      <c r="A100" s="1888"/>
      <c r="B100" s="1908"/>
      <c r="C100" s="1889"/>
      <c r="D100" s="1886"/>
      <c r="E100" s="1906">
        <f t="shared" si="2"/>
        <v>0</v>
      </c>
      <c r="F100" s="1906" t="str">
        <f t="shared" si="3"/>
        <v>0</v>
      </c>
    </row>
    <row r="101" spans="1:6" x14ac:dyDescent="0.25">
      <c r="A101" s="1888"/>
      <c r="B101" s="1908"/>
      <c r="C101" s="1889"/>
      <c r="D101" s="1886"/>
      <c r="E101" s="1906">
        <f t="shared" si="2"/>
        <v>0</v>
      </c>
      <c r="F101" s="1906" t="str">
        <f t="shared" si="3"/>
        <v>0</v>
      </c>
    </row>
    <row r="102" spans="1:6" x14ac:dyDescent="0.25">
      <c r="A102" s="1888"/>
      <c r="B102" s="1908"/>
      <c r="C102" s="1889"/>
      <c r="D102" s="1886"/>
      <c r="E102" s="1906">
        <f t="shared" si="2"/>
        <v>0</v>
      </c>
      <c r="F102" s="1906" t="str">
        <f t="shared" si="3"/>
        <v>0</v>
      </c>
    </row>
    <row r="103" spans="1:6" x14ac:dyDescent="0.25">
      <c r="A103" s="1888"/>
      <c r="B103" s="1908"/>
      <c r="C103" s="1889"/>
      <c r="D103" s="1886"/>
      <c r="E103" s="1906">
        <f t="shared" si="2"/>
        <v>0</v>
      </c>
      <c r="F103" s="1906" t="str">
        <f t="shared" si="3"/>
        <v>0</v>
      </c>
    </row>
    <row r="104" spans="1:6" x14ac:dyDescent="0.25">
      <c r="A104" s="1888"/>
      <c r="B104" s="1908"/>
      <c r="C104" s="1889"/>
      <c r="D104" s="1886"/>
      <c r="E104" s="1906">
        <f t="shared" si="2"/>
        <v>0</v>
      </c>
      <c r="F104" s="1906" t="str">
        <f t="shared" si="3"/>
        <v>0</v>
      </c>
    </row>
    <row r="105" spans="1:6" x14ac:dyDescent="0.25">
      <c r="A105" s="1888"/>
      <c r="B105" s="1908"/>
      <c r="C105" s="1889"/>
      <c r="D105" s="1886"/>
      <c r="E105" s="1906">
        <f t="shared" si="2"/>
        <v>0</v>
      </c>
      <c r="F105" s="1906" t="str">
        <f t="shared" si="3"/>
        <v>0</v>
      </c>
    </row>
    <row r="106" spans="1:6" x14ac:dyDescent="0.25">
      <c r="A106" s="1888"/>
      <c r="B106" s="1908"/>
      <c r="C106" s="1889"/>
      <c r="D106" s="1886"/>
      <c r="E106" s="1906">
        <f t="shared" si="2"/>
        <v>0</v>
      </c>
      <c r="F106" s="1906" t="str">
        <f t="shared" si="3"/>
        <v>0</v>
      </c>
    </row>
    <row r="107" spans="1:6" x14ac:dyDescent="0.25">
      <c r="A107" s="1888"/>
      <c r="B107" s="1908"/>
      <c r="C107" s="1889"/>
      <c r="D107" s="1886"/>
      <c r="E107" s="1906">
        <f t="shared" si="2"/>
        <v>0</v>
      </c>
      <c r="F107" s="1906" t="str">
        <f t="shared" si="3"/>
        <v>0</v>
      </c>
    </row>
    <row r="108" spans="1:6" x14ac:dyDescent="0.25">
      <c r="A108" s="1888"/>
      <c r="B108" s="1908"/>
      <c r="C108" s="1889"/>
      <c r="D108" s="1886"/>
      <c r="E108" s="1906">
        <f t="shared" si="2"/>
        <v>0</v>
      </c>
      <c r="F108" s="1906" t="str">
        <f t="shared" si="3"/>
        <v>0</v>
      </c>
    </row>
    <row r="109" spans="1:6" x14ac:dyDescent="0.25">
      <c r="A109" s="1888"/>
      <c r="B109" s="1908"/>
      <c r="C109" s="1889"/>
      <c r="D109" s="1886"/>
      <c r="E109" s="1906">
        <f t="shared" si="2"/>
        <v>0</v>
      </c>
      <c r="F109" s="1906" t="str">
        <f t="shared" si="3"/>
        <v>0</v>
      </c>
    </row>
    <row r="110" spans="1:6" x14ac:dyDescent="0.25">
      <c r="A110" s="1888"/>
      <c r="B110" s="1908"/>
      <c r="C110" s="1889"/>
      <c r="D110" s="1886"/>
      <c r="E110" s="1906">
        <f t="shared" si="2"/>
        <v>0</v>
      </c>
      <c r="F110" s="1906" t="str">
        <f t="shared" si="3"/>
        <v>0</v>
      </c>
    </row>
    <row r="111" spans="1:6" x14ac:dyDescent="0.25">
      <c r="A111" s="1888"/>
      <c r="B111" s="1908"/>
      <c r="C111" s="1889"/>
      <c r="D111" s="1886"/>
      <c r="E111" s="1906">
        <f t="shared" si="2"/>
        <v>0</v>
      </c>
      <c r="F111" s="1906" t="str">
        <f t="shared" si="3"/>
        <v>0</v>
      </c>
    </row>
    <row r="112" spans="1:6" x14ac:dyDescent="0.25">
      <c r="A112" s="1888"/>
      <c r="B112" s="1908"/>
      <c r="C112" s="1889"/>
      <c r="D112" s="1886"/>
      <c r="E112" s="1906">
        <f t="shared" si="2"/>
        <v>0</v>
      </c>
      <c r="F112" s="1906" t="str">
        <f t="shared" si="3"/>
        <v>0</v>
      </c>
    </row>
    <row r="113" spans="1:6" x14ac:dyDescent="0.25">
      <c r="A113" s="1888"/>
      <c r="B113" s="1908"/>
      <c r="C113" s="1889"/>
      <c r="D113" s="1886"/>
      <c r="E113" s="1906">
        <f t="shared" si="2"/>
        <v>0</v>
      </c>
      <c r="F113" s="1906" t="str">
        <f t="shared" si="3"/>
        <v>0</v>
      </c>
    </row>
    <row r="114" spans="1:6" x14ac:dyDescent="0.25">
      <c r="A114" s="1888"/>
      <c r="B114" s="1908"/>
      <c r="C114" s="1889"/>
      <c r="D114" s="1886"/>
      <c r="E114" s="1906">
        <f t="shared" si="2"/>
        <v>0</v>
      </c>
      <c r="F114" s="1906" t="str">
        <f t="shared" si="3"/>
        <v>0</v>
      </c>
    </row>
    <row r="115" spans="1:6" x14ac:dyDescent="0.25">
      <c r="A115" s="1888"/>
      <c r="B115" s="1908"/>
      <c r="C115" s="1889"/>
      <c r="D115" s="1886"/>
      <c r="E115" s="1906">
        <f t="shared" si="2"/>
        <v>0</v>
      </c>
      <c r="F115" s="1906" t="str">
        <f t="shared" si="3"/>
        <v>0</v>
      </c>
    </row>
    <row r="116" spans="1:6" x14ac:dyDescent="0.25">
      <c r="A116" s="1888"/>
      <c r="B116" s="1908"/>
      <c r="C116" s="1889"/>
      <c r="D116" s="1886"/>
      <c r="E116" s="1906">
        <f t="shared" si="2"/>
        <v>0</v>
      </c>
      <c r="F116" s="1906" t="str">
        <f t="shared" si="3"/>
        <v>0</v>
      </c>
    </row>
    <row r="117" spans="1:6" x14ac:dyDescent="0.25">
      <c r="A117" s="1888"/>
      <c r="B117" s="1908"/>
      <c r="C117" s="1889"/>
      <c r="D117" s="1886"/>
      <c r="E117" s="1906">
        <f t="shared" si="2"/>
        <v>0</v>
      </c>
      <c r="F117" s="1906" t="str">
        <f t="shared" si="3"/>
        <v>0</v>
      </c>
    </row>
    <row r="118" spans="1:6" x14ac:dyDescent="0.25">
      <c r="A118" s="1888"/>
      <c r="B118" s="1908"/>
      <c r="C118" s="1889"/>
      <c r="D118" s="1886"/>
      <c r="E118" s="1906">
        <f t="shared" si="2"/>
        <v>0</v>
      </c>
      <c r="F118" s="1906" t="str">
        <f t="shared" si="3"/>
        <v>0</v>
      </c>
    </row>
    <row r="119" spans="1:6" x14ac:dyDescent="0.25">
      <c r="A119" s="1888"/>
      <c r="B119" s="1908"/>
      <c r="C119" s="1889"/>
      <c r="D119" s="1886"/>
      <c r="E119" s="1906">
        <f t="shared" si="2"/>
        <v>0</v>
      </c>
      <c r="F119" s="1906" t="str">
        <f t="shared" si="3"/>
        <v>0</v>
      </c>
    </row>
    <row r="120" spans="1:6" x14ac:dyDescent="0.25">
      <c r="A120" s="1888"/>
      <c r="B120" s="1908"/>
      <c r="C120" s="1889"/>
      <c r="D120" s="1886"/>
      <c r="E120" s="1906">
        <f t="shared" si="2"/>
        <v>0</v>
      </c>
      <c r="F120" s="1906" t="str">
        <f t="shared" si="3"/>
        <v>0</v>
      </c>
    </row>
    <row r="121" spans="1:6" x14ac:dyDescent="0.25">
      <c r="A121" s="1888"/>
      <c r="B121" s="1908"/>
      <c r="C121" s="1889"/>
      <c r="D121" s="1886"/>
      <c r="E121" s="1906">
        <f t="shared" si="2"/>
        <v>0</v>
      </c>
      <c r="F121" s="1906" t="str">
        <f t="shared" si="3"/>
        <v>0</v>
      </c>
    </row>
    <row r="122" spans="1:6" x14ac:dyDescent="0.25">
      <c r="A122" s="1888"/>
      <c r="B122" s="1908"/>
      <c r="C122" s="1889"/>
      <c r="D122" s="1886"/>
      <c r="E122" s="1906">
        <f t="shared" si="2"/>
        <v>0</v>
      </c>
      <c r="F122" s="1906" t="str">
        <f t="shared" si="3"/>
        <v>0</v>
      </c>
    </row>
    <row r="123" spans="1:6" x14ac:dyDescent="0.25">
      <c r="A123" s="1888"/>
      <c r="B123" s="1908"/>
      <c r="C123" s="1889"/>
      <c r="D123" s="1886"/>
      <c r="E123" s="1906">
        <f t="shared" si="2"/>
        <v>0</v>
      </c>
      <c r="F123" s="1906" t="str">
        <f t="shared" si="3"/>
        <v>0</v>
      </c>
    </row>
    <row r="124" spans="1:6" x14ac:dyDescent="0.25">
      <c r="A124" s="1888"/>
      <c r="B124" s="1908"/>
      <c r="C124" s="1889"/>
      <c r="D124" s="1886"/>
      <c r="E124" s="1906">
        <f t="shared" si="2"/>
        <v>0</v>
      </c>
      <c r="F124" s="1906" t="str">
        <f t="shared" si="3"/>
        <v>0</v>
      </c>
    </row>
    <row r="125" spans="1:6" x14ac:dyDescent="0.25">
      <c r="A125" s="1888"/>
      <c r="B125" s="1908"/>
      <c r="C125" s="1889"/>
      <c r="D125" s="1886"/>
      <c r="E125" s="1906">
        <f t="shared" si="2"/>
        <v>0</v>
      </c>
      <c r="F125" s="1906" t="str">
        <f t="shared" si="3"/>
        <v>0</v>
      </c>
    </row>
    <row r="126" spans="1:6" x14ac:dyDescent="0.25">
      <c r="A126" s="1888"/>
      <c r="B126" s="1908"/>
      <c r="C126" s="1889"/>
      <c r="D126" s="1886"/>
      <c r="E126" s="1906">
        <f t="shared" si="2"/>
        <v>0</v>
      </c>
      <c r="F126" s="1906" t="str">
        <f t="shared" si="3"/>
        <v>0</v>
      </c>
    </row>
    <row r="127" spans="1:6" x14ac:dyDescent="0.25">
      <c r="A127" s="1888"/>
      <c r="B127" s="1908"/>
      <c r="C127" s="1889"/>
      <c r="D127" s="1886"/>
      <c r="E127" s="1906">
        <f t="shared" si="2"/>
        <v>0</v>
      </c>
      <c r="F127" s="1906" t="str">
        <f t="shared" si="3"/>
        <v>0</v>
      </c>
    </row>
    <row r="128" spans="1:6" x14ac:dyDescent="0.25">
      <c r="A128" s="1888"/>
      <c r="B128" s="1908"/>
      <c r="C128" s="1889"/>
      <c r="D128" s="1886"/>
      <c r="E128" s="1906">
        <f t="shared" si="2"/>
        <v>0</v>
      </c>
      <c r="F128" s="1906" t="str">
        <f t="shared" si="3"/>
        <v>0</v>
      </c>
    </row>
    <row r="129" spans="1:6" x14ac:dyDescent="0.25">
      <c r="A129" s="1888"/>
      <c r="B129" s="1908"/>
      <c r="C129" s="1889"/>
      <c r="D129" s="1886"/>
      <c r="E129" s="1906">
        <f t="shared" si="2"/>
        <v>0</v>
      </c>
      <c r="F129" s="1906" t="str">
        <f t="shared" si="3"/>
        <v>0</v>
      </c>
    </row>
    <row r="130" spans="1:6" x14ac:dyDescent="0.25">
      <c r="A130" s="1888"/>
      <c r="B130" s="1908"/>
      <c r="C130" s="1889"/>
      <c r="D130" s="1886"/>
      <c r="E130" s="1906">
        <f t="shared" si="2"/>
        <v>0</v>
      </c>
      <c r="F130" s="1906" t="str">
        <f t="shared" si="3"/>
        <v>0</v>
      </c>
    </row>
    <row r="131" spans="1:6" x14ac:dyDescent="0.25">
      <c r="A131" s="1888"/>
      <c r="B131" s="1908"/>
      <c r="C131" s="1889"/>
      <c r="D131" s="1886"/>
      <c r="E131" s="1906">
        <f t="shared" si="2"/>
        <v>0</v>
      </c>
      <c r="F131" s="1906" t="str">
        <f t="shared" si="3"/>
        <v>0</v>
      </c>
    </row>
    <row r="132" spans="1:6" x14ac:dyDescent="0.25">
      <c r="A132" s="1888"/>
      <c r="B132" s="1908"/>
      <c r="C132" s="1889"/>
      <c r="D132" s="1886"/>
      <c r="E132" s="1906">
        <f t="shared" si="2"/>
        <v>0</v>
      </c>
      <c r="F132" s="1906" t="str">
        <f t="shared" si="3"/>
        <v>0</v>
      </c>
    </row>
    <row r="133" spans="1:6" x14ac:dyDescent="0.25">
      <c r="A133" s="1888"/>
      <c r="B133" s="1908"/>
      <c r="C133" s="1889"/>
      <c r="D133" s="1886"/>
      <c r="E133" s="1906">
        <f t="shared" si="2"/>
        <v>0</v>
      </c>
      <c r="F133" s="1906" t="str">
        <f t="shared" si="3"/>
        <v>0</v>
      </c>
    </row>
    <row r="134" spans="1:6" x14ac:dyDescent="0.25">
      <c r="A134" s="1888"/>
      <c r="B134" s="1908"/>
      <c r="C134" s="1889"/>
      <c r="D134" s="1886"/>
      <c r="E134" s="1906">
        <f t="shared" si="2"/>
        <v>0</v>
      </c>
      <c r="F134" s="1906" t="str">
        <f t="shared" si="3"/>
        <v>0</v>
      </c>
    </row>
    <row r="135" spans="1:6" x14ac:dyDescent="0.25">
      <c r="A135" s="1888"/>
      <c r="B135" s="1908"/>
      <c r="C135" s="1889"/>
      <c r="D135" s="1886"/>
      <c r="E135" s="1906">
        <f t="shared" si="2"/>
        <v>0</v>
      </c>
      <c r="F135" s="1906" t="str">
        <f t="shared" si="3"/>
        <v>0</v>
      </c>
    </row>
    <row r="136" spans="1:6" x14ac:dyDescent="0.25">
      <c r="A136" s="1888"/>
      <c r="B136" s="1908"/>
      <c r="C136" s="1889"/>
      <c r="D136" s="1886"/>
      <c r="E136" s="1906">
        <f t="shared" si="2"/>
        <v>0</v>
      </c>
      <c r="F136" s="1906" t="str">
        <f t="shared" si="3"/>
        <v>0</v>
      </c>
    </row>
    <row r="137" spans="1:6" x14ac:dyDescent="0.25">
      <c r="A137" s="1888"/>
      <c r="B137" s="1908"/>
      <c r="C137" s="1889"/>
      <c r="D137" s="1886"/>
      <c r="E137" s="1906">
        <f t="shared" si="2"/>
        <v>0</v>
      </c>
      <c r="F137" s="1906" t="str">
        <f t="shared" si="3"/>
        <v>0</v>
      </c>
    </row>
    <row r="138" spans="1:6" x14ac:dyDescent="0.25">
      <c r="A138" s="1888"/>
      <c r="B138" s="1908"/>
      <c r="C138" s="1889"/>
      <c r="D138" s="1886"/>
      <c r="E138" s="1906">
        <f t="shared" si="2"/>
        <v>0</v>
      </c>
      <c r="F138" s="1906" t="str">
        <f t="shared" si="3"/>
        <v>0</v>
      </c>
    </row>
    <row r="139" spans="1:6" x14ac:dyDescent="0.25">
      <c r="A139" s="1888"/>
      <c r="B139" s="1908"/>
      <c r="C139" s="1889"/>
      <c r="D139" s="1886"/>
      <c r="E139" s="1906">
        <f t="shared" si="2"/>
        <v>0</v>
      </c>
      <c r="F139" s="1906" t="str">
        <f t="shared" si="3"/>
        <v>0</v>
      </c>
    </row>
    <row r="140" spans="1:6" x14ac:dyDescent="0.25">
      <c r="A140" s="1888"/>
      <c r="B140" s="1908"/>
      <c r="C140" s="1889"/>
      <c r="D140" s="1886"/>
      <c r="E140" s="1906">
        <f t="shared" si="2"/>
        <v>0</v>
      </c>
      <c r="F140" s="1906" t="str">
        <f t="shared" si="3"/>
        <v>0</v>
      </c>
    </row>
    <row r="141" spans="1:6" x14ac:dyDescent="0.25">
      <c r="A141" s="1888"/>
      <c r="B141" s="1909"/>
      <c r="C141" s="1889"/>
      <c r="D141" s="1886"/>
      <c r="E141" s="1906">
        <f t="shared" si="2"/>
        <v>0</v>
      </c>
      <c r="F141" s="1906" t="str">
        <f t="shared" si="3"/>
        <v>0</v>
      </c>
    </row>
    <row r="142" spans="1:6" x14ac:dyDescent="0.25">
      <c r="A142" s="1890" t="s">
        <v>155</v>
      </c>
      <c r="B142" s="1910"/>
      <c r="C142" s="1891"/>
      <c r="D142" s="1892">
        <f>SUM(D18:D141)</f>
        <v>8054788.3699999992</v>
      </c>
      <c r="E142" s="1893">
        <f>SUM(E18:E141)</f>
        <v>0</v>
      </c>
      <c r="F142" s="1894">
        <f>SUM(F18:F141)</f>
        <v>7304788.3700000001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5" t="s">
        <v>1660</v>
      </c>
      <c r="B5" s="2436"/>
      <c r="C5" s="2436"/>
      <c r="D5" s="2436"/>
      <c r="E5" s="2436"/>
      <c r="F5" s="2436"/>
      <c r="G5" s="243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c r="F10" s="805"/>
      <c r="G10" s="806"/>
      <c r="H10" s="157"/>
      <c r="I10" s="157"/>
    </row>
    <row r="11" spans="1:13" s="542"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801">
        <v>65759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54921225</v>
      </c>
      <c r="F19" s="1802"/>
      <c r="G19" s="1804">
        <f>'Expenditures 15-22'!K33-SUM('Expenditures 15-22'!G33,'Expenditures 15-22'!I33)+'Expenditures 15-22'!D229</f>
        <v>54921225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7391831</v>
      </c>
      <c r="F21" s="1805"/>
      <c r="G21" s="1808">
        <f>'Expenditures 15-22'!K42-SUM('Expenditures 15-22'!G42,'Expenditures 15-22'!I42)+'Expenditures 15-22'!K120-SUM('Expenditures 15-22'!G120,'Expenditures 15-22'!I120)+'Expenditures 15-22'!K180-SUM('Expenditures 15-22'!G180,'Expenditures 15-22'!I180)+'Expenditures 15-22'!D238</f>
        <v>7391831</v>
      </c>
      <c r="H21" s="817"/>
      <c r="I21" s="157"/>
    </row>
    <row r="22" spans="1:9" s="542" customFormat="1" ht="12" customHeight="1" x14ac:dyDescent="0.2">
      <c r="A22" s="824" t="s">
        <v>560</v>
      </c>
      <c r="B22" s="825"/>
      <c r="C22" s="823">
        <v>2200</v>
      </c>
      <c r="D22" s="1805"/>
      <c r="E22" s="1807">
        <f>'Expenditures 15-22'!K47-SUM('Expenditures 15-22'!G47,'Expenditures 15-22'!I47)+'Expenditures 15-22'!D243</f>
        <v>6194495</v>
      </c>
      <c r="F22" s="1805"/>
      <c r="G22" s="1808">
        <f>'Expenditures 15-22'!K47-SUM('Expenditures 15-22'!G47,'Expenditures 15-22'!I47)+'Expenditures 15-22'!D243</f>
        <v>6194495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1772277</v>
      </c>
      <c r="F23" s="1805"/>
      <c r="G23" s="1807">
        <f>'Expenditures 15-22'!K53-SUM('Expenditures 15-22'!G53,'Expenditures 15-22'!I53)+'Expenditures 15-22'!D257+'Expenditures 15-22'!K330-SUM('Expenditures 15-22'!G330,'Expenditures 15-22'!I330)</f>
        <v>1772277</v>
      </c>
      <c r="H23" s="817"/>
      <c r="I23" s="157"/>
    </row>
    <row r="24" spans="1:9" s="542" customFormat="1" ht="12" customHeight="1" x14ac:dyDescent="0.2">
      <c r="A24" s="824" t="s">
        <v>562</v>
      </c>
      <c r="B24" s="825"/>
      <c r="C24" s="823">
        <v>2400</v>
      </c>
      <c r="D24" s="1805"/>
      <c r="E24" s="1807">
        <f>'Expenditures 15-22'!K57-SUM('Expenditures 15-22'!G57,'Expenditures 15-22'!I57)+'Expenditures 15-22'!D261</f>
        <v>3299639</v>
      </c>
      <c r="F24" s="1805"/>
      <c r="G24" s="1808">
        <f>'Expenditures 15-22'!K57-SUM('Expenditures 15-22'!G57,'Expenditures 15-22'!I57)+'Expenditures 15-22'!D261</f>
        <v>3299639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214462</v>
      </c>
      <c r="E26" s="1807">
        <f>'Expenditures 15-22'!K122-SUM('Expenditures 15-22'!G122,'Expenditures 15-22'!I122)+E7</f>
        <v>0</v>
      </c>
      <c r="F26" s="1807">
        <f>'Expenditures 15-22'!K59-SUM('Expenditures 15-22'!G59,'Expenditures 15-22'!I59)+'Expenditures 15-22'!D263-E7</f>
        <v>214462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746859</v>
      </c>
      <c r="E27" s="1807">
        <f>E8</f>
        <v>0</v>
      </c>
      <c r="F27" s="1807">
        <f>'Expenditures 15-22'!K60-SUM('Expenditures 15-22'!G60,'Expenditures 15-22'!I60)+'Expenditures 15-22'!D264-E8</f>
        <v>746859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7027044</v>
      </c>
      <c r="F28" s="1809">
        <f>'Expenditures 15-22'!K61-SUM('Expenditures 15-22'!G61,'Expenditures 15-22'!I61)+'Expenditures 15-22'!K124-SUM('Expenditures 15-22'!G124,'Expenditures 15-22'!I124)+'Expenditures 15-22'!D266-E9</f>
        <v>7027044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3653655</v>
      </c>
      <c r="F29" s="1805"/>
      <c r="G29" s="1808">
        <f>'Expenditures 15-22'!K62-SUM('Expenditures 15-22'!G62,'Expenditures 15-22'!I62)+'Expenditures 15-22'!K125-SUM('Expenditures 15-22'!G125,'Expenditures 15-22'!I125)+'Expenditures 15-22'!K182-SUM('Expenditures 15-22'!G182,'Expenditures 15-22'!I182)+'Expenditures 15-22'!D267</f>
        <v>3653655</v>
      </c>
      <c r="H29" s="815"/>
    </row>
    <row r="30" spans="1:9" ht="12" customHeight="1" x14ac:dyDescent="0.2">
      <c r="A30" s="824" t="s">
        <v>100</v>
      </c>
      <c r="B30" s="827"/>
      <c r="C30" s="823">
        <v>2560</v>
      </c>
      <c r="D30" s="1805"/>
      <c r="E30" s="1807">
        <f>'Expenditures 15-22'!K63-SUM('Expenditures 15-22'!G63,'Expenditures 15-22'!I63)+'Expenditures 15-22'!D268-E10</f>
        <v>1621882</v>
      </c>
      <c r="F30" s="1805"/>
      <c r="G30" s="1807">
        <f>'Expenditures 15-22'!K63-SUM('Expenditures 15-22'!G63,'Expenditures 15-22'!I63)+'Expenditures 15-22'!D268-E10</f>
        <v>1621882</v>
      </c>
    </row>
    <row r="31" spans="1:9" ht="12" customHeight="1" x14ac:dyDescent="0.2">
      <c r="A31" s="824" t="s">
        <v>101</v>
      </c>
      <c r="B31" s="827"/>
      <c r="C31" s="823">
        <v>2570</v>
      </c>
      <c r="D31" s="1807">
        <f>'Expenditures 15-22'!K64-SUM('Expenditures 15-22'!G64,'Expenditures 15-22'!I64)+'Expenditures 15-22'!D269-E12</f>
        <v>73196</v>
      </c>
      <c r="E31" s="1807">
        <f>E12</f>
        <v>0</v>
      </c>
      <c r="F31" s="1807">
        <f>'Expenditures 15-22'!K64-SUM('Expenditures 15-22'!G64,'Expenditures 15-22'!I64)+'Expenditures 15-22'!D269-E12</f>
        <v>73196</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234933</v>
      </c>
      <c r="F35" s="1805"/>
      <c r="G35" s="1807">
        <f>'Expenditures 15-22'!K69-SUM('Expenditures 15-22'!G69,'Expenditures 15-22'!I69)+'Expenditures 15-22'!D274</f>
        <v>234933</v>
      </c>
    </row>
    <row r="36" spans="1:7" ht="12" customHeight="1" x14ac:dyDescent="0.2">
      <c r="A36" s="824" t="s">
        <v>400</v>
      </c>
      <c r="B36" s="827"/>
      <c r="C36" s="823">
        <v>2640</v>
      </c>
      <c r="D36" s="1807">
        <f>'Expenditures 15-22'!K70-SUM('Expenditures 15-22'!G70,'Expenditures 15-22'!I70)+'Expenditures 15-22'!D275-E13</f>
        <v>583616</v>
      </c>
      <c r="E36" s="1807">
        <f>E13</f>
        <v>0</v>
      </c>
      <c r="F36" s="1807">
        <f>'Expenditures 15-22'!K70-SUM('Expenditures 15-22'!G70,'Expenditures 15-22'!I70)+'Expenditures 15-22'!D275-E13</f>
        <v>583616</v>
      </c>
      <c r="G36" s="1807">
        <f>E13</f>
        <v>0</v>
      </c>
    </row>
    <row r="37" spans="1:7" ht="12" customHeight="1" x14ac:dyDescent="0.2">
      <c r="A37" s="824" t="s">
        <v>401</v>
      </c>
      <c r="B37" s="827"/>
      <c r="C37" s="823">
        <v>2660</v>
      </c>
      <c r="D37" s="1807">
        <f>'Expenditures 15-22'!K71-SUM('Expenditures 15-22'!G71,'Expenditures 15-22'!I71)+'Expenditures 15-22'!D276-E14</f>
        <v>2174745</v>
      </c>
      <c r="E37" s="1807">
        <f>E14</f>
        <v>0</v>
      </c>
      <c r="F37" s="1807">
        <f>'Expenditures 15-22'!K71-SUM('Expenditures 15-22'!G71,'Expenditures 15-22'!I71)+'Expenditures 15-22'!D276-E14</f>
        <v>2174745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805"/>
      <c r="E40" s="1809">
        <f>-'Contracts Paid in CY 29'!F142</f>
        <v>-7304788.3700000001</v>
      </c>
      <c r="F40" s="1805"/>
      <c r="G40" s="1809">
        <f>-'Contracts Paid in CY 29'!F142</f>
        <v>-7304788.3700000001</v>
      </c>
    </row>
    <row r="41" spans="1:7" ht="12" customHeight="1" x14ac:dyDescent="0.2">
      <c r="A41" s="828" t="s">
        <v>155</v>
      </c>
      <c r="B41" s="829"/>
      <c r="C41" s="830"/>
      <c r="D41" s="1809">
        <f>SUM(D19:D39)</f>
        <v>3792878</v>
      </c>
      <c r="E41" s="1809">
        <f>SUM(E19:E40)</f>
        <v>78812192.629999995</v>
      </c>
      <c r="F41" s="1809">
        <f>SUM(F19:F39)</f>
        <v>10819922</v>
      </c>
      <c r="G41" s="1809">
        <f>SUM(G19:G40)</f>
        <v>71785148.629999995</v>
      </c>
    </row>
    <row r="42" spans="1:7" x14ac:dyDescent="0.2">
      <c r="A42" s="817"/>
      <c r="B42" s="157"/>
      <c r="C42" s="831"/>
      <c r="D42" s="2438" t="s">
        <v>519</v>
      </c>
      <c r="E42" s="2439"/>
      <c r="F42" s="832" t="s">
        <v>520</v>
      </c>
      <c r="G42" s="833"/>
    </row>
    <row r="43" spans="1:7" ht="12" customHeight="1" x14ac:dyDescent="0.2">
      <c r="A43" s="817"/>
      <c r="B43" s="157"/>
      <c r="C43" s="831"/>
      <c r="D43" s="1458" t="s">
        <v>470</v>
      </c>
      <c r="E43" s="1810">
        <f>D41</f>
        <v>3792878</v>
      </c>
      <c r="F43" s="1458" t="s">
        <v>470</v>
      </c>
      <c r="G43" s="1810">
        <f>F41</f>
        <v>10819922</v>
      </c>
    </row>
    <row r="44" spans="1:7" ht="12" customHeight="1" x14ac:dyDescent="0.2">
      <c r="A44" s="817"/>
      <c r="B44" s="157"/>
      <c r="C44" s="831"/>
      <c r="D44" s="1458" t="s">
        <v>471</v>
      </c>
      <c r="E44" s="1810">
        <f>E41</f>
        <v>78812192.629999995</v>
      </c>
      <c r="F44" s="1458" t="s">
        <v>471</v>
      </c>
      <c r="G44" s="1810">
        <f>G41</f>
        <v>71785148.629999995</v>
      </c>
    </row>
    <row r="45" spans="1:7" ht="12" customHeight="1" x14ac:dyDescent="0.2">
      <c r="A45" s="817"/>
      <c r="B45" s="157"/>
      <c r="C45" s="157"/>
      <c r="D45" s="1459" t="s">
        <v>999</v>
      </c>
      <c r="E45" s="1811">
        <f>(E43/E44)</f>
        <v>4.8125523138360632E-2</v>
      </c>
      <c r="F45" s="1459" t="s">
        <v>999</v>
      </c>
      <c r="G45" s="1811">
        <f>(G43/G44)</f>
        <v>0.1507264692836229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5" zoomScale="110" zoomScaleNormal="110" workbookViewId="0">
      <selection activeCell="F23" sqref="F2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57" t="s">
        <v>1363</v>
      </c>
      <c r="B1" s="2457"/>
      <c r="C1" s="2457"/>
      <c r="D1" s="2457"/>
      <c r="E1" s="2457"/>
      <c r="F1" s="2457"/>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8" t="s">
        <v>1529</v>
      </c>
      <c r="B5" s="2459"/>
      <c r="C5" s="2460"/>
      <c r="D5" s="2460"/>
      <c r="E5" s="2460"/>
      <c r="F5" s="2460"/>
      <c r="G5" s="1507"/>
      <c r="L5" s="1507"/>
      <c r="M5" s="1855"/>
      <c r="N5" s="1855"/>
      <c r="O5" s="1855"/>
    </row>
    <row r="6" spans="1:15" ht="12" customHeight="1" x14ac:dyDescent="0.25">
      <c r="A6" s="1480"/>
      <c r="B6" s="1481"/>
      <c r="C6" s="2461" t="str">
        <f>COVER!A17</f>
        <v xml:space="preserve"> CHSD 155</v>
      </c>
      <c r="D6" s="2461"/>
      <c r="E6" s="2461"/>
      <c r="F6" s="1482"/>
      <c r="G6" s="1507"/>
      <c r="L6" s="1507"/>
      <c r="M6" s="1855"/>
      <c r="N6" s="1855"/>
      <c r="O6" s="1855"/>
    </row>
    <row r="7" spans="1:15" ht="11.25" customHeight="1" thickBot="1" x14ac:dyDescent="0.3">
      <c r="A7" s="1480"/>
      <c r="B7" s="1481"/>
      <c r="C7" s="2462">
        <f>COVER!A13</f>
        <v>44063155016</v>
      </c>
      <c r="D7" s="2462"/>
      <c r="E7" s="2462"/>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2066</v>
      </c>
      <c r="D30" s="1495" t="s">
        <v>2066</v>
      </c>
      <c r="E30" s="1498" t="s">
        <v>2066</v>
      </c>
      <c r="F30" s="1497" t="s">
        <v>2067</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63"/>
      <c r="D35" s="2463"/>
      <c r="E35" s="2463"/>
      <c r="F35" s="2464"/>
    </row>
    <row r="36" spans="1:15" ht="12" customHeight="1" x14ac:dyDescent="0.2">
      <c r="A36" s="2446"/>
      <c r="B36" s="2447"/>
      <c r="C36" s="2447"/>
      <c r="D36" s="2447"/>
      <c r="E36" s="2447"/>
      <c r="F36" s="2448"/>
    </row>
    <row r="37" spans="1:15" ht="12" customHeight="1" x14ac:dyDescent="0.2">
      <c r="A37" s="2446"/>
      <c r="B37" s="2447"/>
      <c r="C37" s="2447"/>
      <c r="D37" s="2447"/>
      <c r="E37" s="2447"/>
      <c r="F37" s="2448"/>
    </row>
    <row r="38" spans="1:15" ht="12" customHeight="1" x14ac:dyDescent="0.2">
      <c r="A38" s="2449"/>
      <c r="B38" s="2450"/>
      <c r="C38" s="2450"/>
      <c r="D38" s="2450"/>
      <c r="E38" s="2450"/>
      <c r="F38" s="2451"/>
    </row>
    <row r="39" spans="1:15" ht="4.5" hidden="1" customHeight="1" x14ac:dyDescent="0.2">
      <c r="A39" s="1502"/>
      <c r="B39" s="1502"/>
      <c r="C39" s="1502"/>
      <c r="D39" s="1502"/>
      <c r="E39" s="1502"/>
      <c r="F39" s="1502"/>
    </row>
    <row r="40" spans="1:15" s="1499" customFormat="1" ht="12" customHeight="1" x14ac:dyDescent="0.25">
      <c r="A40" s="1503" t="s">
        <v>1375</v>
      </c>
      <c r="B40" s="1504"/>
      <c r="C40" s="2452"/>
      <c r="D40" s="2452"/>
      <c r="E40" s="2452"/>
      <c r="F40" s="2453"/>
      <c r="H40" s="1508"/>
      <c r="I40" s="1508"/>
      <c r="J40" s="1508"/>
      <c r="K40" s="1508"/>
    </row>
    <row r="41" spans="1:15" s="1499" customFormat="1" ht="12" customHeight="1" x14ac:dyDescent="0.25">
      <c r="A41" s="2454"/>
      <c r="B41" s="2455"/>
      <c r="C41" s="2455"/>
      <c r="D41" s="2455"/>
      <c r="E41" s="2455"/>
      <c r="F41" s="2456"/>
      <c r="H41" s="1508"/>
      <c r="I41" s="1508"/>
      <c r="J41" s="1508"/>
      <c r="K41" s="1508"/>
    </row>
    <row r="42" spans="1:15" s="1499" customFormat="1" ht="12" customHeight="1" x14ac:dyDescent="0.25">
      <c r="A42" s="2454"/>
      <c r="B42" s="2455"/>
      <c r="C42" s="2455"/>
      <c r="D42" s="2455"/>
      <c r="E42" s="2455"/>
      <c r="F42" s="2456"/>
      <c r="H42" s="1508"/>
      <c r="I42" s="1508"/>
      <c r="J42" s="1508"/>
      <c r="K42" s="1508"/>
    </row>
    <row r="43" spans="1:15" s="1499" customFormat="1" ht="15" x14ac:dyDescent="0.25">
      <c r="A43" s="2443"/>
      <c r="B43" s="2444"/>
      <c r="C43" s="2444"/>
      <c r="D43" s="2444"/>
      <c r="E43" s="2444"/>
      <c r="F43" s="2445"/>
      <c r="H43" s="1508"/>
      <c r="I43" s="1508"/>
      <c r="J43" s="1508"/>
      <c r="K43" s="1508"/>
    </row>
    <row r="44" spans="1:15" s="1499" customFormat="1" ht="12" hidden="1" customHeight="1" x14ac:dyDescent="0.25">
      <c r="A44" s="2443"/>
      <c r="B44" s="2444"/>
      <c r="C44" s="2444"/>
      <c r="D44" s="2444"/>
      <c r="E44" s="2444"/>
      <c r="F44" s="244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I21" sqref="I21"/>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83" t="str">
        <f>COVER!A17</f>
        <v xml:space="preserve"> CHSD 155</v>
      </c>
      <c r="K6" s="2483"/>
      <c r="L6" s="2497"/>
      <c r="M6" s="838"/>
      <c r="N6" s="1997"/>
    </row>
    <row r="7" spans="1:14" x14ac:dyDescent="0.2">
      <c r="A7" s="2498" t="s">
        <v>864</v>
      </c>
      <c r="B7" s="2499"/>
      <c r="C7" s="2499"/>
      <c r="D7" s="2499"/>
      <c r="E7" s="2500"/>
      <c r="F7" s="839"/>
      <c r="G7" s="838"/>
      <c r="H7" s="838"/>
      <c r="I7" s="1923" t="s">
        <v>369</v>
      </c>
      <c r="J7" s="2485">
        <f>COVER!A13</f>
        <v>44063155016</v>
      </c>
      <c r="K7" s="2485"/>
      <c r="L7" s="2485"/>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7"/>
      <c r="G9" s="1857"/>
      <c r="H9" s="1857"/>
      <c r="I9" s="1928" t="s">
        <v>2017</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501" t="s">
        <v>478</v>
      </c>
      <c r="B11" s="2502"/>
      <c r="C11" s="2503"/>
      <c r="D11" s="1936" t="s">
        <v>866</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813</v>
      </c>
      <c r="C12" s="842"/>
      <c r="D12" s="1940">
        <v>2320</v>
      </c>
      <c r="E12" s="1943">
        <f>'Expenditures 15-22'!K50</f>
        <v>514777</v>
      </c>
      <c r="F12" s="1941"/>
      <c r="G12" s="1967">
        <f>G68</f>
        <v>0</v>
      </c>
      <c r="H12" s="1943">
        <f t="shared" ref="H12:H18" si="0">SUM(E12:G12)</f>
        <v>514777</v>
      </c>
      <c r="I12" s="1942">
        <v>542935</v>
      </c>
      <c r="J12" s="1941"/>
      <c r="K12" s="1942"/>
      <c r="L12" s="1943">
        <f t="shared" ref="L12:L18" si="1">SUM(I12:K12)</f>
        <v>542935</v>
      </c>
      <c r="M12" s="838"/>
      <c r="N12" s="1997"/>
    </row>
    <row r="13" spans="1:14" x14ac:dyDescent="0.2">
      <c r="A13" s="2002">
        <v>2</v>
      </c>
      <c r="B13" s="1939" t="s">
        <v>42</v>
      </c>
      <c r="C13" s="842"/>
      <c r="D13" s="1940">
        <v>2330</v>
      </c>
      <c r="E13" s="1943">
        <f>'Expenditures 15-22'!K51</f>
        <v>0</v>
      </c>
      <c r="F13" s="1941"/>
      <c r="G13" s="1967">
        <f>H68</f>
        <v>0</v>
      </c>
      <c r="H13" s="1943">
        <f t="shared" si="0"/>
        <v>0</v>
      </c>
      <c r="I13" s="1942">
        <v>0</v>
      </c>
      <c r="J13" s="1941"/>
      <c r="K13" s="1942"/>
      <c r="L13" s="1943">
        <f t="shared" si="1"/>
        <v>0</v>
      </c>
      <c r="M13" s="838"/>
      <c r="N13" s="1997"/>
    </row>
    <row r="14" spans="1:14" x14ac:dyDescent="0.2">
      <c r="A14" s="2002">
        <v>3</v>
      </c>
      <c r="B14" s="1939" t="s">
        <v>43</v>
      </c>
      <c r="C14" s="842"/>
      <c r="D14" s="1944">
        <v>2490</v>
      </c>
      <c r="E14" s="1943">
        <f>'Expenditures 15-22'!K56</f>
        <v>948293</v>
      </c>
      <c r="F14" s="1941"/>
      <c r="G14" s="1967">
        <f>I68</f>
        <v>0</v>
      </c>
      <c r="H14" s="1943">
        <f t="shared" si="0"/>
        <v>948293</v>
      </c>
      <c r="I14" s="1942">
        <v>968938</v>
      </c>
      <c r="J14" s="1941"/>
      <c r="K14" s="1942"/>
      <c r="L14" s="1943">
        <f t="shared" si="1"/>
        <v>968938</v>
      </c>
      <c r="M14" s="838"/>
      <c r="N14" s="1997"/>
    </row>
    <row r="15" spans="1:14" x14ac:dyDescent="0.2">
      <c r="A15" s="2002">
        <v>4</v>
      </c>
      <c r="B15" s="1939" t="s">
        <v>1059</v>
      </c>
      <c r="C15" s="842"/>
      <c r="D15" s="1940">
        <v>2510</v>
      </c>
      <c r="E15" s="1943">
        <f>'Expenditures 15-22'!K59</f>
        <v>212242</v>
      </c>
      <c r="F15" s="1943">
        <f>'Expenditures 15-22'!K122</f>
        <v>0</v>
      </c>
      <c r="G15" s="1967">
        <f>J68</f>
        <v>0</v>
      </c>
      <c r="H15" s="1943">
        <f t="shared" si="0"/>
        <v>212242</v>
      </c>
      <c r="I15" s="1942">
        <v>218551</v>
      </c>
      <c r="J15" s="1942"/>
      <c r="K15" s="1942"/>
      <c r="L15" s="1943">
        <f t="shared" si="1"/>
        <v>218551</v>
      </c>
      <c r="M15" s="838"/>
      <c r="N15" s="1997"/>
    </row>
    <row r="16" spans="1:14" x14ac:dyDescent="0.2">
      <c r="A16" s="2002">
        <v>5</v>
      </c>
      <c r="B16" s="1939" t="s">
        <v>101</v>
      </c>
      <c r="C16" s="842"/>
      <c r="D16" s="1940">
        <v>2570</v>
      </c>
      <c r="E16" s="1943">
        <f>'Expenditures 15-22'!K64</f>
        <v>66003</v>
      </c>
      <c r="F16" s="1941"/>
      <c r="G16" s="1967">
        <f>K68</f>
        <v>0</v>
      </c>
      <c r="H16" s="1943">
        <f t="shared" si="0"/>
        <v>66003</v>
      </c>
      <c r="I16" s="1942">
        <v>56829</v>
      </c>
      <c r="J16" s="1941"/>
      <c r="K16" s="1942"/>
      <c r="L16" s="1943">
        <f t="shared" si="1"/>
        <v>56829</v>
      </c>
      <c r="M16" s="838"/>
      <c r="N16" s="1997"/>
    </row>
    <row r="17" spans="1:14" x14ac:dyDescent="0.2">
      <c r="A17" s="2002">
        <v>6</v>
      </c>
      <c r="B17" s="1939" t="s">
        <v>1051</v>
      </c>
      <c r="C17" s="842"/>
      <c r="D17" s="1940">
        <v>2610</v>
      </c>
      <c r="E17" s="1943">
        <f>'Expenditures 15-22'!K67</f>
        <v>0</v>
      </c>
      <c r="F17" s="1941"/>
      <c r="G17" s="1967">
        <f>L68</f>
        <v>0</v>
      </c>
      <c r="H17" s="1943">
        <f t="shared" si="0"/>
        <v>0</v>
      </c>
      <c r="I17" s="1942">
        <v>0</v>
      </c>
      <c r="J17" s="1941"/>
      <c r="K17" s="1942"/>
      <c r="L17" s="1943">
        <f t="shared" si="1"/>
        <v>0</v>
      </c>
      <c r="M17" s="838"/>
      <c r="N17" s="1997"/>
    </row>
    <row r="18" spans="1:14" ht="26.25" customHeight="1" x14ac:dyDescent="0.2">
      <c r="A18" s="2003">
        <v>7</v>
      </c>
      <c r="B18" s="2504" t="s">
        <v>7</v>
      </c>
      <c r="C18" s="2505"/>
      <c r="D18" s="2506"/>
      <c r="E18" s="1945"/>
      <c r="F18" s="1945"/>
      <c r="G18" s="1942"/>
      <c r="H18" s="1946">
        <f t="shared" si="0"/>
        <v>0</v>
      </c>
      <c r="I18" s="1942">
        <v>0</v>
      </c>
      <c r="J18" s="1942"/>
      <c r="K18" s="1942"/>
      <c r="L18" s="1943">
        <f t="shared" si="1"/>
        <v>0</v>
      </c>
      <c r="M18" s="838"/>
      <c r="N18" s="1997"/>
    </row>
    <row r="19" spans="1:14" ht="13.5" thickBot="1" x14ac:dyDescent="0.25">
      <c r="A19" s="2002">
        <v>8</v>
      </c>
      <c r="B19" s="1947" t="s">
        <v>1151</v>
      </c>
      <c r="C19" s="838"/>
      <c r="D19" s="1948"/>
      <c r="E19" s="1949">
        <f t="shared" ref="E19:L19" si="2">SUM(E12:E17)-E18</f>
        <v>1741315</v>
      </c>
      <c r="F19" s="1949">
        <f t="shared" si="2"/>
        <v>0</v>
      </c>
      <c r="G19" s="1949">
        <f t="shared" ref="G19" si="3">SUM(G12:G17)-G18</f>
        <v>0</v>
      </c>
      <c r="H19" s="1949">
        <f t="shared" si="2"/>
        <v>1741315</v>
      </c>
      <c r="I19" s="1949">
        <f t="shared" si="2"/>
        <v>1787253</v>
      </c>
      <c r="J19" s="1949">
        <f t="shared" si="2"/>
        <v>0</v>
      </c>
      <c r="K19" s="1949">
        <f t="shared" si="2"/>
        <v>0</v>
      </c>
      <c r="L19" s="1949">
        <f t="shared" si="2"/>
        <v>1787253</v>
      </c>
      <c r="M19" s="838"/>
      <c r="N19" s="1997"/>
    </row>
    <row r="20" spans="1:14" ht="13.5" thickTop="1" x14ac:dyDescent="0.2">
      <c r="A20" s="2002">
        <v>9</v>
      </c>
      <c r="B20" s="2507" t="s">
        <v>2019</v>
      </c>
      <c r="C20" s="2507"/>
      <c r="D20" s="2508"/>
      <c r="E20" s="1950"/>
      <c r="F20" s="1950"/>
      <c r="G20" s="1950"/>
      <c r="H20" s="1950"/>
      <c r="I20" s="1950"/>
      <c r="J20" s="1950"/>
      <c r="K20" s="1950"/>
      <c r="L20" s="1951">
        <f>IF(AND(H19&gt;0,L19&gt;0),(((L19-H19)/H19)),"Enter Budget Data")</f>
        <v>2.6381211900201859E-2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09"/>
      <c r="D27" s="2509"/>
      <c r="E27" s="843"/>
      <c r="F27" s="2510"/>
      <c r="G27" s="2510"/>
      <c r="H27" s="2510"/>
      <c r="I27" s="838"/>
      <c r="J27" s="838"/>
      <c r="K27" s="838"/>
      <c r="L27" s="838"/>
      <c r="M27" s="838"/>
      <c r="N27" s="1997"/>
    </row>
    <row r="28" spans="1:14" x14ac:dyDescent="0.2">
      <c r="A28" s="1996"/>
      <c r="B28" s="2006"/>
      <c r="C28" s="1956" t="s">
        <v>1026</v>
      </c>
      <c r="D28" s="844"/>
      <c r="E28" s="1957"/>
      <c r="F28" s="2511" t="s">
        <v>1492</v>
      </c>
      <c r="G28" s="2511"/>
      <c r="H28" s="2511"/>
      <c r="I28" s="838"/>
      <c r="J28" s="838"/>
      <c r="K28" s="838"/>
      <c r="L28" s="838"/>
      <c r="M28" s="838"/>
      <c r="N28" s="1997"/>
    </row>
    <row r="29" spans="1:14" x14ac:dyDescent="0.2">
      <c r="A29" s="1996"/>
      <c r="B29" s="2006"/>
      <c r="C29" s="2512"/>
      <c r="D29" s="2512"/>
      <c r="E29" s="845"/>
      <c r="F29" s="2512"/>
      <c r="G29" s="2512"/>
      <c r="H29" s="2512"/>
      <c r="I29" s="838"/>
      <c r="J29" s="838"/>
      <c r="K29" s="838"/>
      <c r="L29" s="838"/>
      <c r="M29" s="838"/>
      <c r="N29" s="1997"/>
    </row>
    <row r="30" spans="1:14" x14ac:dyDescent="0.2">
      <c r="A30" s="1996"/>
      <c r="B30" s="2006"/>
      <c r="C30" s="1959" t="s">
        <v>1544</v>
      </c>
      <c r="D30" s="838"/>
      <c r="E30" s="1958"/>
      <c r="F30" s="2496" t="s">
        <v>1493</v>
      </c>
      <c r="G30" s="2496"/>
      <c r="H30" s="2496"/>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73" t="s">
        <v>2022</v>
      </c>
      <c r="D34" s="2474"/>
      <c r="E34" s="2474"/>
      <c r="F34" s="2474"/>
      <c r="G34" s="2474"/>
      <c r="H34" s="2474"/>
      <c r="I34" s="2474"/>
      <c r="J34" s="2474"/>
      <c r="K34" s="2015"/>
      <c r="L34" s="838"/>
      <c r="M34" s="838"/>
      <c r="N34" s="1997"/>
    </row>
    <row r="35" spans="1:14" x14ac:dyDescent="0.2">
      <c r="A35" s="1996"/>
      <c r="B35" s="838"/>
      <c r="C35" s="2474"/>
      <c r="D35" s="2474"/>
      <c r="E35" s="2474"/>
      <c r="F35" s="2474"/>
      <c r="G35" s="2474"/>
      <c r="H35" s="2474"/>
      <c r="I35" s="2474"/>
      <c r="J35" s="2474"/>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73" t="s">
        <v>2023</v>
      </c>
      <c r="D37" s="2474"/>
      <c r="E37" s="2474"/>
      <c r="F37" s="2474"/>
      <c r="G37" s="2474"/>
      <c r="H37" s="2474"/>
      <c r="I37" s="2474"/>
      <c r="J37" s="2474"/>
      <c r="K37" s="2015"/>
      <c r="L37" s="2017"/>
      <c r="M37" s="838"/>
      <c r="N37" s="1997"/>
    </row>
    <row r="38" spans="1:14" x14ac:dyDescent="0.2">
      <c r="A38" s="1996"/>
      <c r="B38" s="838"/>
      <c r="C38" s="2474"/>
      <c r="D38" s="2474"/>
      <c r="E38" s="2474"/>
      <c r="F38" s="2474"/>
      <c r="G38" s="2474"/>
      <c r="H38" s="2474"/>
      <c r="I38" s="2474"/>
      <c r="J38" s="2474"/>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75" t="s">
        <v>2024</v>
      </c>
      <c r="D40" s="2476"/>
      <c r="E40" s="2476"/>
      <c r="F40" s="2476"/>
      <c r="G40" s="2476"/>
      <c r="H40" s="2476"/>
      <c r="I40" s="2476"/>
      <c r="J40" s="2476"/>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77" t="s">
        <v>2025</v>
      </c>
      <c r="B43" s="2478"/>
      <c r="C43" s="2478"/>
      <c r="D43" s="2478"/>
      <c r="E43" s="2478"/>
      <c r="F43" s="2478"/>
      <c r="G43" s="2478"/>
      <c r="H43" s="2478"/>
      <c r="I43" s="2478"/>
      <c r="J43" s="2478"/>
      <c r="K43" s="2478"/>
      <c r="L43" s="2478"/>
      <c r="M43" s="2478"/>
      <c r="N43" s="2479"/>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80" t="s">
        <v>2027</v>
      </c>
      <c r="B46" s="2481"/>
      <c r="C46" s="2481"/>
      <c r="D46" s="2481"/>
      <c r="E46" s="2481"/>
      <c r="F46" s="2481"/>
      <c r="G46" s="2481"/>
      <c r="H46" s="2481"/>
      <c r="I46" s="2481"/>
      <c r="J46" s="2481"/>
      <c r="K46" s="2481"/>
      <c r="L46" s="2481"/>
      <c r="M46" s="2481"/>
      <c r="N46" s="2482"/>
    </row>
    <row r="47" spans="1:14" x14ac:dyDescent="0.2">
      <c r="A47" s="2480"/>
      <c r="B47" s="2481"/>
      <c r="C47" s="2481"/>
      <c r="D47" s="2481"/>
      <c r="E47" s="2481"/>
      <c r="F47" s="2481"/>
      <c r="G47" s="2481"/>
      <c r="H47" s="2481"/>
      <c r="I47" s="2481"/>
      <c r="J47" s="2481"/>
      <c r="K47" s="2481"/>
      <c r="L47" s="2481"/>
      <c r="M47" s="2481"/>
      <c r="N47" s="2482"/>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83" t="str">
        <f>J6</f>
        <v xml:space="preserve"> CHSD 155</v>
      </c>
      <c r="M52" s="2483"/>
      <c r="N52" s="2484"/>
    </row>
    <row r="53" spans="1:14" x14ac:dyDescent="0.2">
      <c r="A53" s="1981"/>
      <c r="B53" s="1982"/>
      <c r="C53" s="1982"/>
      <c r="D53" s="1982"/>
      <c r="E53" s="1982"/>
      <c r="F53" s="1982"/>
      <c r="G53" s="1982"/>
      <c r="H53" s="1982"/>
      <c r="I53" s="1982"/>
      <c r="J53" s="1982"/>
      <c r="K53" s="1923" t="s">
        <v>369</v>
      </c>
      <c r="L53" s="2485">
        <f>J7</f>
        <v>44063155016</v>
      </c>
      <c r="M53" s="2485"/>
      <c r="N53" s="2486"/>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87"/>
      <c r="B55" s="2488"/>
      <c r="C55" s="2488"/>
      <c r="D55" s="1969"/>
      <c r="E55" s="1969"/>
      <c r="F55" s="1969"/>
      <c r="G55" s="2489" t="s">
        <v>2028</v>
      </c>
      <c r="H55" s="2489"/>
      <c r="I55" s="2489"/>
      <c r="J55" s="2489"/>
      <c r="K55" s="2489"/>
      <c r="L55" s="2489"/>
      <c r="M55" s="2489"/>
      <c r="N55" s="2490"/>
    </row>
    <row r="56" spans="1:14" ht="63.75" x14ac:dyDescent="0.2">
      <c r="A56" s="2491" t="s">
        <v>2029</v>
      </c>
      <c r="B56" s="2492"/>
      <c r="C56" s="2493"/>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94" t="s">
        <v>296</v>
      </c>
      <c r="B57" s="2495"/>
      <c r="C57" s="2495"/>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71" t="s">
        <v>2039</v>
      </c>
      <c r="B58" s="2472"/>
      <c r="C58" s="2472"/>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65" t="s">
        <v>297</v>
      </c>
      <c r="B59" s="2466"/>
      <c r="C59" s="2466"/>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5" t="s">
        <v>236</v>
      </c>
      <c r="B60" s="2466"/>
      <c r="C60" s="2466"/>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5" t="s">
        <v>697</v>
      </c>
      <c r="B61" s="2466"/>
      <c r="C61" s="2466"/>
      <c r="D61" s="1966">
        <v>2365</v>
      </c>
      <c r="E61" s="1976">
        <f>'Expenditures 15-22'!K323</f>
        <v>0</v>
      </c>
      <c r="F61" s="1971"/>
      <c r="G61" s="2030"/>
      <c r="H61" s="2031"/>
      <c r="I61" s="2031"/>
      <c r="J61" s="2031"/>
      <c r="K61" s="2031"/>
      <c r="L61" s="2031"/>
      <c r="M61" s="2031"/>
      <c r="N61" s="1974">
        <f t="shared" si="4"/>
        <v>0</v>
      </c>
    </row>
    <row r="62" spans="1:14" ht="24" customHeight="1" x14ac:dyDescent="0.2">
      <c r="A62" s="2465" t="s">
        <v>237</v>
      </c>
      <c r="B62" s="2466"/>
      <c r="C62" s="2466"/>
      <c r="D62" s="1966">
        <v>2366</v>
      </c>
      <c r="E62" s="1976">
        <f>'Expenditures 15-22'!K324</f>
        <v>0</v>
      </c>
      <c r="F62" s="1971"/>
      <c r="G62" s="2030"/>
      <c r="H62" s="2031"/>
      <c r="I62" s="2031"/>
      <c r="J62" s="2031"/>
      <c r="K62" s="2031"/>
      <c r="L62" s="2031"/>
      <c r="M62" s="2031"/>
      <c r="N62" s="1974">
        <f t="shared" si="4"/>
        <v>0</v>
      </c>
    </row>
    <row r="63" spans="1:14" ht="24" customHeight="1" x14ac:dyDescent="0.2">
      <c r="A63" s="2471" t="s">
        <v>1022</v>
      </c>
      <c r="B63" s="2472"/>
      <c r="C63" s="2472"/>
      <c r="D63" s="1966">
        <v>2367</v>
      </c>
      <c r="E63" s="1976">
        <f>'Expenditures 15-22'!K325</f>
        <v>0</v>
      </c>
      <c r="F63" s="1971"/>
      <c r="G63" s="2030"/>
      <c r="H63" s="2031"/>
      <c r="I63" s="2031"/>
      <c r="J63" s="2031"/>
      <c r="K63" s="2031"/>
      <c r="L63" s="2031"/>
      <c r="M63" s="2031"/>
      <c r="N63" s="1974">
        <f t="shared" si="4"/>
        <v>0</v>
      </c>
    </row>
    <row r="64" spans="1:14" ht="24" customHeight="1" x14ac:dyDescent="0.2">
      <c r="A64" s="2465" t="s">
        <v>1023</v>
      </c>
      <c r="B64" s="2466"/>
      <c r="C64" s="2466"/>
      <c r="D64" s="1966">
        <v>2368</v>
      </c>
      <c r="E64" s="1976">
        <f>'Expenditures 15-22'!K326</f>
        <v>0</v>
      </c>
      <c r="F64" s="1971"/>
      <c r="G64" s="2030"/>
      <c r="H64" s="2031"/>
      <c r="I64" s="2031"/>
      <c r="J64" s="2031"/>
      <c r="K64" s="2031"/>
      <c r="L64" s="2031"/>
      <c r="M64" s="2031"/>
      <c r="N64" s="1974">
        <f t="shared" si="4"/>
        <v>0</v>
      </c>
    </row>
    <row r="65" spans="1:14" ht="24" customHeight="1" x14ac:dyDescent="0.2">
      <c r="A65" s="2465" t="s">
        <v>965</v>
      </c>
      <c r="B65" s="2466"/>
      <c r="C65" s="2466"/>
      <c r="D65" s="1966">
        <v>2369</v>
      </c>
      <c r="E65" s="1976">
        <f>'Expenditures 15-22'!K327</f>
        <v>0</v>
      </c>
      <c r="F65" s="1971"/>
      <c r="G65" s="2030"/>
      <c r="H65" s="2031"/>
      <c r="I65" s="2031"/>
      <c r="J65" s="2031"/>
      <c r="K65" s="2031"/>
      <c r="L65" s="2031"/>
      <c r="M65" s="2031"/>
      <c r="N65" s="1974">
        <f t="shared" si="4"/>
        <v>0</v>
      </c>
    </row>
    <row r="66" spans="1:14" ht="24" customHeight="1" x14ac:dyDescent="0.2">
      <c r="A66" s="2465" t="s">
        <v>469</v>
      </c>
      <c r="B66" s="2466"/>
      <c r="C66" s="2466"/>
      <c r="D66" s="1966">
        <v>2371</v>
      </c>
      <c r="E66" s="1976">
        <f>'Expenditures 15-22'!K328</f>
        <v>0</v>
      </c>
      <c r="F66" s="1971"/>
      <c r="G66" s="2030"/>
      <c r="H66" s="2031"/>
      <c r="I66" s="2031"/>
      <c r="J66" s="2031"/>
      <c r="K66" s="2031"/>
      <c r="L66" s="2031"/>
      <c r="M66" s="2031"/>
      <c r="N66" s="1974">
        <f t="shared" si="4"/>
        <v>0</v>
      </c>
    </row>
    <row r="67" spans="1:14" ht="24.75" customHeight="1" x14ac:dyDescent="0.2">
      <c r="A67" s="2467" t="s">
        <v>2040</v>
      </c>
      <c r="B67" s="2468"/>
      <c r="C67" s="2468"/>
      <c r="D67" s="1968">
        <v>2372</v>
      </c>
      <c r="E67" s="1977">
        <f>'Expenditures 15-22'!K329</f>
        <v>0</v>
      </c>
      <c r="F67" s="1971"/>
      <c r="G67" s="2032"/>
      <c r="H67" s="2033"/>
      <c r="I67" s="2033"/>
      <c r="J67" s="2033"/>
      <c r="K67" s="2033"/>
      <c r="L67" s="2033"/>
      <c r="M67" s="2033"/>
      <c r="N67" s="1974">
        <f t="shared" si="4"/>
        <v>0</v>
      </c>
    </row>
    <row r="68" spans="1:14" x14ac:dyDescent="0.2">
      <c r="A68" s="2469" t="s">
        <v>1151</v>
      </c>
      <c r="B68" s="2470"/>
      <c r="C68" s="2470"/>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D8" sqref="D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v>2</v>
      </c>
      <c r="B6" s="307" t="s">
        <v>2151</v>
      </c>
    </row>
    <row r="7" spans="1:2" x14ac:dyDescent="0.2">
      <c r="A7" s="847">
        <v>3</v>
      </c>
      <c r="B7" s="307" t="s">
        <v>2069</v>
      </c>
    </row>
    <row r="8" spans="1:2" x14ac:dyDescent="0.2">
      <c r="A8" s="847">
        <v>4</v>
      </c>
      <c r="B8" s="307" t="s">
        <v>2070</v>
      </c>
    </row>
    <row r="9" spans="1:2" x14ac:dyDescent="0.2">
      <c r="A9" s="847">
        <v>5</v>
      </c>
      <c r="B9" s="307" t="s">
        <v>2071</v>
      </c>
    </row>
    <row r="10" spans="1:2" x14ac:dyDescent="0.2">
      <c r="A10" s="847">
        <v>6</v>
      </c>
      <c r="B10" s="307" t="s">
        <v>2072</v>
      </c>
    </row>
    <row r="11" spans="1:2" x14ac:dyDescent="0.2">
      <c r="A11" s="847">
        <v>7</v>
      </c>
      <c r="B11" s="307" t="s">
        <v>2155</v>
      </c>
    </row>
    <row r="12" spans="1:2" x14ac:dyDescent="0.2">
      <c r="A12" s="847">
        <v>8</v>
      </c>
      <c r="B12" s="307" t="s">
        <v>2073</v>
      </c>
    </row>
    <row r="13" spans="1:2" x14ac:dyDescent="0.2">
      <c r="A13" s="847">
        <v>9</v>
      </c>
      <c r="B13" s="307" t="s">
        <v>2074</v>
      </c>
    </row>
    <row r="14" spans="1:2" x14ac:dyDescent="0.2">
      <c r="A14" s="847">
        <v>10</v>
      </c>
      <c r="B14" s="307" t="s">
        <v>2156</v>
      </c>
    </row>
    <row r="15" spans="1:2" x14ac:dyDescent="0.2">
      <c r="A15" s="847">
        <v>11</v>
      </c>
      <c r="B15" s="307" t="s">
        <v>2157</v>
      </c>
    </row>
    <row r="16" spans="1:2" x14ac:dyDescent="0.2">
      <c r="A16" s="847">
        <v>12</v>
      </c>
      <c r="B16" s="307" t="s">
        <v>2158</v>
      </c>
    </row>
    <row r="17" spans="1:2" x14ac:dyDescent="0.2">
      <c r="A17" s="847">
        <v>13</v>
      </c>
      <c r="B17" s="307" t="s">
        <v>2075</v>
      </c>
    </row>
    <row r="18" spans="1:2" x14ac:dyDescent="0.2">
      <c r="A18" s="847">
        <v>14</v>
      </c>
      <c r="B18" s="307" t="s">
        <v>2076</v>
      </c>
    </row>
    <row r="19" spans="1:2" x14ac:dyDescent="0.2">
      <c r="A19" s="847">
        <v>15</v>
      </c>
      <c r="B19" s="307" t="s">
        <v>2159</v>
      </c>
    </row>
    <row r="20" spans="1:2" x14ac:dyDescent="0.2">
      <c r="A20" s="847">
        <v>16</v>
      </c>
      <c r="B20" s="307" t="s">
        <v>2077</v>
      </c>
    </row>
    <row r="21" spans="1:2" x14ac:dyDescent="0.2">
      <c r="A21" s="847">
        <v>17</v>
      </c>
      <c r="B21" s="307" t="s">
        <v>2078</v>
      </c>
    </row>
    <row r="22" spans="1:2" x14ac:dyDescent="0.2">
      <c r="A22" s="847">
        <v>18</v>
      </c>
      <c r="B22" s="307" t="s">
        <v>2079</v>
      </c>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CHSD 155</v>
      </c>
    </row>
    <row r="67" spans="1:2" x14ac:dyDescent="0.2">
      <c r="B67" s="849">
        <f>COVER!A13</f>
        <v>44063155016</v>
      </c>
    </row>
  </sheetData>
  <phoneticPr fontId="14"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2046</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99" t="s">
        <v>1056</v>
      </c>
      <c r="B35" s="2199"/>
      <c r="C35" s="2199"/>
      <c r="D35" s="2199"/>
      <c r="E35" s="219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6" t="s">
        <v>686</v>
      </c>
      <c r="B40" s="2196"/>
      <c r="C40" s="2196"/>
      <c r="D40" s="2196"/>
      <c r="E40" s="2196"/>
    </row>
    <row r="41" spans="1:5" x14ac:dyDescent="0.2">
      <c r="A41" s="2197" t="s">
        <v>1591</v>
      </c>
      <c r="B41" s="2197"/>
      <c r="C41" s="2197"/>
      <c r="D41" s="2197"/>
      <c r="E41" s="2197"/>
    </row>
    <row r="42" spans="1:5" ht="12.75" customHeight="1" x14ac:dyDescent="0.2">
      <c r="A42" s="2198" t="s">
        <v>1015</v>
      </c>
      <c r="B42" s="2198"/>
      <c r="C42" s="2198"/>
      <c r="D42" s="2198"/>
      <c r="E42" s="2198"/>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513" t="s">
        <v>1665</v>
      </c>
      <c r="B18" s="2513"/>
    </row>
  </sheetData>
  <sheetProtection selectLockedCells="1"/>
  <mergeCells count="1">
    <mergeCell ref="A18:B18"/>
  </mergeCells>
  <phoneticPr fontId="14"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1066800</xdr:colOff>
                <xdr:row>6</xdr:row>
                <xdr:rowOff>0</xdr:rowOff>
              </from>
              <to>
                <xdr:col>1</xdr:col>
                <xdr:colOff>1981200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21" sqref="C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4" t="s">
        <v>1669</v>
      </c>
      <c r="B1" s="2515"/>
      <c r="C1" s="2515"/>
      <c r="D1" s="2515"/>
      <c r="E1" s="2515"/>
      <c r="F1" s="2516"/>
    </row>
    <row r="2" spans="1:8" ht="45" customHeight="1" x14ac:dyDescent="0.2">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x14ac:dyDescent="0.2">
      <c r="A3" s="2527" t="s">
        <v>1970</v>
      </c>
      <c r="B3" s="2528"/>
      <c r="C3" s="2528"/>
      <c r="D3" s="2528"/>
      <c r="E3" s="2528"/>
      <c r="F3" s="2529"/>
      <c r="G3" s="853"/>
      <c r="H3" s="853"/>
    </row>
    <row r="4" spans="1:8" ht="14.25" customHeight="1" x14ac:dyDescent="0.2">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x14ac:dyDescent="0.2">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x14ac:dyDescent="0.2">
      <c r="A6" s="2530" t="s">
        <v>1670</v>
      </c>
      <c r="B6" s="2531"/>
      <c r="C6" s="2531"/>
      <c r="D6" s="2531"/>
      <c r="E6" s="2531"/>
      <c r="F6" s="253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83221807</v>
      </c>
      <c r="C8" s="1813">
        <f>'Acct Summary 7-8'!D8</f>
        <v>5551491</v>
      </c>
      <c r="D8" s="1813">
        <f>'Acct Summary 7-8'!F8</f>
        <v>2701662</v>
      </c>
      <c r="E8" s="1813">
        <f>'Acct Summary 7-8'!I8</f>
        <v>34702</v>
      </c>
      <c r="F8" s="1813">
        <f>SUM(B8:E8)</f>
        <v>91509662</v>
      </c>
    </row>
    <row r="9" spans="1:8" s="858" customFormat="1" ht="14.25" customHeight="1" thickBot="1" x14ac:dyDescent="0.25">
      <c r="A9" s="857" t="s">
        <v>1353</v>
      </c>
      <c r="B9" s="1814">
        <f>'Acct Summary 7-8'!C17</f>
        <v>79322511</v>
      </c>
      <c r="C9" s="1814">
        <f>'Acct Summary 7-8'!D17</f>
        <v>7140547</v>
      </c>
      <c r="D9" s="1814">
        <f>'Acct Summary 7-8'!F17</f>
        <v>4152747</v>
      </c>
      <c r="E9" s="1813"/>
      <c r="F9" s="1813">
        <f>SUM(B9:E9)</f>
        <v>90615805</v>
      </c>
    </row>
    <row r="10" spans="1:8" s="858" customFormat="1" ht="14.25" thickTop="1" thickBot="1" x14ac:dyDescent="0.25">
      <c r="A10" s="859" t="s">
        <v>1354</v>
      </c>
      <c r="B10" s="1815">
        <f>(B8-B9)</f>
        <v>3899296</v>
      </c>
      <c r="C10" s="1815">
        <f>(C8-C9)</f>
        <v>-1589056</v>
      </c>
      <c r="D10" s="1815">
        <f>(D8-D9)</f>
        <v>-1451085</v>
      </c>
      <c r="E10" s="1814">
        <f>(E8-E9)</f>
        <v>34702</v>
      </c>
      <c r="F10" s="1816">
        <f>SUM(F8-F9)</f>
        <v>893857</v>
      </c>
    </row>
    <row r="11" spans="1:8" s="858" customFormat="1" ht="14.25" thickTop="1" thickBot="1" x14ac:dyDescent="0.25">
      <c r="A11" s="860" t="s">
        <v>1901</v>
      </c>
      <c r="B11" s="1817">
        <f>'Acct Summary 7-8'!C81</f>
        <v>32207230</v>
      </c>
      <c r="C11" s="1817">
        <f>'Acct Summary 7-8'!D81</f>
        <v>4647043</v>
      </c>
      <c r="D11" s="1817">
        <f>'Acct Summary 7-8'!F81</f>
        <v>2110651</v>
      </c>
      <c r="E11" s="1817">
        <f>'Acct Summary 7-8'!I81</f>
        <v>2135610</v>
      </c>
      <c r="F11" s="1818">
        <f>SUM(B11:E11)</f>
        <v>41100534</v>
      </c>
    </row>
    <row r="12" spans="1:8" ht="16.5" customHeight="1" thickTop="1" x14ac:dyDescent="0.2">
      <c r="A12" s="861"/>
      <c r="B12" s="862"/>
      <c r="C12" s="2518" t="str">
        <f>IF(AND(F10&lt;0,F11&gt;=0,ABS(F10*3)&gt;ABS(F11)),A16,IF(AND(F10&lt;0,F11&gt;0,ABS(F10*3)&lt;=ABS(F11)),A17,IF(AND(F10&lt;0,F11&lt;0),A16,IF(F11=0,A19,A18))))</f>
        <v>Balanced - no deficit reduction plan is required.</v>
      </c>
      <c r="D12" s="2519"/>
      <c r="E12" s="2519"/>
      <c r="F12" s="2520"/>
    </row>
    <row r="13" spans="1:8" ht="19.5" customHeight="1" x14ac:dyDescent="0.2">
      <c r="A13" s="863"/>
      <c r="B13" s="864"/>
      <c r="C13" s="2518"/>
      <c r="D13" s="2519"/>
      <c r="E13" s="2519"/>
      <c r="F13" s="2520"/>
      <c r="H13" s="853"/>
    </row>
    <row r="14" spans="1:8" ht="19.5" customHeight="1" x14ac:dyDescent="0.2">
      <c r="A14" s="863"/>
      <c r="B14" s="864"/>
      <c r="C14" s="2518"/>
      <c r="D14" s="2519"/>
      <c r="E14" s="2519"/>
      <c r="F14" s="2520"/>
      <c r="H14" s="853"/>
    </row>
    <row r="15" spans="1:8" ht="17.25" customHeight="1" x14ac:dyDescent="0.2">
      <c r="A15" s="863"/>
      <c r="B15" s="864"/>
      <c r="C15" s="2521"/>
      <c r="D15" s="2522"/>
      <c r="E15" s="2522"/>
      <c r="F15" s="2523"/>
      <c r="H15" s="853"/>
    </row>
    <row r="16" spans="1:8" s="288" customFormat="1" ht="51.75" hidden="1" customHeight="1" x14ac:dyDescent="0.2">
      <c r="A16" s="2517" t="s">
        <v>1666</v>
      </c>
      <c r="B16" s="2517"/>
      <c r="C16" s="2517"/>
      <c r="D16" s="2517"/>
      <c r="E16" s="251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9" t="s">
        <v>660</v>
      </c>
      <c r="B3" s="2540"/>
      <c r="C3" s="2540"/>
      <c r="D3" s="2541"/>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0" t="s">
        <v>1487</v>
      </c>
      <c r="D7" s="2551"/>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2" t="s">
        <v>1001</v>
      </c>
      <c r="B15" s="2543"/>
      <c r="C15" s="2543"/>
      <c r="D15" s="2544"/>
    </row>
    <row r="16" spans="1:4" s="542" customFormat="1" ht="24" customHeight="1" x14ac:dyDescent="0.2">
      <c r="A16" s="2545" t="s">
        <v>658</v>
      </c>
      <c r="B16" s="2546"/>
      <c r="C16" s="2546"/>
      <c r="D16" s="2547"/>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4" t="s">
        <v>311</v>
      </c>
      <c r="D21" s="2555"/>
    </row>
    <row r="22" spans="1:10" ht="12.75" x14ac:dyDescent="0.2">
      <c r="A22" s="918"/>
      <c r="B22" s="919">
        <v>2</v>
      </c>
      <c r="C22" s="2552" t="s">
        <v>1507</v>
      </c>
      <c r="D22" s="2553"/>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6" t="s">
        <v>533</v>
      </c>
      <c r="D43" s="255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8" t="s">
        <v>779</v>
      </c>
      <c r="D56" s="254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48" t="s">
        <v>1674</v>
      </c>
      <c r="D70" s="254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1965</v>
      </c>
      <c r="F1" s="1543" t="s">
        <v>1966</v>
      </c>
      <c r="G1" s="1900" t="s">
        <v>1976</v>
      </c>
    </row>
    <row r="2" spans="1:7" ht="15.75" x14ac:dyDescent="0.25">
      <c r="A2" t="s">
        <v>260</v>
      </c>
      <c r="B2" s="135">
        <f>COVER!A13</f>
        <v>44063155016</v>
      </c>
      <c r="E2" s="1542">
        <v>2020</v>
      </c>
      <c r="F2" s="1542">
        <v>1</v>
      </c>
      <c r="G2" s="1899">
        <v>101000300</v>
      </c>
    </row>
    <row r="3" spans="1:7" ht="15" x14ac:dyDescent="0.25">
      <c r="A3" t="s">
        <v>950</v>
      </c>
      <c r="B3" s="135" t="str">
        <f>COVER!A15</f>
        <v>McHenry County</v>
      </c>
      <c r="E3" s="1830" t="s">
        <v>1969</v>
      </c>
      <c r="F3" s="1830" t="s">
        <v>1968</v>
      </c>
      <c r="G3" s="1899">
        <v>101000400</v>
      </c>
    </row>
    <row r="4" spans="1:7" ht="15" x14ac:dyDescent="0.25">
      <c r="A4" t="s">
        <v>1000</v>
      </c>
      <c r="B4" s="135" t="str">
        <f>COVER!A17</f>
        <v xml:space="preserve"> CHSD 155</v>
      </c>
      <c r="E4" s="1828">
        <v>44119</v>
      </c>
      <c r="F4" s="1829">
        <v>44151</v>
      </c>
      <c r="G4" s="1899">
        <v>101000600</v>
      </c>
    </row>
    <row r="5" spans="1:7" ht="15" x14ac:dyDescent="0.25">
      <c r="A5" t="s">
        <v>699</v>
      </c>
      <c r="B5" s="135" t="str">
        <f>COVER!A38</f>
        <v>Steve Olson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065-036379</v>
      </c>
      <c r="G15" s="1899">
        <v>402100400</v>
      </c>
    </row>
    <row r="16" spans="1:7" ht="15" x14ac:dyDescent="0.25">
      <c r="A16" t="s">
        <v>419</v>
      </c>
      <c r="B16" s="135" t="str">
        <f>COVER!T13</f>
        <v>Tighe, Kress &amp; Orr, P.C.</v>
      </c>
      <c r="G16" s="1899">
        <v>402100600</v>
      </c>
    </row>
    <row r="17" spans="1:7" ht="15" x14ac:dyDescent="0.25">
      <c r="A17" t="s">
        <v>878</v>
      </c>
      <c r="B17" s="135" t="str">
        <f>COVER!T15</f>
        <v>Cynthia Petschke</v>
      </c>
      <c r="G17" s="1899">
        <v>402100800</v>
      </c>
    </row>
    <row r="18" spans="1:7" ht="15" x14ac:dyDescent="0.25">
      <c r="A18" t="s">
        <v>1140</v>
      </c>
      <c r="B18" s="135" t="str">
        <f>COVER!T17</f>
        <v>2001 Larkin Avenue, Suite 202</v>
      </c>
      <c r="G18" s="1899">
        <v>102200300</v>
      </c>
    </row>
    <row r="19" spans="1:7" ht="15" x14ac:dyDescent="0.25">
      <c r="A19" t="s">
        <v>880</v>
      </c>
      <c r="B19" s="135" t="str">
        <f>COVER!T25</f>
        <v>Cynthia.Petschke@tkocpa.com</v>
      </c>
      <c r="G19" s="1899">
        <v>102200400</v>
      </c>
    </row>
    <row r="20" spans="1:7" ht="15" x14ac:dyDescent="0.25">
      <c r="A20" t="s">
        <v>881</v>
      </c>
      <c r="B20" s="135" t="str">
        <f>COVER!T19</f>
        <v>Elgin</v>
      </c>
      <c r="G20" s="1899">
        <v>102200600</v>
      </c>
    </row>
    <row r="21" spans="1:7" ht="15" x14ac:dyDescent="0.25">
      <c r="A21" t="s">
        <v>476</v>
      </c>
      <c r="B21" s="135" t="str">
        <f>COVER!X19</f>
        <v>IL</v>
      </c>
      <c r="G21" s="1899">
        <v>102200800</v>
      </c>
    </row>
    <row r="22" spans="1:7" ht="15" x14ac:dyDescent="0.25">
      <c r="A22" t="s">
        <v>882</v>
      </c>
      <c r="B22" s="135">
        <f>COVER!Z19</f>
        <v>60123</v>
      </c>
      <c r="G22" s="1899">
        <v>102300300</v>
      </c>
    </row>
    <row r="23" spans="1:7" ht="15" x14ac:dyDescent="0.25">
      <c r="A23" t="s">
        <v>1142</v>
      </c>
      <c r="B23" s="135" t="str">
        <f>COVER!T21</f>
        <v>847-695-2700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33420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35679022</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38258069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40137</v>
      </c>
      <c r="D76" s="2" t="str">
        <f t="shared" si="0"/>
        <v>Error?</v>
      </c>
      <c r="G76" s="1899">
        <v>102570600</v>
      </c>
    </row>
    <row r="77" spans="1:7" ht="15" x14ac:dyDescent="0.25">
      <c r="A77" s="5">
        <v>16</v>
      </c>
      <c r="B77" s="1832">
        <f>'Assets-Liab 5-6'!C13</f>
        <v>107966729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66775678</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75759499</v>
      </c>
      <c r="C91" s="2" t="s">
        <v>569</v>
      </c>
      <c r="D91" s="2" t="str">
        <f t="shared" si="0"/>
        <v>Error?</v>
      </c>
      <c r="G91" s="1899">
        <v>102640400</v>
      </c>
    </row>
    <row r="92" spans="1:7" ht="15" x14ac:dyDescent="0.25">
      <c r="A92" s="5">
        <v>31</v>
      </c>
      <c r="B92" s="1832">
        <f>'Assets-Liab 5-6'!C39</f>
        <v>21721209</v>
      </c>
      <c r="D92" s="2" t="str">
        <f t="shared" si="0"/>
        <v>Error?</v>
      </c>
      <c r="G92" s="1899">
        <v>102640600</v>
      </c>
    </row>
    <row r="93" spans="1:7" ht="15" x14ac:dyDescent="0.25">
      <c r="A93" s="5">
        <v>32</v>
      </c>
      <c r="B93" s="1832">
        <f>'Assets-Liab 5-6'!C41</f>
        <v>107966729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2848087</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10630928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5368704</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5983885</v>
      </c>
      <c r="C122" s="2" t="s">
        <v>569</v>
      </c>
      <c r="D122" s="2" t="str">
        <f t="shared" si="0"/>
        <v>Error?</v>
      </c>
      <c r="G122" s="1899">
        <v>203000300</v>
      </c>
    </row>
    <row r="123" spans="1:7" ht="15" x14ac:dyDescent="0.25">
      <c r="A123" s="5">
        <v>62</v>
      </c>
      <c r="B123" s="1832">
        <f>'Assets-Liab 5-6'!D39</f>
        <v>4647043</v>
      </c>
      <c r="D123" s="2" t="str">
        <f t="shared" si="0"/>
        <v>Error?</v>
      </c>
      <c r="G123" s="1899">
        <v>203000400</v>
      </c>
    </row>
    <row r="124" spans="1:7" ht="15" x14ac:dyDescent="0.25">
      <c r="A124" s="5">
        <v>63</v>
      </c>
      <c r="B124" s="1832">
        <f>'Assets-Liab 5-6'!D41</f>
        <v>10630928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737992</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1451142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1378205</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1378205</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1451142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797310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4291422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1766229</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2180771</v>
      </c>
      <c r="C169" s="2" t="s">
        <v>569</v>
      </c>
      <c r="D169" s="2" t="str">
        <f t="shared" si="1"/>
        <v>Error?</v>
      </c>
    </row>
    <row r="170" spans="1:4" x14ac:dyDescent="0.2">
      <c r="A170" s="5">
        <v>109</v>
      </c>
      <c r="B170" s="1832">
        <f>'Assets-Liab 5-6'!F39</f>
        <v>2110651</v>
      </c>
      <c r="D170" s="2" t="str">
        <f t="shared" si="1"/>
        <v>Error?</v>
      </c>
    </row>
    <row r="171" spans="1:4" x14ac:dyDescent="0.2">
      <c r="A171" s="5">
        <v>110</v>
      </c>
      <c r="B171" s="1832">
        <f>'Assets-Liab 5-6'!F41</f>
        <v>4291422</v>
      </c>
      <c r="C171" s="2" t="s">
        <v>569</v>
      </c>
      <c r="D171" s="2" t="str">
        <f t="shared" si="1"/>
        <v>Error?</v>
      </c>
    </row>
    <row r="172" spans="1:4" x14ac:dyDescent="0.2">
      <c r="A172" s="10">
        <v>111</v>
      </c>
      <c r="B172" s="1832"/>
      <c r="D172" s="2" t="str">
        <f t="shared" si="1"/>
        <v>OK</v>
      </c>
    </row>
    <row r="173" spans="1:4" x14ac:dyDescent="0.2">
      <c r="A173" s="5">
        <v>112</v>
      </c>
      <c r="B173" s="1832">
        <f>'Assets-Liab 5-6'!G6</f>
        <v>829753</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3986590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179484</v>
      </c>
      <c r="D184" s="2" t="str">
        <f t="shared" si="1"/>
        <v>Error?</v>
      </c>
    </row>
    <row r="185" spans="1:4" x14ac:dyDescent="0.2">
      <c r="A185" s="5">
        <v>124</v>
      </c>
      <c r="B185" s="1832">
        <f>'Assets-Liab 5-6'!G32</f>
        <v>1549578</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1729062</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3986590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5431708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2909969</v>
      </c>
      <c r="C211" s="2" t="s">
        <v>569</v>
      </c>
      <c r="D211" s="2" t="str">
        <f t="shared" si="2"/>
        <v>Error?</v>
      </c>
    </row>
    <row r="212" spans="1:4" x14ac:dyDescent="0.2">
      <c r="A212" s="5">
        <v>151</v>
      </c>
      <c r="B212" s="1832">
        <f>'Assets-Liab 5-6'!H39</f>
        <v>2249424</v>
      </c>
      <c r="D212" s="2" t="str">
        <f t="shared" si="2"/>
        <v>Error?</v>
      </c>
    </row>
    <row r="213" spans="1:4" x14ac:dyDescent="0.2">
      <c r="A213" s="12">
        <v>152</v>
      </c>
      <c r="B213" s="1832">
        <f>'Assets-Liab 5-6'!H41</f>
        <v>5431708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2330356</v>
      </c>
      <c r="D273" s="2" t="str">
        <f t="shared" si="3"/>
        <v>Error?</v>
      </c>
    </row>
    <row r="274" spans="1:4" x14ac:dyDescent="0.2">
      <c r="A274" s="5">
        <v>213</v>
      </c>
      <c r="B274" s="1832">
        <f>'Assets-Liab 5-6'!M17</f>
        <v>98404660</v>
      </c>
      <c r="D274" s="2" t="str">
        <f t="shared" si="3"/>
        <v>Error?</v>
      </c>
    </row>
    <row r="275" spans="1:4" x14ac:dyDescent="0.2">
      <c r="A275" s="5">
        <v>214</v>
      </c>
      <c r="B275" s="1832">
        <f>'Assets-Liab 5-6'!M18</f>
        <v>0</v>
      </c>
      <c r="D275" s="2" t="str">
        <f t="shared" si="3"/>
        <v>Error?</v>
      </c>
    </row>
    <row r="276" spans="1:4" x14ac:dyDescent="0.2">
      <c r="A276" s="5">
        <v>215</v>
      </c>
      <c r="B276" s="1832">
        <f>'Assets-Liab 5-6'!M19</f>
        <v>2014203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107730375</v>
      </c>
      <c r="C279" s="2" t="s">
        <v>569</v>
      </c>
      <c r="D279" s="2" t="str">
        <f t="shared" si="3"/>
        <v>Error?</v>
      </c>
    </row>
    <row r="280" spans="1:4" x14ac:dyDescent="0.2">
      <c r="A280" s="5">
        <v>219</v>
      </c>
      <c r="B280" s="1832">
        <f>'Assets-Liab 5-6'!M40</f>
        <v>107730375</v>
      </c>
      <c r="D280" s="2" t="str">
        <f t="shared" si="3"/>
        <v>Error?</v>
      </c>
    </row>
    <row r="281" spans="1:4" x14ac:dyDescent="0.2">
      <c r="A281" s="5">
        <v>220</v>
      </c>
      <c r="B281" s="1832">
        <f>'Assets-Liab 5-6'!M41</f>
        <v>107730375</v>
      </c>
      <c r="C281" s="2" t="s">
        <v>569</v>
      </c>
      <c r="D281" s="2" t="str">
        <f t="shared" si="3"/>
        <v>Error?</v>
      </c>
    </row>
    <row r="282" spans="1:4" x14ac:dyDescent="0.2">
      <c r="A282" s="5">
        <v>221</v>
      </c>
      <c r="B282" s="1832">
        <f>'Assets-Liab 5-6'!N21</f>
        <v>72937</v>
      </c>
      <c r="D282" s="2" t="str">
        <f t="shared" si="3"/>
        <v>Error?</v>
      </c>
    </row>
    <row r="283" spans="1:4" x14ac:dyDescent="0.2">
      <c r="A283" s="5">
        <v>222</v>
      </c>
      <c r="B283" s="1832">
        <f>'Assets-Liab 5-6'!N22</f>
        <v>14762063</v>
      </c>
      <c r="D283" s="2" t="str">
        <f t="shared" si="3"/>
        <v>Error?</v>
      </c>
    </row>
    <row r="284" spans="1:4" x14ac:dyDescent="0.2">
      <c r="A284" s="5">
        <v>223</v>
      </c>
      <c r="B284" s="1832">
        <f>'Assets-Liab 5-6'!N23</f>
        <v>14835000</v>
      </c>
      <c r="C284" s="2" t="s">
        <v>569</v>
      </c>
      <c r="D284" s="2" t="str">
        <f t="shared" si="3"/>
        <v>Error?</v>
      </c>
    </row>
    <row r="285" spans="1:4" x14ac:dyDescent="0.2">
      <c r="A285" s="5">
        <v>224</v>
      </c>
      <c r="B285" s="1832">
        <f>'Assets-Liab 5-6'!N36</f>
        <v>14835000</v>
      </c>
      <c r="D285" s="2" t="str">
        <f t="shared" si="3"/>
        <v>Error?</v>
      </c>
    </row>
    <row r="286" spans="1:4" x14ac:dyDescent="0.2">
      <c r="A286" s="10">
        <v>225</v>
      </c>
      <c r="B286" s="1832"/>
      <c r="D286" s="2" t="str">
        <f t="shared" si="3"/>
        <v>OK</v>
      </c>
    </row>
    <row r="287" spans="1:4" x14ac:dyDescent="0.2">
      <c r="A287" s="5">
        <v>226</v>
      </c>
      <c r="B287" s="1832">
        <f>'Assets-Liab 5-6'!N37</f>
        <v>14835000</v>
      </c>
      <c r="C287" s="2" t="s">
        <v>569</v>
      </c>
      <c r="D287" s="2" t="str">
        <f t="shared" si="3"/>
        <v>Error?</v>
      </c>
    </row>
    <row r="288" spans="1:4" x14ac:dyDescent="0.2">
      <c r="A288" s="5">
        <v>227</v>
      </c>
      <c r="B288" s="1832">
        <f>'Assets-Liab 5-6'!N41</f>
        <v>14835000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26954948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2636154</v>
      </c>
      <c r="D717" s="2" t="str">
        <f t="shared" si="10"/>
        <v>Error?</v>
      </c>
    </row>
    <row r="718" spans="1:4" x14ac:dyDescent="0.2">
      <c r="A718" s="5">
        <v>657</v>
      </c>
      <c r="B718" s="1832">
        <f>'Expenditures 15-22'!C14</f>
        <v>3032597</v>
      </c>
      <c r="D718" s="2" t="str">
        <f t="shared" si="10"/>
        <v>Error?</v>
      </c>
    </row>
    <row r="719" spans="1:4" x14ac:dyDescent="0.2">
      <c r="A719" s="5">
        <v>658</v>
      </c>
      <c r="B719" s="1832">
        <f>'Expenditures 15-22'!C15</f>
        <v>92514</v>
      </c>
      <c r="D719" s="2" t="str">
        <f t="shared" si="10"/>
        <v>Error?</v>
      </c>
    </row>
    <row r="720" spans="1:4" x14ac:dyDescent="0.2">
      <c r="A720" s="5">
        <v>659</v>
      </c>
      <c r="B720" s="1832">
        <f>'Expenditures 15-22'!C33</f>
        <v>40530265</v>
      </c>
      <c r="C720" s="2" t="s">
        <v>569</v>
      </c>
      <c r="D720" s="2" t="str">
        <f t="shared" si="10"/>
        <v>Error?</v>
      </c>
    </row>
    <row r="721" spans="1:4" x14ac:dyDescent="0.2">
      <c r="A721" s="5">
        <v>660</v>
      </c>
      <c r="B721" s="1832">
        <f>'Expenditures 15-22'!C36</f>
        <v>1368584</v>
      </c>
      <c r="D721" s="2" t="str">
        <f t="shared" si="10"/>
        <v>Error?</v>
      </c>
    </row>
    <row r="722" spans="1:4" x14ac:dyDescent="0.2">
      <c r="A722" s="5">
        <v>661</v>
      </c>
      <c r="B722" s="1832">
        <f>'Expenditures 15-22'!C37</f>
        <v>2934902</v>
      </c>
      <c r="D722" s="2" t="str">
        <f t="shared" si="10"/>
        <v>Error?</v>
      </c>
    </row>
    <row r="723" spans="1:4" x14ac:dyDescent="0.2">
      <c r="A723" s="5">
        <v>662</v>
      </c>
      <c r="B723" s="1832">
        <f>'Expenditures 15-22'!C38</f>
        <v>540804</v>
      </c>
      <c r="D723" s="2" t="str">
        <f t="shared" si="10"/>
        <v>Error?</v>
      </c>
    </row>
    <row r="724" spans="1:4" x14ac:dyDescent="0.2">
      <c r="A724" s="5">
        <v>663</v>
      </c>
      <c r="B724" s="1832">
        <f>'Expenditures 15-22'!C39</f>
        <v>468810</v>
      </c>
      <c r="D724" s="2" t="str">
        <f t="shared" si="10"/>
        <v>Error?</v>
      </c>
    </row>
    <row r="725" spans="1:4" x14ac:dyDescent="0.2">
      <c r="A725" s="5">
        <v>664</v>
      </c>
      <c r="B725" s="1832">
        <f>'Expenditures 15-22'!C40</f>
        <v>388989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5702089</v>
      </c>
      <c r="C727" s="2" t="s">
        <v>569</v>
      </c>
      <c r="D727" s="2" t="str">
        <f t="shared" si="10"/>
        <v>Error?</v>
      </c>
    </row>
    <row r="728" spans="1:4" x14ac:dyDescent="0.2">
      <c r="A728" s="5">
        <v>667</v>
      </c>
      <c r="B728" s="1832">
        <f>'Expenditures 15-22'!C44</f>
        <v>3299299</v>
      </c>
      <c r="D728" s="2" t="str">
        <f t="shared" si="10"/>
        <v>Error?</v>
      </c>
    </row>
    <row r="729" spans="1:4" x14ac:dyDescent="0.2">
      <c r="A729" s="5">
        <v>668</v>
      </c>
      <c r="B729" s="1832">
        <f>'Expenditures 15-22'!C45</f>
        <v>619894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3919193</v>
      </c>
      <c r="C731" s="2" t="s">
        <v>569</v>
      </c>
      <c r="D731" s="2" t="str">
        <f t="shared" si="10"/>
        <v>Error?</v>
      </c>
    </row>
    <row r="732" spans="1:4" x14ac:dyDescent="0.2">
      <c r="A732" s="5">
        <v>671</v>
      </c>
      <c r="B732" s="1832">
        <f>'Expenditures 15-22'!C49</f>
        <v>84908</v>
      </c>
      <c r="D732" s="2" t="str">
        <f t="shared" si="10"/>
        <v>Error?</v>
      </c>
    </row>
    <row r="733" spans="1:4" x14ac:dyDescent="0.2">
      <c r="A733" s="5">
        <v>672</v>
      </c>
      <c r="B733" s="1832">
        <f>'Expenditures 15-22'!C50</f>
        <v>384197</v>
      </c>
      <c r="D733" s="2" t="str">
        <f t="shared" si="10"/>
        <v>Error?</v>
      </c>
    </row>
    <row r="734" spans="1:4" x14ac:dyDescent="0.2">
      <c r="A734" s="5">
        <v>673</v>
      </c>
      <c r="B734" s="1832">
        <f>'Expenditures 15-22'!C53</f>
        <v>469105</v>
      </c>
      <c r="C734" s="2" t="s">
        <v>569</v>
      </c>
      <c r="D734" s="2" t="str">
        <f t="shared" si="10"/>
        <v>Error?</v>
      </c>
    </row>
    <row r="735" spans="1:4" x14ac:dyDescent="0.2">
      <c r="A735" s="5">
        <v>674</v>
      </c>
      <c r="B735" s="1832">
        <f>'Expenditures 15-22'!C55</f>
        <v>1570861</v>
      </c>
      <c r="D735" s="2" t="str">
        <f t="shared" si="10"/>
        <v>Error?</v>
      </c>
    </row>
    <row r="736" spans="1:4" x14ac:dyDescent="0.2">
      <c r="A736" s="5">
        <v>675</v>
      </c>
      <c r="B736" s="1832">
        <f>'Expenditures 15-22'!C56</f>
        <v>731685</v>
      </c>
      <c r="D736" s="2" t="str">
        <f t="shared" si="10"/>
        <v>Error?</v>
      </c>
    </row>
    <row r="737" spans="1:4" x14ac:dyDescent="0.2">
      <c r="A737" s="5">
        <v>676</v>
      </c>
      <c r="B737" s="1832">
        <f>'Expenditures 15-22'!C57</f>
        <v>2302546</v>
      </c>
      <c r="C737" s="2" t="s">
        <v>569</v>
      </c>
      <c r="D737" s="2" t="str">
        <f t="shared" si="10"/>
        <v>Error?</v>
      </c>
    </row>
    <row r="738" spans="1:4" x14ac:dyDescent="0.2">
      <c r="A738" s="5">
        <v>677</v>
      </c>
      <c r="B738" s="1832">
        <f>'Expenditures 15-22'!C59</f>
        <v>159457</v>
      </c>
      <c r="D738" s="2" t="str">
        <f t="shared" si="10"/>
        <v>Error?</v>
      </c>
    </row>
    <row r="739" spans="1:4" x14ac:dyDescent="0.2">
      <c r="A739" s="5">
        <v>678</v>
      </c>
      <c r="B739" s="1832">
        <f>'Expenditures 15-22'!C60</f>
        <v>398676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270818</v>
      </c>
      <c r="D742" s="2" t="str">
        <f t="shared" si="10"/>
        <v>Error?</v>
      </c>
    </row>
    <row r="743" spans="1:4" x14ac:dyDescent="0.2">
      <c r="A743" s="5">
        <v>682</v>
      </c>
      <c r="B743" s="1832">
        <f>'Expenditures 15-22'!C64</f>
        <v>40570</v>
      </c>
      <c r="D743" s="2" t="str">
        <f t="shared" si="10"/>
        <v>Error?</v>
      </c>
    </row>
    <row r="744" spans="1:4" x14ac:dyDescent="0.2">
      <c r="A744" s="10">
        <v>683</v>
      </c>
      <c r="B744" s="1832"/>
      <c r="D744" s="2" t="str">
        <f t="shared" si="10"/>
        <v>OK</v>
      </c>
    </row>
    <row r="745" spans="1:4" x14ac:dyDescent="0.2">
      <c r="A745" s="5">
        <v>684</v>
      </c>
      <c r="B745" s="1832">
        <f>'Expenditures 15-22'!C65</f>
        <v>869521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147566</v>
      </c>
      <c r="D748" s="2" t="str">
        <f t="shared" si="10"/>
        <v>Error?</v>
      </c>
    </row>
    <row r="749" spans="1:4" x14ac:dyDescent="0.2">
      <c r="A749" s="5">
        <v>688</v>
      </c>
      <c r="B749" s="1832">
        <f>'Expenditures 15-22'!C70</f>
        <v>359334</v>
      </c>
      <c r="D749" s="2" t="str">
        <f t="shared" si="10"/>
        <v>Error?</v>
      </c>
    </row>
    <row r="750" spans="1:4" x14ac:dyDescent="0.2">
      <c r="A750" s="10">
        <v>689</v>
      </c>
      <c r="B750" s="1832"/>
      <c r="D750" s="2" t="str">
        <f t="shared" si="10"/>
        <v>OK</v>
      </c>
    </row>
    <row r="751" spans="1:4" x14ac:dyDescent="0.2">
      <c r="A751" s="5">
        <v>690</v>
      </c>
      <c r="B751" s="1832">
        <f>'Expenditures 15-22'!C71</f>
        <v>1052957</v>
      </c>
      <c r="D751" s="2" t="str">
        <f t="shared" si="10"/>
        <v>Error?</v>
      </c>
    </row>
    <row r="752" spans="1:4" x14ac:dyDescent="0.2">
      <c r="A752" s="10">
        <v>691</v>
      </c>
      <c r="B752" s="1832"/>
      <c r="D752" s="2" t="str">
        <f t="shared" si="10"/>
        <v>OK</v>
      </c>
    </row>
    <row r="753" spans="1:4" x14ac:dyDescent="0.2">
      <c r="A753" s="5">
        <v>692</v>
      </c>
      <c r="B753" s="1832">
        <f>'Expenditures 15-22'!C72</f>
        <v>1559857</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14822311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55352576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6216675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625669</v>
      </c>
      <c r="D775" s="2" t="str">
        <f t="shared" si="11"/>
        <v>Error?</v>
      </c>
    </row>
    <row r="776" spans="1:4" x14ac:dyDescent="0.2">
      <c r="A776" s="5">
        <v>715</v>
      </c>
      <c r="B776" s="1832">
        <f>'Expenditures 15-22'!D14</f>
        <v>214013</v>
      </c>
      <c r="D776" s="2" t="str">
        <f t="shared" si="11"/>
        <v>Error?</v>
      </c>
    </row>
    <row r="777" spans="1:4" x14ac:dyDescent="0.2">
      <c r="A777" s="5">
        <v>716</v>
      </c>
      <c r="B777" s="1832">
        <f>'Expenditures 15-22'!D15</f>
        <v>7492</v>
      </c>
      <c r="D777" s="2" t="str">
        <f t="shared" si="11"/>
        <v>Error?</v>
      </c>
    </row>
    <row r="778" spans="1:4" x14ac:dyDescent="0.2">
      <c r="A778" s="5">
        <v>717</v>
      </c>
      <c r="B778" s="1832">
        <f>'Expenditures 15-22'!D33</f>
        <v>9061188</v>
      </c>
      <c r="C778" s="2" t="s">
        <v>569</v>
      </c>
      <c r="D778" s="2" t="str">
        <f t="shared" si="11"/>
        <v>Error?</v>
      </c>
    </row>
    <row r="779" spans="1:4" x14ac:dyDescent="0.2">
      <c r="A779" s="5">
        <v>718</v>
      </c>
      <c r="B779" s="1832">
        <f>'Expenditures 15-22'!D36</f>
        <v>307821</v>
      </c>
      <c r="D779" s="2" t="str">
        <f t="shared" si="11"/>
        <v>Error?</v>
      </c>
    </row>
    <row r="780" spans="1:4" x14ac:dyDescent="0.2">
      <c r="A780" s="5">
        <v>719</v>
      </c>
      <c r="B780" s="1832">
        <f>'Expenditures 15-22'!D37</f>
        <v>783956</v>
      </c>
      <c r="D780" s="2" t="str">
        <f t="shared" si="11"/>
        <v>Error?</v>
      </c>
    </row>
    <row r="781" spans="1:4" x14ac:dyDescent="0.2">
      <c r="A781" s="5">
        <v>720</v>
      </c>
      <c r="B781" s="1832">
        <f>'Expenditures 15-22'!D38</f>
        <v>124152</v>
      </c>
      <c r="D781" s="2" t="str">
        <f t="shared" si="11"/>
        <v>Error?</v>
      </c>
    </row>
    <row r="782" spans="1:4" x14ac:dyDescent="0.2">
      <c r="A782" s="5">
        <v>721</v>
      </c>
      <c r="B782" s="1832">
        <f>'Expenditures 15-22'!D39</f>
        <v>79010</v>
      </c>
      <c r="D782" s="2" t="str">
        <f t="shared" si="11"/>
        <v>Error?</v>
      </c>
    </row>
    <row r="783" spans="1:4" x14ac:dyDescent="0.2">
      <c r="A783" s="5">
        <v>722</v>
      </c>
      <c r="B783" s="1832">
        <f>'Expenditures 15-22'!D40</f>
        <v>68205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1363144</v>
      </c>
      <c r="C785" s="2" t="s">
        <v>569</v>
      </c>
      <c r="D785" s="2" t="str">
        <f t="shared" si="11"/>
        <v>Error?</v>
      </c>
    </row>
    <row r="786" spans="1:4" x14ac:dyDescent="0.2">
      <c r="A786" s="5">
        <v>725</v>
      </c>
      <c r="B786" s="1832">
        <f>'Expenditures 15-22'!D44</f>
        <v>1085979</v>
      </c>
      <c r="D786" s="2" t="str">
        <f t="shared" si="11"/>
        <v>Error?</v>
      </c>
    </row>
    <row r="787" spans="1:4" x14ac:dyDescent="0.2">
      <c r="A787" s="5">
        <v>726</v>
      </c>
      <c r="B787" s="1832">
        <f>'Expenditures 15-22'!D45</f>
        <v>150072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1236051</v>
      </c>
      <c r="C789" s="2" t="s">
        <v>569</v>
      </c>
      <c r="D789" s="2" t="str">
        <f t="shared" si="11"/>
        <v>Error?</v>
      </c>
    </row>
    <row r="790" spans="1:4" x14ac:dyDescent="0.2">
      <c r="A790" s="5">
        <v>729</v>
      </c>
      <c r="B790" s="1832">
        <f>'Expenditures 15-22'!D49</f>
        <v>23446</v>
      </c>
      <c r="D790" s="2" t="str">
        <f t="shared" si="11"/>
        <v>Error?</v>
      </c>
    </row>
    <row r="791" spans="1:4" x14ac:dyDescent="0.2">
      <c r="A791" s="5">
        <v>730</v>
      </c>
      <c r="B791" s="1832">
        <f>'Expenditures 15-22'!D50</f>
        <v>110324</v>
      </c>
      <c r="D791" s="2" t="str">
        <f t="shared" si="11"/>
        <v>Error?</v>
      </c>
    </row>
    <row r="792" spans="1:4" x14ac:dyDescent="0.2">
      <c r="A792" s="5">
        <v>731</v>
      </c>
      <c r="B792" s="1832">
        <f>'Expenditures 15-22'!D53</f>
        <v>133770</v>
      </c>
      <c r="C792" s="2" t="s">
        <v>569</v>
      </c>
      <c r="D792" s="2" t="str">
        <f t="shared" si="11"/>
        <v>Error?</v>
      </c>
    </row>
    <row r="793" spans="1:4" x14ac:dyDescent="0.2">
      <c r="A793" s="5">
        <v>732</v>
      </c>
      <c r="B793" s="1832">
        <f>'Expenditures 15-22'!D55</f>
        <v>487839</v>
      </c>
      <c r="D793" s="2" t="str">
        <f t="shared" si="11"/>
        <v>Error?</v>
      </c>
    </row>
    <row r="794" spans="1:4" x14ac:dyDescent="0.2">
      <c r="A794" s="5">
        <v>733</v>
      </c>
      <c r="B794" s="1832">
        <f>'Expenditures 15-22'!D56</f>
        <v>215698</v>
      </c>
      <c r="D794" s="2" t="str">
        <f t="shared" si="11"/>
        <v>Error?</v>
      </c>
    </row>
    <row r="795" spans="1:4" x14ac:dyDescent="0.2">
      <c r="A795" s="5">
        <v>734</v>
      </c>
      <c r="B795" s="1832">
        <f>'Expenditures 15-22'!D57</f>
        <v>703537</v>
      </c>
      <c r="C795" s="2" t="s">
        <v>569</v>
      </c>
      <c r="D795" s="2" t="str">
        <f t="shared" si="11"/>
        <v>Error?</v>
      </c>
    </row>
    <row r="796" spans="1:4" x14ac:dyDescent="0.2">
      <c r="A796" s="5">
        <v>735</v>
      </c>
      <c r="B796" s="1832">
        <f>'Expenditures 15-22'!D59</f>
        <v>52785</v>
      </c>
      <c r="D796" s="2" t="str">
        <f t="shared" si="11"/>
        <v>Error?</v>
      </c>
    </row>
    <row r="797" spans="1:4" x14ac:dyDescent="0.2">
      <c r="A797" s="5">
        <v>736</v>
      </c>
      <c r="B797" s="1832">
        <f>'Expenditures 15-22'!D60</f>
        <v>83765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137549</v>
      </c>
      <c r="D800" s="2" t="str">
        <f t="shared" si="11"/>
        <v>Error?</v>
      </c>
    </row>
    <row r="801" spans="1:4" x14ac:dyDescent="0.2">
      <c r="A801" s="5">
        <v>740</v>
      </c>
      <c r="B801" s="1832">
        <f>'Expenditures 15-22'!D64</f>
        <v>1467</v>
      </c>
      <c r="D801" s="2" t="str">
        <f t="shared" si="11"/>
        <v>Error?</v>
      </c>
    </row>
    <row r="802" spans="1:4" x14ac:dyDescent="0.2">
      <c r="A802" s="10">
        <v>741</v>
      </c>
      <c r="B802" s="1832"/>
      <c r="D802" s="2" t="str">
        <f t="shared" si="11"/>
        <v>OK</v>
      </c>
    </row>
    <row r="803" spans="1:4" x14ac:dyDescent="0.2">
      <c r="A803" s="5">
        <v>742</v>
      </c>
      <c r="B803" s="1832">
        <f>'Expenditures 15-22'!D65</f>
        <v>275566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29371</v>
      </c>
      <c r="D806" s="2" t="str">
        <f t="shared" si="11"/>
        <v>Error?</v>
      </c>
    </row>
    <row r="807" spans="1:4" x14ac:dyDescent="0.2">
      <c r="A807" s="5">
        <v>746</v>
      </c>
      <c r="B807" s="1832">
        <f>'Expenditures 15-22'!D70</f>
        <v>110497</v>
      </c>
      <c r="D807" s="2" t="str">
        <f t="shared" si="11"/>
        <v>Error?</v>
      </c>
    </row>
    <row r="808" spans="1:4" x14ac:dyDescent="0.2">
      <c r="A808" s="10">
        <v>747</v>
      </c>
      <c r="B808" s="1832"/>
      <c r="D808" s="2" t="str">
        <f t="shared" si="11"/>
        <v>OK</v>
      </c>
    </row>
    <row r="809" spans="1:4" x14ac:dyDescent="0.2">
      <c r="A809" s="5">
        <v>748</v>
      </c>
      <c r="B809" s="1832">
        <f>'Expenditures 15-22'!D71</f>
        <v>145781</v>
      </c>
      <c r="D809" s="2" t="str">
        <f t="shared" si="11"/>
        <v>Error?</v>
      </c>
    </row>
    <row r="810" spans="1:4" x14ac:dyDescent="0.2">
      <c r="A810" s="10">
        <v>749</v>
      </c>
      <c r="B810" s="1832"/>
      <c r="D810" s="2" t="str">
        <f t="shared" si="11"/>
        <v>OK</v>
      </c>
    </row>
    <row r="811" spans="1:4" x14ac:dyDescent="0.2">
      <c r="A811" s="5">
        <v>750</v>
      </c>
      <c r="B811" s="1832">
        <f>'Expenditures 15-22'!D72</f>
        <v>285649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3997717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13058905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525966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28386</v>
      </c>
      <c r="D833" s="2" t="str">
        <f t="shared" si="12"/>
        <v>Error?</v>
      </c>
    </row>
    <row r="834" spans="1:4" x14ac:dyDescent="0.2">
      <c r="A834" s="5">
        <v>773</v>
      </c>
      <c r="B834" s="1832">
        <f>'Expenditures 15-22'!E14</f>
        <v>551271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1348996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9642</v>
      </c>
      <c r="D838" s="2" t="str">
        <f t="shared" si="12"/>
        <v>Error?</v>
      </c>
    </row>
    <row r="839" spans="1:4" x14ac:dyDescent="0.2">
      <c r="A839" s="5">
        <v>778</v>
      </c>
      <c r="B839" s="1832">
        <f>'Expenditures 15-22'!E38</f>
        <v>39266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48908</v>
      </c>
      <c r="C843" s="2" t="s">
        <v>569</v>
      </c>
      <c r="D843" s="2" t="str">
        <f t="shared" si="12"/>
        <v>Error?</v>
      </c>
    </row>
    <row r="844" spans="1:4" x14ac:dyDescent="0.2">
      <c r="A844" s="5">
        <v>783</v>
      </c>
      <c r="B844" s="1832">
        <f>'Expenditures 15-22'!E44</f>
        <v>345371</v>
      </c>
      <c r="D844" s="2" t="str">
        <f t="shared" si="12"/>
        <v>Error?</v>
      </c>
    </row>
    <row r="845" spans="1:4" x14ac:dyDescent="0.2">
      <c r="A845" s="5">
        <v>784</v>
      </c>
      <c r="B845" s="1832">
        <f>'Expenditures 15-22'!E45</f>
        <v>156277</v>
      </c>
      <c r="D845" s="2" t="str">
        <f t="shared" si="12"/>
        <v>Error?</v>
      </c>
    </row>
    <row r="846" spans="1:4" x14ac:dyDescent="0.2">
      <c r="A846" s="5">
        <v>785</v>
      </c>
      <c r="B846" s="1832">
        <f>'Expenditures 15-22'!E46</f>
        <v>77662</v>
      </c>
      <c r="D846" s="2" t="str">
        <f t="shared" si="12"/>
        <v>Error?</v>
      </c>
    </row>
    <row r="847" spans="1:4" x14ac:dyDescent="0.2">
      <c r="A847" s="5">
        <v>786</v>
      </c>
      <c r="B847" s="1832">
        <f>'Expenditures 15-22'!E47</f>
        <v>579310</v>
      </c>
      <c r="C847" s="2" t="s">
        <v>569</v>
      </c>
      <c r="D847" s="2" t="str">
        <f t="shared" si="12"/>
        <v>Error?</v>
      </c>
    </row>
    <row r="848" spans="1:4" x14ac:dyDescent="0.2">
      <c r="A848" s="5">
        <v>787</v>
      </c>
      <c r="B848" s="1832">
        <f>'Expenditures 15-22'!E49</f>
        <v>342706</v>
      </c>
      <c r="D848" s="2" t="str">
        <f t="shared" si="12"/>
        <v>Error?</v>
      </c>
    </row>
    <row r="849" spans="1:4" x14ac:dyDescent="0.2">
      <c r="A849" s="5">
        <v>788</v>
      </c>
      <c r="B849" s="1832">
        <f>'Expenditures 15-22'!E50</f>
        <v>5267</v>
      </c>
      <c r="D849" s="2" t="str">
        <f t="shared" si="12"/>
        <v>Error?</v>
      </c>
    </row>
    <row r="850" spans="1:4" x14ac:dyDescent="0.2">
      <c r="A850" s="5">
        <v>789</v>
      </c>
      <c r="B850" s="1832">
        <f>'Expenditures 15-22'!E53</f>
        <v>1087911</v>
      </c>
      <c r="C850" s="2" t="s">
        <v>569</v>
      </c>
      <c r="D850" s="2" t="str">
        <f t="shared" si="12"/>
        <v>Error?</v>
      </c>
    </row>
    <row r="851" spans="1:4" x14ac:dyDescent="0.2">
      <c r="A851" s="5">
        <v>790</v>
      </c>
      <c r="B851" s="1832">
        <f>'Expenditures 15-22'!E55</f>
        <v>63369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63369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123108</v>
      </c>
      <c r="D855" s="2" t="str">
        <f t="shared" si="12"/>
        <v>Error?</v>
      </c>
    </row>
    <row r="856" spans="1:4" x14ac:dyDescent="0.2">
      <c r="A856" s="5">
        <v>795</v>
      </c>
      <c r="B856" s="1832">
        <f>'Expenditures 15-22'!E61</f>
        <v>10000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1146677</v>
      </c>
      <c r="D858" s="2" t="str">
        <f t="shared" si="12"/>
        <v>Error?</v>
      </c>
    </row>
    <row r="859" spans="1:4" x14ac:dyDescent="0.2">
      <c r="A859" s="5">
        <v>798</v>
      </c>
      <c r="B859" s="1832">
        <f>'Expenditures 15-22'!E64</f>
        <v>460</v>
      </c>
      <c r="D859" s="2" t="str">
        <f t="shared" si="12"/>
        <v>Error?</v>
      </c>
    </row>
    <row r="860" spans="1:4" x14ac:dyDescent="0.2">
      <c r="A860" s="10">
        <v>799</v>
      </c>
      <c r="B860" s="1832"/>
      <c r="D860" s="2" t="str">
        <f t="shared" si="12"/>
        <v>OK</v>
      </c>
    </row>
    <row r="861" spans="1:4" x14ac:dyDescent="0.2">
      <c r="A861" s="5">
        <v>800</v>
      </c>
      <c r="B861" s="1832">
        <f>'Expenditures 15-22'!E65</f>
        <v>1280245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29971</v>
      </c>
      <c r="D864" s="2" t="str">
        <f t="shared" si="12"/>
        <v>Error?</v>
      </c>
    </row>
    <row r="865" spans="1:4" x14ac:dyDescent="0.2">
      <c r="A865" s="5">
        <v>804</v>
      </c>
      <c r="B865" s="1832">
        <f>'Expenditures 15-22'!E70</f>
        <v>44708</v>
      </c>
      <c r="D865" s="2" t="str">
        <f t="shared" si="12"/>
        <v>Error?</v>
      </c>
    </row>
    <row r="866" spans="1:4" x14ac:dyDescent="0.2">
      <c r="A866" s="10">
        <v>805</v>
      </c>
      <c r="B866" s="1832"/>
      <c r="D866" s="2" t="str">
        <f t="shared" si="12"/>
        <v>OK</v>
      </c>
    </row>
    <row r="867" spans="1:4" x14ac:dyDescent="0.2">
      <c r="A867" s="5">
        <v>806</v>
      </c>
      <c r="B867" s="1832">
        <f>'Expenditures 15-22'!E71</f>
        <v>576696</v>
      </c>
      <c r="D867" s="2" t="str">
        <f t="shared" si="12"/>
        <v>Error?</v>
      </c>
    </row>
    <row r="868" spans="1:4" x14ac:dyDescent="0.2">
      <c r="A868" s="10">
        <v>807</v>
      </c>
      <c r="B868" s="1832"/>
      <c r="D868" s="2" t="str">
        <f t="shared" si="12"/>
        <v>OK</v>
      </c>
    </row>
    <row r="869" spans="1:4" x14ac:dyDescent="0.2">
      <c r="A869" s="5">
        <v>808</v>
      </c>
      <c r="B869" s="1832">
        <f>'Expenditures 15-22'!E72</f>
        <v>651375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3711118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5184321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843447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42732</v>
      </c>
      <c r="D891" s="2" t="str">
        <f t="shared" si="12"/>
        <v>Error?</v>
      </c>
    </row>
    <row r="892" spans="1:4" x14ac:dyDescent="0.2">
      <c r="A892" s="5">
        <v>831</v>
      </c>
      <c r="B892" s="1832">
        <f>'Expenditures 15-22'!F14</f>
        <v>456497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1535807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40892</v>
      </c>
      <c r="D896" s="2" t="str">
        <f t="shared" si="13"/>
        <v>Error?</v>
      </c>
    </row>
    <row r="897" spans="1:4" x14ac:dyDescent="0.2">
      <c r="A897" s="5">
        <v>836</v>
      </c>
      <c r="B897" s="1832">
        <f>'Expenditures 15-22'!F38</f>
        <v>31001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71893</v>
      </c>
      <c r="C901" s="2" t="s">
        <v>569</v>
      </c>
      <c r="D901" s="2" t="str">
        <f t="shared" si="13"/>
        <v>Error?</v>
      </c>
    </row>
    <row r="902" spans="1:4" x14ac:dyDescent="0.2">
      <c r="A902" s="5">
        <v>841</v>
      </c>
      <c r="B902" s="1832">
        <f>'Expenditures 15-22'!F44</f>
        <v>4691</v>
      </c>
      <c r="D902" s="2" t="str">
        <f t="shared" si="13"/>
        <v>Error?</v>
      </c>
    </row>
    <row r="903" spans="1:4" x14ac:dyDescent="0.2">
      <c r="A903" s="5">
        <v>842</v>
      </c>
      <c r="B903" s="1832">
        <f>'Expenditures 15-22'!F45</f>
        <v>93342</v>
      </c>
      <c r="D903" s="2" t="str">
        <f t="shared" si="13"/>
        <v>Error?</v>
      </c>
    </row>
    <row r="904" spans="1:4" x14ac:dyDescent="0.2">
      <c r="A904" s="5">
        <v>843</v>
      </c>
      <c r="B904" s="1832">
        <f>'Expenditures 15-22'!F46</f>
        <v>266679</v>
      </c>
      <c r="D904" s="2" t="str">
        <f t="shared" si="13"/>
        <v>Error?</v>
      </c>
    </row>
    <row r="905" spans="1:4" x14ac:dyDescent="0.2">
      <c r="A905" s="5">
        <v>844</v>
      </c>
      <c r="B905" s="1832">
        <f>'Expenditures 15-22'!F47</f>
        <v>364712</v>
      </c>
      <c r="C905" s="2" t="s">
        <v>569</v>
      </c>
      <c r="D905" s="2" t="str">
        <f t="shared" si="13"/>
        <v>Error?</v>
      </c>
    </row>
    <row r="906" spans="1:4" x14ac:dyDescent="0.2">
      <c r="A906" s="5">
        <v>845</v>
      </c>
      <c r="B906" s="1832">
        <f>'Expenditures 15-22'!F49</f>
        <v>33262</v>
      </c>
      <c r="D906" s="2" t="str">
        <f t="shared" si="13"/>
        <v>Error?</v>
      </c>
    </row>
    <row r="907" spans="1:4" x14ac:dyDescent="0.2">
      <c r="A907" s="5">
        <v>846</v>
      </c>
      <c r="B907" s="1832">
        <f>'Expenditures 15-22'!F50</f>
        <v>10347</v>
      </c>
      <c r="D907" s="2" t="str">
        <f t="shared" si="13"/>
        <v>Error?</v>
      </c>
    </row>
    <row r="908" spans="1:4" x14ac:dyDescent="0.2">
      <c r="A908" s="5">
        <v>847</v>
      </c>
      <c r="B908" s="1832">
        <f>'Expenditures 15-22'!F53</f>
        <v>43609</v>
      </c>
      <c r="C908" s="2" t="s">
        <v>569</v>
      </c>
      <c r="D908" s="2" t="str">
        <f t="shared" si="13"/>
        <v>Error?</v>
      </c>
    </row>
    <row r="909" spans="1:4" x14ac:dyDescent="0.2">
      <c r="A909" s="5">
        <v>848</v>
      </c>
      <c r="B909" s="1832">
        <f>'Expenditures 15-22'!F55</f>
        <v>112191</v>
      </c>
      <c r="D909" s="2" t="str">
        <f t="shared" si="13"/>
        <v>Error?</v>
      </c>
    </row>
    <row r="910" spans="1:4" x14ac:dyDescent="0.2">
      <c r="A910" s="5">
        <v>849</v>
      </c>
      <c r="B910" s="1832">
        <f>'Expenditures 15-22'!F56</f>
        <v>910</v>
      </c>
      <c r="D910" s="2" t="str">
        <f t="shared" si="13"/>
        <v>Error?</v>
      </c>
    </row>
    <row r="911" spans="1:4" x14ac:dyDescent="0.2">
      <c r="A911" s="5">
        <v>850</v>
      </c>
      <c r="B911" s="1832">
        <f>'Expenditures 15-22'!F57</f>
        <v>113101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91347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66218</v>
      </c>
      <c r="D916" s="2" t="str">
        <f t="shared" si="13"/>
        <v>Error?</v>
      </c>
    </row>
    <row r="917" spans="1:4" x14ac:dyDescent="0.2">
      <c r="A917" s="5">
        <v>856</v>
      </c>
      <c r="B917" s="1832">
        <f>'Expenditures 15-22'!F64</f>
        <v>23506</v>
      </c>
      <c r="D917" s="2" t="str">
        <f t="shared" si="13"/>
        <v>Error?</v>
      </c>
    </row>
    <row r="918" spans="1:4" x14ac:dyDescent="0.2">
      <c r="A918" s="10">
        <v>857</v>
      </c>
      <c r="B918" s="1832"/>
      <c r="D918" s="2" t="str">
        <f t="shared" si="13"/>
        <v>OK</v>
      </c>
    </row>
    <row r="919" spans="1:4" x14ac:dyDescent="0.2">
      <c r="A919" s="5">
        <v>858</v>
      </c>
      <c r="B919" s="1832">
        <f>'Expenditures 15-22'!F65</f>
        <v>181071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723</v>
      </c>
      <c r="D922" s="2" t="str">
        <f t="shared" si="13"/>
        <v>Error?</v>
      </c>
    </row>
    <row r="923" spans="1:4" x14ac:dyDescent="0.2">
      <c r="A923" s="5">
        <v>862</v>
      </c>
      <c r="B923" s="1832">
        <f>'Expenditures 15-22'!F70</f>
        <v>32853</v>
      </c>
      <c r="D923" s="2" t="str">
        <f t="shared" si="13"/>
        <v>Error?</v>
      </c>
    </row>
    <row r="924" spans="1:4" x14ac:dyDescent="0.2">
      <c r="A924" s="10">
        <v>863</v>
      </c>
      <c r="B924" s="1832"/>
      <c r="D924" s="2" t="str">
        <f t="shared" si="13"/>
        <v>OK</v>
      </c>
    </row>
    <row r="925" spans="1:4" x14ac:dyDescent="0.2">
      <c r="A925" s="5">
        <v>864</v>
      </c>
      <c r="B925" s="1832">
        <f>'Expenditures 15-22'!F71</f>
        <v>215127</v>
      </c>
      <c r="D925" s="2" t="str">
        <f t="shared" si="13"/>
        <v>Error?</v>
      </c>
    </row>
    <row r="926" spans="1:4" x14ac:dyDescent="0.2">
      <c r="A926" s="10">
        <v>865</v>
      </c>
      <c r="B926" s="1832"/>
      <c r="D926" s="2" t="str">
        <f t="shared" si="13"/>
        <v>OK</v>
      </c>
    </row>
    <row r="927" spans="1:4" x14ac:dyDescent="0.2">
      <c r="A927" s="5">
        <v>866</v>
      </c>
      <c r="B927" s="1832">
        <f>'Expenditures 15-22'!F72</f>
        <v>248703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1023089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2558896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11830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57073</v>
      </c>
      <c r="D949" s="2" t="str">
        <f t="shared" si="13"/>
        <v>Error?</v>
      </c>
    </row>
    <row r="950" spans="1:4" x14ac:dyDescent="0.2">
      <c r="A950" s="5">
        <v>889</v>
      </c>
      <c r="B950" s="1832">
        <f>'Expenditures 15-22'!G14</f>
        <v>12615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81518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18852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18852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110325</v>
      </c>
      <c r="D983" s="2" t="str">
        <f t="shared" si="14"/>
        <v>Error?</v>
      </c>
    </row>
    <row r="984" spans="1:4" x14ac:dyDescent="0.2">
      <c r="A984" s="10">
        <v>923</v>
      </c>
      <c r="B984" s="1832"/>
      <c r="D984" s="2" t="str">
        <f t="shared" si="14"/>
        <v>OK</v>
      </c>
    </row>
    <row r="985" spans="1:4" x14ac:dyDescent="0.2">
      <c r="A985" s="5">
        <v>924</v>
      </c>
      <c r="B985" s="1832">
        <f>'Expenditures 15-22'!G72</f>
        <v>110325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129177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210695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11291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310742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1217279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1508</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1508</v>
      </c>
      <c r="C1017" s="2" t="s">
        <v>569</v>
      </c>
      <c r="D1017" s="2" t="str">
        <f t="shared" si="14"/>
        <v>Error?</v>
      </c>
    </row>
    <row r="1018" spans="1:4" x14ac:dyDescent="0.2">
      <c r="A1018" s="5">
        <v>957</v>
      </c>
      <c r="B1018" s="1832">
        <f>'Expenditures 15-22'!H44</f>
        <v>200</v>
      </c>
      <c r="D1018" s="2" t="str">
        <f t="shared" si="14"/>
        <v>Error?</v>
      </c>
    </row>
    <row r="1019" spans="1:4" x14ac:dyDescent="0.2">
      <c r="A1019" s="5">
        <v>958</v>
      </c>
      <c r="B1019" s="1832">
        <f>'Expenditures 15-22'!H45</f>
        <v>65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265</v>
      </c>
      <c r="C1021" s="2" t="s">
        <v>569</v>
      </c>
      <c r="D1021" s="2" t="str">
        <f t="shared" si="14"/>
        <v>Error?</v>
      </c>
    </row>
    <row r="1022" spans="1:4" x14ac:dyDescent="0.2">
      <c r="A1022" s="5">
        <v>961</v>
      </c>
      <c r="B1022" s="1832">
        <f>'Expenditures 15-22'!H49</f>
        <v>15939</v>
      </c>
      <c r="D1022" s="2" t="str">
        <f t="shared" si="14"/>
        <v>Error?</v>
      </c>
    </row>
    <row r="1023" spans="1:4" x14ac:dyDescent="0.2">
      <c r="A1023" s="5">
        <v>962</v>
      </c>
      <c r="B1023" s="1832">
        <f>'Expenditures 15-22'!H50</f>
        <v>4642</v>
      </c>
      <c r="D1023" s="2" t="str">
        <f t="shared" ref="D1023:D1086" si="15">IF(ISBLANK(B1023),"OK",IF(A1023-B1023=0,"OK","Error?"))</f>
        <v>Error?</v>
      </c>
    </row>
    <row r="1024" spans="1:4" x14ac:dyDescent="0.2">
      <c r="A1024" s="5">
        <v>963</v>
      </c>
      <c r="B1024" s="1832">
        <f>'Expenditures 15-22'!H53</f>
        <v>20581</v>
      </c>
      <c r="C1024" s="2" t="s">
        <v>569</v>
      </c>
      <c r="D1024" s="2" t="str">
        <f t="shared" si="15"/>
        <v>Error?</v>
      </c>
    </row>
    <row r="1025" spans="1:4" x14ac:dyDescent="0.2">
      <c r="A1025" s="5">
        <v>964</v>
      </c>
      <c r="B1025" s="1832">
        <f>'Expenditures 15-22'!H55</f>
        <v>6544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6544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2104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620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2724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707</v>
      </c>
      <c r="D1038" s="2" t="str">
        <f t="shared" si="15"/>
        <v>Error?</v>
      </c>
    </row>
    <row r="1039" spans="1:4" x14ac:dyDescent="0.2">
      <c r="A1039" s="5">
        <v>978</v>
      </c>
      <c r="B1039" s="1832">
        <f>'Expenditures 15-22'!H70</f>
        <v>787</v>
      </c>
      <c r="D1039" s="2" t="str">
        <f t="shared" si="15"/>
        <v>Error?</v>
      </c>
    </row>
    <row r="1040" spans="1:4" x14ac:dyDescent="0.2">
      <c r="A1040" s="10">
        <v>979</v>
      </c>
      <c r="B1040" s="1832"/>
      <c r="D1040" s="2" t="str">
        <f t="shared" si="15"/>
        <v>OK</v>
      </c>
    </row>
    <row r="1041" spans="1:5" x14ac:dyDescent="0.2">
      <c r="A1041" s="5">
        <v>980</v>
      </c>
      <c r="B1041" s="1832">
        <f>'Expenditures 15-22'!H71</f>
        <v>200</v>
      </c>
      <c r="D1041" s="2" t="str">
        <f t="shared" si="15"/>
        <v>Error?</v>
      </c>
    </row>
    <row r="1042" spans="1:5" x14ac:dyDescent="0.2">
      <c r="A1042" s="10">
        <v>981</v>
      </c>
      <c r="B1042" s="1832"/>
      <c r="D1042" s="2" t="str">
        <f t="shared" si="15"/>
        <v>OK</v>
      </c>
    </row>
    <row r="1043" spans="1:5" x14ac:dyDescent="0.2">
      <c r="A1043" s="5">
        <v>982</v>
      </c>
      <c r="B1043" s="1832">
        <f>'Expenditures 15-22'!H72</f>
        <v>1694</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33316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4493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1255088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34678693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3494464</v>
      </c>
      <c r="C1105" s="2" t="s">
        <v>569</v>
      </c>
      <c r="D1105" s="2" t="str">
        <f t="shared" si="16"/>
        <v>Error?</v>
      </c>
    </row>
    <row r="1106" spans="1:4" x14ac:dyDescent="0.2">
      <c r="A1106" s="5">
        <v>1045</v>
      </c>
      <c r="B1106" s="1832">
        <f>'Expenditures 15-22'!K14</f>
        <v>4589198</v>
      </c>
      <c r="C1106" s="2" t="s">
        <v>569</v>
      </c>
      <c r="D1106" s="2" t="str">
        <f t="shared" si="16"/>
        <v>Error?</v>
      </c>
    </row>
    <row r="1107" spans="1:4" x14ac:dyDescent="0.2">
      <c r="A1107" s="5">
        <v>1046</v>
      </c>
      <c r="B1107" s="1832">
        <f>'Expenditures 15-22'!K15</f>
        <v>100006</v>
      </c>
      <c r="C1107" s="2" t="s">
        <v>569</v>
      </c>
      <c r="D1107" s="2" t="str">
        <f t="shared" si="16"/>
        <v>Error?</v>
      </c>
    </row>
    <row r="1108" spans="1:4" x14ac:dyDescent="0.2">
      <c r="A1108" s="5">
        <v>1047</v>
      </c>
      <c r="B1108" s="1832">
        <f>'Expenditures 15-22'!K33</f>
        <v>54037524</v>
      </c>
      <c r="C1108" s="2" t="s">
        <v>569</v>
      </c>
      <c r="D1108" s="2" t="str">
        <f t="shared" si="16"/>
        <v>Error?</v>
      </c>
    </row>
    <row r="1109" spans="1:4" x14ac:dyDescent="0.2">
      <c r="A1109" s="5">
        <v>1048</v>
      </c>
      <c r="B1109" s="1832">
        <f>'Expenditures 15-22'!K36</f>
        <v>1676405</v>
      </c>
      <c r="C1109" s="2" t="s">
        <v>569</v>
      </c>
      <c r="D1109" s="2" t="str">
        <f t="shared" si="16"/>
        <v>Error?</v>
      </c>
    </row>
    <row r="1110" spans="1:4" x14ac:dyDescent="0.2">
      <c r="A1110" s="5">
        <v>1049</v>
      </c>
      <c r="B1110" s="1832">
        <f>'Expenditures 15-22'!K37</f>
        <v>3770900</v>
      </c>
      <c r="C1110" s="2" t="s">
        <v>569</v>
      </c>
      <c r="D1110" s="2" t="str">
        <f t="shared" si="16"/>
        <v>Error?</v>
      </c>
    </row>
    <row r="1111" spans="1:4" x14ac:dyDescent="0.2">
      <c r="A1111" s="5">
        <v>1050</v>
      </c>
      <c r="B1111" s="1832">
        <f>'Expenditures 15-22'!K38</f>
        <v>735223</v>
      </c>
      <c r="C1111" s="2" t="s">
        <v>569</v>
      </c>
      <c r="D1111" s="2" t="str">
        <f t="shared" si="16"/>
        <v>Error?</v>
      </c>
    </row>
    <row r="1112" spans="1:4" x14ac:dyDescent="0.2">
      <c r="A1112" s="5">
        <v>1051</v>
      </c>
      <c r="B1112" s="1832">
        <f>'Expenditures 15-22'!K39</f>
        <v>547820</v>
      </c>
      <c r="C1112" s="2" t="s">
        <v>569</v>
      </c>
      <c r="D1112" s="2" t="str">
        <f t="shared" si="16"/>
        <v>Error?</v>
      </c>
    </row>
    <row r="1113" spans="1:4" x14ac:dyDescent="0.2">
      <c r="A1113" s="5">
        <v>1052</v>
      </c>
      <c r="B1113" s="1832">
        <f>'Expenditures 15-22'!K40</f>
        <v>457194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7187542</v>
      </c>
      <c r="C1115" s="2" t="s">
        <v>569</v>
      </c>
      <c r="D1115" s="2" t="str">
        <f t="shared" si="16"/>
        <v>Error?</v>
      </c>
    </row>
    <row r="1116" spans="1:4" x14ac:dyDescent="0.2">
      <c r="A1116" s="5">
        <v>1055</v>
      </c>
      <c r="B1116" s="1832">
        <f>'Expenditures 15-22'!K44</f>
        <v>4735540</v>
      </c>
      <c r="C1116" s="2" t="s">
        <v>569</v>
      </c>
      <c r="D1116" s="2" t="str">
        <f t="shared" si="16"/>
        <v>Error?</v>
      </c>
    </row>
    <row r="1117" spans="1:4" x14ac:dyDescent="0.2">
      <c r="A1117" s="5">
        <v>1056</v>
      </c>
      <c r="B1117" s="1832">
        <f>'Expenditures 15-22'!K45</f>
        <v>1024624</v>
      </c>
      <c r="C1117" s="2" t="s">
        <v>569</v>
      </c>
      <c r="D1117" s="2" t="str">
        <f t="shared" si="16"/>
        <v>Error?</v>
      </c>
    </row>
    <row r="1118" spans="1:4" x14ac:dyDescent="0.2">
      <c r="A1118" s="5">
        <v>1057</v>
      </c>
      <c r="B1118" s="1832">
        <f>'Expenditures 15-22'!K46</f>
        <v>344341</v>
      </c>
      <c r="C1118" s="2" t="s">
        <v>569</v>
      </c>
      <c r="D1118" s="2" t="str">
        <f t="shared" si="16"/>
        <v>Error?</v>
      </c>
    </row>
    <row r="1119" spans="1:4" x14ac:dyDescent="0.2">
      <c r="A1119" s="5">
        <v>1058</v>
      </c>
      <c r="B1119" s="1832">
        <f>'Expenditures 15-22'!K47</f>
        <v>6104505</v>
      </c>
      <c r="C1119" s="2" t="s">
        <v>569</v>
      </c>
      <c r="D1119" s="2" t="str">
        <f t="shared" si="16"/>
        <v>Error?</v>
      </c>
    </row>
    <row r="1120" spans="1:4" x14ac:dyDescent="0.2">
      <c r="A1120" s="5">
        <v>1059</v>
      </c>
      <c r="B1120" s="1832">
        <f>'Expenditures 15-22'!K49</f>
        <v>500261</v>
      </c>
      <c r="C1120" s="2" t="s">
        <v>569</v>
      </c>
      <c r="D1120" s="2" t="str">
        <f t="shared" si="16"/>
        <v>Error?</v>
      </c>
    </row>
    <row r="1121" spans="1:4" x14ac:dyDescent="0.2">
      <c r="A1121" s="5">
        <v>1060</v>
      </c>
      <c r="B1121" s="1832">
        <f>'Expenditures 15-22'!K50</f>
        <v>514777</v>
      </c>
      <c r="C1121" s="2" t="s">
        <v>569</v>
      </c>
      <c r="D1121" s="2" t="str">
        <f t="shared" si="16"/>
        <v>Error?</v>
      </c>
    </row>
    <row r="1122" spans="1:4" x14ac:dyDescent="0.2">
      <c r="A1122" s="5">
        <v>1061</v>
      </c>
      <c r="B1122" s="1832">
        <f>'Expenditures 15-22'!K53</f>
        <v>1754976</v>
      </c>
      <c r="C1122" s="2" t="s">
        <v>569</v>
      </c>
      <c r="D1122" s="2" t="str">
        <f t="shared" si="16"/>
        <v>Error?</v>
      </c>
    </row>
    <row r="1123" spans="1:4" x14ac:dyDescent="0.2">
      <c r="A1123" s="5">
        <v>1062</v>
      </c>
      <c r="B1123" s="1832">
        <f>'Expenditures 15-22'!K55</f>
        <v>2254382</v>
      </c>
      <c r="C1123" s="2" t="s">
        <v>569</v>
      </c>
      <c r="D1123" s="2" t="str">
        <f t="shared" si="16"/>
        <v>Error?</v>
      </c>
    </row>
    <row r="1124" spans="1:4" x14ac:dyDescent="0.2">
      <c r="A1124" s="5">
        <v>1063</v>
      </c>
      <c r="B1124" s="1832">
        <f>'Expenditures 15-22'!K56</f>
        <v>948293</v>
      </c>
      <c r="C1124" s="2" t="s">
        <v>569</v>
      </c>
      <c r="D1124" s="2" t="str">
        <f t="shared" si="16"/>
        <v>Error?</v>
      </c>
    </row>
    <row r="1125" spans="1:4" x14ac:dyDescent="0.2">
      <c r="A1125" s="5">
        <v>1064</v>
      </c>
      <c r="B1125" s="1832">
        <f>'Expenditures 15-22'!K57</f>
        <v>3202675</v>
      </c>
      <c r="C1125" s="2" t="s">
        <v>569</v>
      </c>
      <c r="D1125" s="2" t="str">
        <f t="shared" si="16"/>
        <v>Error?</v>
      </c>
    </row>
    <row r="1126" spans="1:4" x14ac:dyDescent="0.2">
      <c r="A1126" s="5">
        <v>1065</v>
      </c>
      <c r="B1126" s="1832">
        <f>'Expenditures 15-22'!K59</f>
        <v>212242</v>
      </c>
      <c r="C1126" s="2" t="s">
        <v>569</v>
      </c>
      <c r="D1126" s="2" t="str">
        <f t="shared" si="16"/>
        <v>Error?</v>
      </c>
    </row>
    <row r="1127" spans="1:4" x14ac:dyDescent="0.2">
      <c r="A1127" s="5">
        <v>1066</v>
      </c>
      <c r="B1127" s="1832">
        <f>'Expenditures 15-22'!K60</f>
        <v>699000</v>
      </c>
      <c r="C1127" s="2" t="s">
        <v>569</v>
      </c>
      <c r="D1127" s="2" t="str">
        <f t="shared" si="16"/>
        <v>Error?</v>
      </c>
    </row>
    <row r="1128" spans="1:4" x14ac:dyDescent="0.2">
      <c r="A1128" s="5">
        <v>1067</v>
      </c>
      <c r="B1128" s="1832">
        <f>'Expenditures 15-22'!K61</f>
        <v>10000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1646161</v>
      </c>
      <c r="C1130" s="2" t="s">
        <v>569</v>
      </c>
      <c r="D1130" s="2" t="str">
        <f t="shared" si="16"/>
        <v>Error?</v>
      </c>
    </row>
    <row r="1131" spans="1:4" x14ac:dyDescent="0.2">
      <c r="A1131" s="5">
        <v>1070</v>
      </c>
      <c r="B1131" s="1832">
        <f>'Expenditures 15-22'!K64</f>
        <v>66003</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2633406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208338</v>
      </c>
      <c r="C1136" s="2" t="s">
        <v>569</v>
      </c>
      <c r="D1136" s="2" t="str">
        <f t="shared" si="16"/>
        <v>Error?</v>
      </c>
    </row>
    <row r="1137" spans="1:4" x14ac:dyDescent="0.2">
      <c r="A1137" s="5">
        <v>1076</v>
      </c>
      <c r="B1137" s="1832">
        <f>'Expenditures 15-22'!K70</f>
        <v>548179</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3516666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4273183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25156287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128700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79322511</v>
      </c>
      <c r="C1152" s="2" t="s">
        <v>569</v>
      </c>
      <c r="D1152" s="2" t="str">
        <f t="shared" si="17"/>
        <v>Error?</v>
      </c>
    </row>
    <row r="1153" spans="1:4" x14ac:dyDescent="0.2">
      <c r="A1153" s="5">
        <v>1092</v>
      </c>
      <c r="B1153" s="1832">
        <f>'Expenditures 15-22'!K115</f>
        <v>3899296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2548281</v>
      </c>
      <c r="D1221" s="2" t="str">
        <f t="shared" si="18"/>
        <v>Error?</v>
      </c>
    </row>
    <row r="1222" spans="1:4" x14ac:dyDescent="0.2">
      <c r="A1222" s="10">
        <v>1161</v>
      </c>
      <c r="B1222" s="1832"/>
      <c r="D1222" s="2" t="str">
        <f t="shared" si="18"/>
        <v>OK</v>
      </c>
    </row>
    <row r="1223" spans="1:4" x14ac:dyDescent="0.2">
      <c r="A1223" s="5">
        <v>1162</v>
      </c>
      <c r="B1223" s="1832">
        <f>'Expenditures 15-22'!C127</f>
        <v>2548281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2548281</v>
      </c>
      <c r="C1225" s="2" t="s">
        <v>569</v>
      </c>
      <c r="D1225" s="2" t="str">
        <f t="shared" si="18"/>
        <v>Error?</v>
      </c>
    </row>
    <row r="1226" spans="1:4" x14ac:dyDescent="0.2">
      <c r="A1226" s="5">
        <v>1165</v>
      </c>
      <c r="B1226" s="1832">
        <f>'Expenditures 15-22'!C151</f>
        <v>2548281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593206</v>
      </c>
      <c r="D1229" s="2" t="str">
        <f t="shared" si="18"/>
        <v>Error?</v>
      </c>
    </row>
    <row r="1230" spans="1:4" x14ac:dyDescent="0.2">
      <c r="A1230" s="10">
        <v>1169</v>
      </c>
      <c r="B1230" s="1832"/>
      <c r="D1230" s="2" t="str">
        <f t="shared" si="18"/>
        <v>OK</v>
      </c>
    </row>
    <row r="1231" spans="1:4" x14ac:dyDescent="0.2">
      <c r="A1231" s="5">
        <v>1170</v>
      </c>
      <c r="B1231" s="1832">
        <f>'Expenditures 15-22'!D127</f>
        <v>593206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593206</v>
      </c>
      <c r="C1233" s="2" t="s">
        <v>569</v>
      </c>
      <c r="D1233" s="2" t="str">
        <f t="shared" si="18"/>
        <v>Error?</v>
      </c>
    </row>
    <row r="1234" spans="1:4" x14ac:dyDescent="0.2">
      <c r="A1234" s="5">
        <v>1173</v>
      </c>
      <c r="B1234" s="1832">
        <f>'Expenditures 15-22'!D151</f>
        <v>593206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3260</v>
      </c>
      <c r="D1236" s="2" t="str">
        <f t="shared" si="18"/>
        <v>Error?</v>
      </c>
    </row>
    <row r="1237" spans="1:4" x14ac:dyDescent="0.2">
      <c r="A1237" s="5">
        <v>1176</v>
      </c>
      <c r="B1237" s="1832">
        <f>'Expenditures 15-22'!E124</f>
        <v>1664299</v>
      </c>
      <c r="D1237" s="2" t="str">
        <f t="shared" si="18"/>
        <v>Error?</v>
      </c>
    </row>
    <row r="1238" spans="1:4" x14ac:dyDescent="0.2">
      <c r="A1238" s="10">
        <v>1177</v>
      </c>
      <c r="B1238" s="1832"/>
      <c r="D1238" s="2" t="str">
        <f t="shared" si="18"/>
        <v>OK</v>
      </c>
    </row>
    <row r="1239" spans="1:4" x14ac:dyDescent="0.2">
      <c r="A1239" s="5">
        <v>1178</v>
      </c>
      <c r="B1239" s="1832">
        <f>'Expenditures 15-22'!E127</f>
        <v>1667559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1667559</v>
      </c>
      <c r="C1241" s="2" t="s">
        <v>569</v>
      </c>
      <c r="D1241" s="2" t="str">
        <f t="shared" si="18"/>
        <v>Error?</v>
      </c>
    </row>
    <row r="1242" spans="1:4" x14ac:dyDescent="0.2">
      <c r="A1242" s="5">
        <v>1181</v>
      </c>
      <c r="B1242" s="1832">
        <f>'Expenditures 15-22'!E151</f>
        <v>1667559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1771321</v>
      </c>
      <c r="D1245" s="2" t="str">
        <f t="shared" si="18"/>
        <v>Error?</v>
      </c>
    </row>
    <row r="1246" spans="1:4" x14ac:dyDescent="0.2">
      <c r="A1246" s="10">
        <v>1185</v>
      </c>
      <c r="B1246" s="1832"/>
      <c r="D1246" s="2" t="str">
        <f t="shared" si="18"/>
        <v>OK</v>
      </c>
    </row>
    <row r="1247" spans="1:4" x14ac:dyDescent="0.2">
      <c r="A1247" s="5">
        <v>1186</v>
      </c>
      <c r="B1247" s="1832">
        <f>'Expenditures 15-22'!F127</f>
        <v>1771321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1771321</v>
      </c>
      <c r="C1249" s="2" t="s">
        <v>569</v>
      </c>
      <c r="D1249" s="2" t="str">
        <f t="shared" si="18"/>
        <v>Error?</v>
      </c>
    </row>
    <row r="1250" spans="1:4" x14ac:dyDescent="0.2">
      <c r="A1250" s="5">
        <v>1189</v>
      </c>
      <c r="B1250" s="1832">
        <f>'Expenditures 15-22'!F151</f>
        <v>1771321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217141</v>
      </c>
      <c r="D1252" s="2" t="str">
        <f t="shared" si="18"/>
        <v>Error?</v>
      </c>
    </row>
    <row r="1253" spans="1:4" x14ac:dyDescent="0.2">
      <c r="A1253" s="5">
        <v>1192</v>
      </c>
      <c r="B1253" s="1832">
        <f>'Expenditures 15-22'!G124</f>
        <v>233539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450680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450680</v>
      </c>
      <c r="C1258" s="2" t="s">
        <v>569</v>
      </c>
      <c r="D1258" s="2" t="str">
        <f t="shared" si="18"/>
        <v>Error?</v>
      </c>
    </row>
    <row r="1259" spans="1:4" x14ac:dyDescent="0.2">
      <c r="A1259" s="5">
        <v>1198</v>
      </c>
      <c r="B1259" s="1832">
        <f>'Expenditures 15-22'!G151</f>
        <v>450680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238095</v>
      </c>
      <c r="C1275" s="2" t="s">
        <v>569</v>
      </c>
      <c r="D1275" s="2" t="str">
        <f t="shared" si="18"/>
        <v>Error?</v>
      </c>
    </row>
    <row r="1276" spans="1:4" x14ac:dyDescent="0.2">
      <c r="A1276" s="5">
        <v>1215</v>
      </c>
      <c r="B1276" s="1832">
        <f>'Expenditures 15-22'!K124</f>
        <v>6902452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7140547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7140547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7140547</v>
      </c>
      <c r="C1288" s="2" t="s">
        <v>569</v>
      </c>
      <c r="D1288" s="2" t="str">
        <f t="shared" si="19"/>
        <v>Error?</v>
      </c>
    </row>
    <row r="1289" spans="1:4" x14ac:dyDescent="0.2">
      <c r="A1289" s="5">
        <v>1228</v>
      </c>
      <c r="B1289" s="1832">
        <f>'Expenditures 15-22'!K152</f>
        <v>-1589056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574650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795000</v>
      </c>
      <c r="D1315" s="2" t="str">
        <f t="shared" si="19"/>
        <v>Error?</v>
      </c>
    </row>
    <row r="1316" spans="1:4" x14ac:dyDescent="0.2">
      <c r="A1316" s="5">
        <v>1255</v>
      </c>
      <c r="B1316" s="1832">
        <f>'Expenditures 15-22'!H171</f>
        <v>689</v>
      </c>
      <c r="D1316" s="2" t="str">
        <f t="shared" si="19"/>
        <v>Error?</v>
      </c>
    </row>
    <row r="1317" spans="1:4" x14ac:dyDescent="0.2">
      <c r="A1317" s="5">
        <v>1256</v>
      </c>
      <c r="B1317" s="1832">
        <f>'Expenditures 15-22'!H172</f>
        <v>1370339</v>
      </c>
      <c r="C1317" s="2" t="s">
        <v>569</v>
      </c>
      <c r="D1317" s="2" t="str">
        <f t="shared" si="19"/>
        <v>Error?</v>
      </c>
    </row>
    <row r="1318" spans="1:4" x14ac:dyDescent="0.2">
      <c r="A1318" s="5">
        <v>1257</v>
      </c>
      <c r="B1318" s="1832">
        <f>'Expenditures 15-22'!H174</f>
        <v>1370339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574650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795000</v>
      </c>
      <c r="C1329" s="2" t="s">
        <v>569</v>
      </c>
      <c r="D1329" s="2" t="str">
        <f t="shared" si="19"/>
        <v>Error?</v>
      </c>
    </row>
    <row r="1330" spans="1:4" x14ac:dyDescent="0.2">
      <c r="A1330" s="5">
        <v>1269</v>
      </c>
      <c r="B1330" s="1832">
        <f>'Expenditures 15-22'!K171</f>
        <v>689</v>
      </c>
      <c r="C1330" s="2" t="s">
        <v>569</v>
      </c>
      <c r="D1330" s="2" t="str">
        <f t="shared" si="19"/>
        <v>Error?</v>
      </c>
    </row>
    <row r="1331" spans="1:4" x14ac:dyDescent="0.2">
      <c r="A1331" s="5">
        <v>1270</v>
      </c>
      <c r="B1331" s="1832">
        <f>'Expenditures 15-22'!K172</f>
        <v>1370339</v>
      </c>
      <c r="C1331" s="2" t="s">
        <v>569</v>
      </c>
      <c r="D1331" s="2" t="str">
        <f t="shared" si="19"/>
        <v>Error?</v>
      </c>
    </row>
    <row r="1332" spans="1:4" x14ac:dyDescent="0.2">
      <c r="A1332" s="5">
        <v>1271</v>
      </c>
      <c r="B1332" s="1832">
        <f>'Expenditures 15-22'!K174</f>
        <v>1370339</v>
      </c>
      <c r="C1332" s="2" t="s">
        <v>569</v>
      </c>
      <c r="D1332" s="2" t="str">
        <f t="shared" si="19"/>
        <v>Error?</v>
      </c>
    </row>
    <row r="1333" spans="1:4" x14ac:dyDescent="0.2">
      <c r="A1333" s="5">
        <v>1272</v>
      </c>
      <c r="B1333" s="1832">
        <f>'Expenditures 15-22'!K175</f>
        <v>17191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3650778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3650778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3650778</v>
      </c>
      <c r="C1353" s="2" t="s">
        <v>569</v>
      </c>
      <c r="D1353" s="2" t="str">
        <f t="shared" si="20"/>
        <v>Error?</v>
      </c>
    </row>
    <row r="1354" spans="1:4" x14ac:dyDescent="0.2">
      <c r="A1354" s="5">
        <v>1293</v>
      </c>
      <c r="B1354" s="1832">
        <f>'Expenditures 15-22'!F182</f>
        <v>2877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2877</v>
      </c>
      <c r="C1358" s="2" t="s">
        <v>569</v>
      </c>
      <c r="D1358" s="2" t="str">
        <f t="shared" si="20"/>
        <v>Error?</v>
      </c>
    </row>
    <row r="1359" spans="1:4" x14ac:dyDescent="0.2">
      <c r="A1359" s="5">
        <v>1298</v>
      </c>
      <c r="B1359" s="1832">
        <f>'Expenditures 15-22'!F210</f>
        <v>2877</v>
      </c>
      <c r="C1359" s="2" t="s">
        <v>569</v>
      </c>
      <c r="D1359" s="2" t="str">
        <f t="shared" si="20"/>
        <v>Error?</v>
      </c>
    </row>
    <row r="1360" spans="1:4" x14ac:dyDescent="0.2">
      <c r="A1360" s="5">
        <v>1299</v>
      </c>
      <c r="B1360" s="1832">
        <f>'Expenditures 15-22'!G182</f>
        <v>499092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499092</v>
      </c>
      <c r="C1364" s="2" t="s">
        <v>569</v>
      </c>
      <c r="D1364" s="2" t="str">
        <f t="shared" si="20"/>
        <v>Error?</v>
      </c>
    </row>
    <row r="1365" spans="1:4" x14ac:dyDescent="0.2">
      <c r="A1365" s="5">
        <v>1304</v>
      </c>
      <c r="B1365" s="1832">
        <f>'Expenditures 15-22'!G210</f>
        <v>499092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4152747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4152747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4152747</v>
      </c>
      <c r="C1388" s="2" t="s">
        <v>569</v>
      </c>
      <c r="D1388" s="2" t="str">
        <f t="shared" si="20"/>
        <v>Error?</v>
      </c>
    </row>
    <row r="1389" spans="1:4" x14ac:dyDescent="0.2">
      <c r="A1389" s="5">
        <v>1328</v>
      </c>
      <c r="B1389" s="1832">
        <f>'Expenditures 15-22'!K211</f>
        <v>-1451085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36416</v>
      </c>
      <c r="D1407" s="2" t="str">
        <f t="shared" ref="D1407:D1470" si="21">IF(ISBLANK(B1407),"OK",IF(A1407-B1407=0,"OK","Error?"))</f>
        <v>Error?</v>
      </c>
    </row>
    <row r="1408" spans="1:4" x14ac:dyDescent="0.2">
      <c r="A1408" s="5">
        <v>1347</v>
      </c>
      <c r="B1408" s="1832">
        <f>'Expenditures 15-22'!D223</f>
        <v>146582</v>
      </c>
      <c r="D1408" s="2" t="str">
        <f t="shared" si="21"/>
        <v>Error?</v>
      </c>
    </row>
    <row r="1409" spans="1:4" x14ac:dyDescent="0.2">
      <c r="A1409" s="5">
        <v>1348</v>
      </c>
      <c r="B1409" s="1832">
        <f>'Expenditures 15-22'!D224</f>
        <v>1988</v>
      </c>
      <c r="D1409" s="2" t="str">
        <f t="shared" si="21"/>
        <v>Error?</v>
      </c>
    </row>
    <row r="1410" spans="1:4" x14ac:dyDescent="0.2">
      <c r="A1410" s="5">
        <v>1349</v>
      </c>
      <c r="B1410" s="1832">
        <f>'Expenditures 15-22'!D229</f>
        <v>1182186</v>
      </c>
      <c r="C1410" s="2" t="s">
        <v>569</v>
      </c>
      <c r="D1410" s="2" t="str">
        <f t="shared" si="21"/>
        <v>Error?</v>
      </c>
    </row>
    <row r="1411" spans="1:4" x14ac:dyDescent="0.2">
      <c r="A1411" s="5">
        <v>1350</v>
      </c>
      <c r="B1411" s="1832">
        <f>'Expenditures 15-22'!D232</f>
        <v>71410</v>
      </c>
      <c r="D1411" s="2" t="str">
        <f t="shared" si="21"/>
        <v>Error?</v>
      </c>
    </row>
    <row r="1412" spans="1:4" x14ac:dyDescent="0.2">
      <c r="A1412" s="5">
        <v>1351</v>
      </c>
      <c r="B1412" s="1832">
        <f>'Expenditures 15-22'!D233</f>
        <v>104862</v>
      </c>
      <c r="D1412" s="2" t="str">
        <f t="shared" si="21"/>
        <v>Error?</v>
      </c>
    </row>
    <row r="1413" spans="1:4" x14ac:dyDescent="0.2">
      <c r="A1413" s="5">
        <v>1352</v>
      </c>
      <c r="B1413" s="1832">
        <f>'Expenditures 15-22'!D234</f>
        <v>15975</v>
      </c>
      <c r="D1413" s="2" t="str">
        <f t="shared" si="21"/>
        <v>Error?</v>
      </c>
    </row>
    <row r="1414" spans="1:4" x14ac:dyDescent="0.2">
      <c r="A1414" s="5">
        <v>1353</v>
      </c>
      <c r="B1414" s="1832">
        <f>'Expenditures 15-22'!D235</f>
        <v>6639</v>
      </c>
      <c r="D1414" s="2" t="str">
        <f t="shared" si="21"/>
        <v>Error?</v>
      </c>
    </row>
    <row r="1415" spans="1:4" x14ac:dyDescent="0.2">
      <c r="A1415" s="5">
        <v>1354</v>
      </c>
      <c r="B1415" s="1832">
        <f>'Expenditures 15-22'!D236</f>
        <v>5403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204289</v>
      </c>
      <c r="C1417" s="2" t="s">
        <v>569</v>
      </c>
      <c r="D1417" s="2" t="str">
        <f t="shared" si="21"/>
        <v>Error?</v>
      </c>
    </row>
    <row r="1418" spans="1:4" x14ac:dyDescent="0.2">
      <c r="A1418" s="5">
        <v>1357</v>
      </c>
      <c r="B1418" s="1832">
        <f>'Expenditures 15-22'!D240</f>
        <v>52272</v>
      </c>
      <c r="D1418" s="2" t="str">
        <f t="shared" si="21"/>
        <v>Error?</v>
      </c>
    </row>
    <row r="1419" spans="1:4" x14ac:dyDescent="0.2">
      <c r="A1419" s="5">
        <v>1358</v>
      </c>
      <c r="B1419" s="1832">
        <f>'Expenditures 15-22'!D241</f>
        <v>42692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94964</v>
      </c>
      <c r="C1421" s="2" t="s">
        <v>569</v>
      </c>
      <c r="D1421" s="2" t="str">
        <f t="shared" si="21"/>
        <v>Error?</v>
      </c>
    </row>
    <row r="1422" spans="1:4" x14ac:dyDescent="0.2">
      <c r="A1422" s="5">
        <v>1361</v>
      </c>
      <c r="B1422" s="1832">
        <f>'Expenditures 15-22'!D245</f>
        <v>14875</v>
      </c>
      <c r="D1422" s="2" t="str">
        <f t="shared" si="21"/>
        <v>Error?</v>
      </c>
    </row>
    <row r="1423" spans="1:4" x14ac:dyDescent="0.2">
      <c r="A1423" s="5">
        <v>1362</v>
      </c>
      <c r="B1423" s="1832">
        <f>'Expenditures 15-22'!D246</f>
        <v>2426</v>
      </c>
      <c r="D1423" s="2" t="str">
        <f t="shared" si="21"/>
        <v>Error?</v>
      </c>
    </row>
    <row r="1424" spans="1:4" x14ac:dyDescent="0.2">
      <c r="A1424" s="5">
        <v>1363</v>
      </c>
      <c r="B1424" s="1832">
        <f>'Expenditures 15-22'!D257</f>
        <v>17301</v>
      </c>
      <c r="C1424" s="2" t="s">
        <v>569</v>
      </c>
      <c r="D1424" s="2" t="str">
        <f t="shared" si="21"/>
        <v>Error?</v>
      </c>
    </row>
    <row r="1425" spans="1:4" x14ac:dyDescent="0.2">
      <c r="A1425" s="5">
        <v>1364</v>
      </c>
      <c r="B1425" s="1832">
        <f>'Expenditures 15-22'!D259</f>
        <v>81230</v>
      </c>
      <c r="D1425" s="2" t="str">
        <f t="shared" si="21"/>
        <v>Error?</v>
      </c>
    </row>
    <row r="1426" spans="1:4" x14ac:dyDescent="0.2">
      <c r="A1426" s="5">
        <v>1365</v>
      </c>
      <c r="B1426" s="1832">
        <f>'Expenditures 15-22'!D260</f>
        <v>29312</v>
      </c>
      <c r="D1426" s="2" t="str">
        <f t="shared" si="21"/>
        <v>Error?</v>
      </c>
    </row>
    <row r="1427" spans="1:4" x14ac:dyDescent="0.2">
      <c r="A1427" s="5">
        <v>1366</v>
      </c>
      <c r="B1427" s="1832">
        <f>'Expenditures 15-22'!D261</f>
        <v>110542</v>
      </c>
      <c r="C1427" s="2" t="s">
        <v>569</v>
      </c>
      <c r="D1427" s="2" t="str">
        <f t="shared" si="21"/>
        <v>Error?</v>
      </c>
    </row>
    <row r="1428" spans="1:4" x14ac:dyDescent="0.2">
      <c r="A1428" s="5">
        <v>1367</v>
      </c>
      <c r="B1428" s="1832">
        <f>'Expenditures 15-22'!D263</f>
        <v>2220</v>
      </c>
      <c r="D1428" s="2" t="str">
        <f t="shared" si="21"/>
        <v>Error?</v>
      </c>
    </row>
    <row r="1429" spans="1:4" x14ac:dyDescent="0.2">
      <c r="A1429" s="5">
        <v>1368</v>
      </c>
      <c r="B1429" s="1832">
        <f>'Expenditures 15-22'!D264</f>
        <v>47859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439937</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7193</v>
      </c>
      <c r="D1434" s="2" t="str">
        <f t="shared" si="21"/>
        <v>Error?</v>
      </c>
    </row>
    <row r="1435" spans="1:4" x14ac:dyDescent="0.2">
      <c r="A1435" s="10">
        <v>1374</v>
      </c>
      <c r="B1435" s="1832"/>
      <c r="D1435" s="2" t="str">
        <f t="shared" si="21"/>
        <v>OK</v>
      </c>
    </row>
    <row r="1436" spans="1:4" x14ac:dyDescent="0.2">
      <c r="A1436" s="5">
        <v>1375</v>
      </c>
      <c r="B1436" s="1832">
        <f>'Expenditures 15-22'!D270</f>
        <v>497209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26595</v>
      </c>
      <c r="D1439" s="2" t="str">
        <f t="shared" si="21"/>
        <v>Error?</v>
      </c>
    </row>
    <row r="1440" spans="1:4" x14ac:dyDescent="0.2">
      <c r="A1440" s="5">
        <v>1379</v>
      </c>
      <c r="B1440" s="1832">
        <f>'Expenditures 15-22'!D275</f>
        <v>35437</v>
      </c>
      <c r="D1440" s="2" t="str">
        <f t="shared" si="21"/>
        <v>Error?</v>
      </c>
    </row>
    <row r="1441" spans="1:4" x14ac:dyDescent="0.2">
      <c r="A1441" s="10">
        <v>1380</v>
      </c>
      <c r="B1441" s="1832"/>
      <c r="D1441" s="2" t="str">
        <f t="shared" si="21"/>
        <v>OK</v>
      </c>
    </row>
    <row r="1442" spans="1:4" x14ac:dyDescent="0.2">
      <c r="A1442" s="5">
        <v>1381</v>
      </c>
      <c r="B1442" s="1832">
        <f>'Expenditures 15-22'!D276</f>
        <v>183984</v>
      </c>
      <c r="D1442" s="2" t="str">
        <f t="shared" si="21"/>
        <v>Error?</v>
      </c>
    </row>
    <row r="1443" spans="1:4" x14ac:dyDescent="0.2">
      <c r="A1443" s="10">
        <v>1382</v>
      </c>
      <c r="B1443" s="1832"/>
      <c r="D1443" s="2" t="str">
        <f t="shared" si="21"/>
        <v>OK</v>
      </c>
    </row>
    <row r="1444" spans="1:4" x14ac:dyDescent="0.2">
      <c r="A1444" s="5">
        <v>1383</v>
      </c>
      <c r="B1444" s="1832">
        <f>'Expenditures 15-22'!D277</f>
        <v>246016</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1170321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2352507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36416</v>
      </c>
      <c r="C1471" s="2" t="s">
        <v>569</v>
      </c>
      <c r="D1471" s="2" t="str">
        <f t="shared" ref="D1471:D1534" si="22">IF(ISBLANK(B1471),"OK",IF(A1471-B1471=0,"OK","Error?"))</f>
        <v>Error?</v>
      </c>
    </row>
    <row r="1472" spans="1:4" x14ac:dyDescent="0.2">
      <c r="A1472" s="5">
        <v>1411</v>
      </c>
      <c r="B1472" s="1832">
        <f>'Expenditures 15-22'!K223</f>
        <v>146582</v>
      </c>
      <c r="C1472" s="2" t="s">
        <v>569</v>
      </c>
      <c r="D1472" s="2" t="str">
        <f t="shared" si="22"/>
        <v>Error?</v>
      </c>
    </row>
    <row r="1473" spans="1:4" x14ac:dyDescent="0.2">
      <c r="A1473" s="5">
        <v>1412</v>
      </c>
      <c r="B1473" s="1832">
        <f>'Expenditures 15-22'!K224</f>
        <v>1988</v>
      </c>
      <c r="C1473" s="2" t="s">
        <v>569</v>
      </c>
      <c r="D1473" s="2" t="str">
        <f t="shared" si="22"/>
        <v>Error?</v>
      </c>
    </row>
    <row r="1474" spans="1:4" x14ac:dyDescent="0.2">
      <c r="A1474" s="5">
        <v>1413</v>
      </c>
      <c r="B1474" s="1832">
        <f>'Expenditures 15-22'!K229</f>
        <v>1182186</v>
      </c>
      <c r="C1474" s="2" t="s">
        <v>569</v>
      </c>
      <c r="D1474" s="2" t="str">
        <f t="shared" si="22"/>
        <v>Error?</v>
      </c>
    </row>
    <row r="1475" spans="1:4" x14ac:dyDescent="0.2">
      <c r="A1475" s="5">
        <v>1414</v>
      </c>
      <c r="B1475" s="1832">
        <f>'Expenditures 15-22'!K232</f>
        <v>71410</v>
      </c>
      <c r="C1475" s="2" t="s">
        <v>569</v>
      </c>
      <c r="D1475" s="2" t="str">
        <f t="shared" si="22"/>
        <v>Error?</v>
      </c>
    </row>
    <row r="1476" spans="1:4" x14ac:dyDescent="0.2">
      <c r="A1476" s="5">
        <v>1415</v>
      </c>
      <c r="B1476" s="1832">
        <f>'Expenditures 15-22'!K233</f>
        <v>104862</v>
      </c>
      <c r="C1476" s="2" t="s">
        <v>569</v>
      </c>
      <c r="D1476" s="2" t="str">
        <f t="shared" si="22"/>
        <v>Error?</v>
      </c>
    </row>
    <row r="1477" spans="1:4" x14ac:dyDescent="0.2">
      <c r="A1477" s="5">
        <v>1416</v>
      </c>
      <c r="B1477" s="1832">
        <f>'Expenditures 15-22'!K234</f>
        <v>15975</v>
      </c>
      <c r="C1477" s="2" t="s">
        <v>569</v>
      </c>
      <c r="D1477" s="2" t="str">
        <f t="shared" si="22"/>
        <v>Error?</v>
      </c>
    </row>
    <row r="1478" spans="1:4" x14ac:dyDescent="0.2">
      <c r="A1478" s="5">
        <v>1417</v>
      </c>
      <c r="B1478" s="1832">
        <f>'Expenditures 15-22'!K235</f>
        <v>6639</v>
      </c>
      <c r="C1478" s="2" t="s">
        <v>569</v>
      </c>
      <c r="D1478" s="2" t="str">
        <f t="shared" si="22"/>
        <v>Error?</v>
      </c>
    </row>
    <row r="1479" spans="1:4" x14ac:dyDescent="0.2">
      <c r="A1479" s="5">
        <v>1418</v>
      </c>
      <c r="B1479" s="1832">
        <f>'Expenditures 15-22'!K236</f>
        <v>5403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204289</v>
      </c>
      <c r="C1481" s="2" t="s">
        <v>569</v>
      </c>
      <c r="D1481" s="2" t="str">
        <f t="shared" si="22"/>
        <v>Error?</v>
      </c>
    </row>
    <row r="1482" spans="1:4" x14ac:dyDescent="0.2">
      <c r="A1482" s="5">
        <v>1421</v>
      </c>
      <c r="B1482" s="1832">
        <f>'Expenditures 15-22'!K240</f>
        <v>52272</v>
      </c>
      <c r="C1482" s="2" t="s">
        <v>569</v>
      </c>
      <c r="D1482" s="2" t="str">
        <f t="shared" si="22"/>
        <v>Error?</v>
      </c>
    </row>
    <row r="1483" spans="1:4" x14ac:dyDescent="0.2">
      <c r="A1483" s="5">
        <v>1422</v>
      </c>
      <c r="B1483" s="1832">
        <f>'Expenditures 15-22'!K241</f>
        <v>42692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94964</v>
      </c>
      <c r="C1485" s="2" t="s">
        <v>569</v>
      </c>
      <c r="D1485" s="2" t="str">
        <f t="shared" si="22"/>
        <v>Error?</v>
      </c>
    </row>
    <row r="1486" spans="1:4" x14ac:dyDescent="0.2">
      <c r="A1486" s="5">
        <v>1425</v>
      </c>
      <c r="B1486" s="1832">
        <f>'Expenditures 15-22'!K245</f>
        <v>14875</v>
      </c>
      <c r="C1486" s="2" t="s">
        <v>569</v>
      </c>
      <c r="D1486" s="2" t="str">
        <f t="shared" si="22"/>
        <v>Error?</v>
      </c>
    </row>
    <row r="1487" spans="1:4" x14ac:dyDescent="0.2">
      <c r="A1487" s="5">
        <v>1426</v>
      </c>
      <c r="B1487" s="1832">
        <f>'Expenditures 15-22'!K246</f>
        <v>2426</v>
      </c>
      <c r="C1487" s="2" t="s">
        <v>569</v>
      </c>
      <c r="D1487" s="2" t="str">
        <f t="shared" si="22"/>
        <v>Error?</v>
      </c>
    </row>
    <row r="1488" spans="1:4" x14ac:dyDescent="0.2">
      <c r="A1488" s="5">
        <v>1427</v>
      </c>
      <c r="B1488" s="1832">
        <f>'Expenditures 15-22'!K257</f>
        <v>17301</v>
      </c>
      <c r="C1488" s="2" t="s">
        <v>569</v>
      </c>
      <c r="D1488" s="2" t="str">
        <f t="shared" si="22"/>
        <v>Error?</v>
      </c>
    </row>
    <row r="1489" spans="1:4" x14ac:dyDescent="0.2">
      <c r="A1489" s="5">
        <v>1428</v>
      </c>
      <c r="B1489" s="1832">
        <f>'Expenditures 15-22'!K259</f>
        <v>81230</v>
      </c>
      <c r="C1489" s="2" t="s">
        <v>569</v>
      </c>
      <c r="D1489" s="2" t="str">
        <f t="shared" si="22"/>
        <v>Error?</v>
      </c>
    </row>
    <row r="1490" spans="1:4" x14ac:dyDescent="0.2">
      <c r="A1490" s="5">
        <v>1429</v>
      </c>
      <c r="B1490" s="1832">
        <f>'Expenditures 15-22'!K260</f>
        <v>29312</v>
      </c>
      <c r="C1490" s="2" t="s">
        <v>569</v>
      </c>
      <c r="D1490" s="2" t="str">
        <f t="shared" si="22"/>
        <v>Error?</v>
      </c>
    </row>
    <row r="1491" spans="1:4" x14ac:dyDescent="0.2">
      <c r="A1491" s="5">
        <v>1430</v>
      </c>
      <c r="B1491" s="1832">
        <f>'Expenditures 15-22'!K261</f>
        <v>110542</v>
      </c>
      <c r="C1491" s="2" t="s">
        <v>569</v>
      </c>
      <c r="D1491" s="2" t="str">
        <f t="shared" si="22"/>
        <v>Error?</v>
      </c>
    </row>
    <row r="1492" spans="1:4" x14ac:dyDescent="0.2">
      <c r="A1492" s="5">
        <v>1431</v>
      </c>
      <c r="B1492" s="1832">
        <f>'Expenditures 15-22'!K263</f>
        <v>2220</v>
      </c>
      <c r="C1492" s="2" t="s">
        <v>569</v>
      </c>
      <c r="D1492" s="2" t="str">
        <f t="shared" si="22"/>
        <v>Error?</v>
      </c>
    </row>
    <row r="1493" spans="1:4" x14ac:dyDescent="0.2">
      <c r="A1493" s="5">
        <v>1432</v>
      </c>
      <c r="B1493" s="1832">
        <f>'Expenditures 15-22'!K264</f>
        <v>47859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439937</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7193</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497209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26595</v>
      </c>
      <c r="C1503" s="2" t="s">
        <v>569</v>
      </c>
      <c r="D1503" s="2" t="str">
        <f t="shared" si="22"/>
        <v>Error?</v>
      </c>
    </row>
    <row r="1504" spans="1:4" x14ac:dyDescent="0.2">
      <c r="A1504" s="5">
        <v>1443</v>
      </c>
      <c r="B1504" s="1832">
        <f>'Expenditures 15-22'!K275</f>
        <v>35437</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183984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246016</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1170321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2352507</v>
      </c>
      <c r="C1517" s="2" t="s">
        <v>569</v>
      </c>
      <c r="D1517" s="2" t="str">
        <f t="shared" si="22"/>
        <v>Error?</v>
      </c>
    </row>
    <row r="1518" spans="1:4" x14ac:dyDescent="0.2">
      <c r="A1518" s="5">
        <v>1457</v>
      </c>
      <c r="B1518" s="1832">
        <f>'Expenditures 15-22'!K296</f>
        <v>-398372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905915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905915</v>
      </c>
      <c r="C1535" s="2" t="s">
        <v>569</v>
      </c>
      <c r="D1535" s="2" t="str">
        <f t="shared" ref="D1535:D1598" si="23">IF(ISBLANK(B1535),"OK",IF(A1535-B1535=0,"OK","Error?"))</f>
        <v>Error?</v>
      </c>
    </row>
    <row r="1536" spans="1:4" x14ac:dyDescent="0.2">
      <c r="A1536" s="5">
        <v>1475</v>
      </c>
      <c r="B1536" s="1832">
        <f>'Expenditures 15-22'!E312</f>
        <v>905915</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15709249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15709249</v>
      </c>
      <c r="C1547" s="2" t="s">
        <v>569</v>
      </c>
      <c r="D1547" s="2" t="str">
        <f t="shared" si="23"/>
        <v>Error?</v>
      </c>
    </row>
    <row r="1548" spans="1:4" x14ac:dyDescent="0.2">
      <c r="A1548" s="5">
        <v>1487</v>
      </c>
      <c r="B1548" s="1832">
        <f>'Expenditures 15-22'!G312</f>
        <v>15709249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16709141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16709141</v>
      </c>
      <c r="C1559" s="2" t="s">
        <v>569</v>
      </c>
      <c r="D1559" s="2" t="str">
        <f t="shared" si="23"/>
        <v>Error?</v>
      </c>
    </row>
    <row r="1560" spans="1:4" x14ac:dyDescent="0.2">
      <c r="A1560" s="5">
        <v>1499</v>
      </c>
      <c r="B1560" s="1832">
        <f>'Expenditures 15-22'!K312</f>
        <v>16709141</v>
      </c>
      <c r="C1560" s="2" t="s">
        <v>569</v>
      </c>
      <c r="D1560" s="2" t="str">
        <f t="shared" si="23"/>
        <v>Error?</v>
      </c>
    </row>
    <row r="1561" spans="1:4" x14ac:dyDescent="0.2">
      <c r="A1561" s="5">
        <v>1500</v>
      </c>
      <c r="B1561" s="1832">
        <f>'Expenditures 15-22'!K313</f>
        <v>-7312349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36607934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32207230</v>
      </c>
      <c r="C1630" s="2" t="s">
        <v>569</v>
      </c>
      <c r="D1630" s="2" t="str">
        <f t="shared" si="24"/>
        <v>Error?</v>
      </c>
    </row>
    <row r="1631" spans="1:4" x14ac:dyDescent="0.2">
      <c r="A1631" s="5">
        <v>1570</v>
      </c>
      <c r="B1631" s="1832">
        <f>'Acct Summary 7-8'!D79</f>
        <v>936099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4647043</v>
      </c>
      <c r="C1644" s="2" t="s">
        <v>569</v>
      </c>
      <c r="D1644" s="2" t="str">
        <f t="shared" si="24"/>
        <v>Error?</v>
      </c>
    </row>
    <row r="1645" spans="1:4" x14ac:dyDescent="0.2">
      <c r="A1645" s="5">
        <v>1584</v>
      </c>
      <c r="B1645" s="1832">
        <f>'Acct Summary 7-8'!E79</f>
        <v>55746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72937</v>
      </c>
      <c r="C1658" s="2" t="s">
        <v>569</v>
      </c>
      <c r="D1658" s="2" t="str">
        <f t="shared" si="24"/>
        <v>Error?</v>
      </c>
    </row>
    <row r="1659" spans="1:4" x14ac:dyDescent="0.2">
      <c r="A1659" s="5">
        <v>1598</v>
      </c>
      <c r="B1659" s="1832">
        <f>'Acct Summary 7-8'!F79</f>
        <v>3561736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2110651</v>
      </c>
      <c r="C1672" s="2" t="s">
        <v>569</v>
      </c>
      <c r="D1672" s="2" t="str">
        <f t="shared" si="25"/>
        <v>Error?</v>
      </c>
    </row>
    <row r="1673" spans="1:4" x14ac:dyDescent="0.2">
      <c r="A1673" s="5">
        <v>1612</v>
      </c>
      <c r="B1673" s="1832">
        <f>'Acct Summary 7-8'!G79</f>
        <v>2655900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2257528</v>
      </c>
      <c r="C1686" s="2" t="s">
        <v>569</v>
      </c>
      <c r="D1686" s="2" t="str">
        <f t="shared" si="25"/>
        <v>Error?</v>
      </c>
    </row>
    <row r="1687" spans="1:4" x14ac:dyDescent="0.2">
      <c r="A1687" s="5">
        <v>1626</v>
      </c>
      <c r="B1687" s="1832">
        <f>'Acct Summary 7-8'!H79</f>
        <v>6834088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2521739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62518182</v>
      </c>
      <c r="C1744" s="2" t="s">
        <v>569</v>
      </c>
      <c r="D1744" s="2" t="str">
        <f t="shared" si="26"/>
        <v>Error?</v>
      </c>
    </row>
    <row r="1745" spans="1:5" x14ac:dyDescent="0.2">
      <c r="A1745" s="5">
        <v>1684</v>
      </c>
      <c r="B1745" s="1832">
        <f>'Tax Sched 23'!B5</f>
        <v>5185971</v>
      </c>
      <c r="C1745" s="2" t="s">
        <v>569</v>
      </c>
      <c r="D1745" s="2" t="str">
        <f t="shared" si="26"/>
        <v>Error?</v>
      </c>
    </row>
    <row r="1746" spans="1:5" x14ac:dyDescent="0.2">
      <c r="A1746" s="5">
        <v>1685</v>
      </c>
      <c r="B1746" s="1832">
        <f>'Tax Sched 23'!B6</f>
        <v>1374849</v>
      </c>
      <c r="C1746" s="2" t="s">
        <v>569</v>
      </c>
      <c r="D1746" s="2" t="str">
        <f t="shared" si="26"/>
        <v>Error?</v>
      </c>
    </row>
    <row r="1747" spans="1:5" x14ac:dyDescent="0.2">
      <c r="A1747" s="5">
        <v>1686</v>
      </c>
      <c r="B1747" s="1832">
        <f>'Tax Sched 23'!B7</f>
        <v>1451787</v>
      </c>
      <c r="C1747" s="2" t="s">
        <v>569</v>
      </c>
      <c r="D1747" s="2" t="str">
        <f t="shared" si="26"/>
        <v>Error?</v>
      </c>
    </row>
    <row r="1748" spans="1:5" x14ac:dyDescent="0.2">
      <c r="A1748" s="5">
        <v>1687</v>
      </c>
      <c r="B1748" s="1832">
        <f>'Tax Sched 23'!B8</f>
        <v>465494</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1801038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74135237</v>
      </c>
      <c r="C1759" s="2" t="s">
        <v>569</v>
      </c>
      <c r="D1759" s="2" t="str">
        <f t="shared" si="26"/>
        <v>Error?</v>
      </c>
    </row>
    <row r="1760" spans="1:5" x14ac:dyDescent="0.2">
      <c r="A1760" s="5">
        <v>1699</v>
      </c>
      <c r="B1760" s="1832">
        <f>'Tax Sched 23'!D4</f>
        <v>32592934</v>
      </c>
      <c r="C1760" s="2" t="s">
        <v>569</v>
      </c>
      <c r="D1760" s="2" t="str">
        <f t="shared" si="26"/>
        <v>Error?</v>
      </c>
    </row>
    <row r="1761" spans="1:7" x14ac:dyDescent="0.2">
      <c r="A1761" s="5">
        <v>1700</v>
      </c>
      <c r="B1761" s="1832">
        <f>'Tax Sched 23'!D5</f>
        <v>2715204</v>
      </c>
      <c r="C1761" s="2" t="s">
        <v>569</v>
      </c>
      <c r="D1761" s="2" t="str">
        <f t="shared" si="26"/>
        <v>Error?</v>
      </c>
    </row>
    <row r="1762" spans="1:7" s="8" customFormat="1" x14ac:dyDescent="0.2">
      <c r="A1762" s="5">
        <v>1701</v>
      </c>
      <c r="B1762" s="1832">
        <f>'Tax Sched 23'!D6</f>
        <v>734636</v>
      </c>
      <c r="C1762" s="2" t="s">
        <v>569</v>
      </c>
      <c r="D1762" s="2" t="str">
        <f t="shared" si="26"/>
        <v>Error?</v>
      </c>
      <c r="E1762" s="9"/>
      <c r="G1762"/>
    </row>
    <row r="1763" spans="1:7" x14ac:dyDescent="0.2">
      <c r="A1763" s="5">
        <v>1702</v>
      </c>
      <c r="B1763" s="1832">
        <f>'Tax Sched 23'!D7</f>
        <v>760106</v>
      </c>
      <c r="C1763" s="2" t="s">
        <v>569</v>
      </c>
      <c r="D1763" s="2" t="str">
        <f t="shared" si="26"/>
        <v>Error?</v>
      </c>
    </row>
    <row r="1764" spans="1:7" x14ac:dyDescent="0.2">
      <c r="A1764" s="5">
        <v>1703</v>
      </c>
      <c r="B1764" s="1832">
        <f>'Tax Sched 23'!D8</f>
        <v>243730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942938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38829403</v>
      </c>
      <c r="C1775" s="2" t="s">
        <v>569</v>
      </c>
      <c r="D1775" s="2" t="str">
        <f t="shared" si="26"/>
        <v>Error?</v>
      </c>
    </row>
    <row r="1776" spans="1:7" x14ac:dyDescent="0.2">
      <c r="A1776" s="5">
        <v>1715</v>
      </c>
      <c r="B1776" s="1832">
        <f>'Tax Sched 23'!C4</f>
        <v>29925248</v>
      </c>
      <c r="D1776" s="2" t="str">
        <f t="shared" si="26"/>
        <v>Error?</v>
      </c>
    </row>
    <row r="1777" spans="1:4" x14ac:dyDescent="0.2">
      <c r="A1777" s="5">
        <v>1716</v>
      </c>
      <c r="B1777" s="1832">
        <f>'Tax Sched 23'!C5</f>
        <v>2470767</v>
      </c>
      <c r="D1777" s="2" t="str">
        <f t="shared" si="26"/>
        <v>Error?</v>
      </c>
    </row>
    <row r="1778" spans="1:4" x14ac:dyDescent="0.2">
      <c r="A1778" s="5">
        <v>1717</v>
      </c>
      <c r="B1778" s="1832">
        <f>'Tax Sched 23'!C6</f>
        <v>640213</v>
      </c>
      <c r="D1778" s="2" t="str">
        <f t="shared" si="26"/>
        <v>Error?</v>
      </c>
    </row>
    <row r="1779" spans="1:4" x14ac:dyDescent="0.2">
      <c r="A1779" s="5">
        <v>1718</v>
      </c>
      <c r="B1779" s="1832">
        <f>'Tax Sched 23'!C7</f>
        <v>691681</v>
      </c>
      <c r="D1779" s="2" t="str">
        <f t="shared" si="26"/>
        <v>Error?</v>
      </c>
    </row>
    <row r="1780" spans="1:4" x14ac:dyDescent="0.2">
      <c r="A1780" s="5">
        <v>1719</v>
      </c>
      <c r="B1780" s="1832">
        <f>'Tax Sched 23'!C8</f>
        <v>221764</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858100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35305834</v>
      </c>
      <c r="C1791" s="2" t="s">
        <v>569</v>
      </c>
      <c r="D1791" s="2" t="str">
        <f t="shared" ref="D1791:D1854" si="27">IF(ISBLANK(B1791),"OK",IF(A1791-B1791=0,"OK","Error?"))</f>
        <v>Error?</v>
      </c>
    </row>
    <row r="1792" spans="1:4" x14ac:dyDescent="0.2">
      <c r="A1792" s="5">
        <v>1731</v>
      </c>
      <c r="B1792" s="1832">
        <f>'Tax Sched 23'!F4</f>
        <v>34495255</v>
      </c>
      <c r="C1792" s="2" t="s">
        <v>569</v>
      </c>
      <c r="D1792" s="2" t="str">
        <f t="shared" si="27"/>
        <v>Error?</v>
      </c>
    </row>
    <row r="1793" spans="1:4" x14ac:dyDescent="0.2">
      <c r="A1793" s="5">
        <v>1732</v>
      </c>
      <c r="B1793" s="1832">
        <f>'Tax Sched 23'!F5</f>
        <v>2848087</v>
      </c>
      <c r="C1793" s="2" t="s">
        <v>569</v>
      </c>
      <c r="D1793" s="2" t="str">
        <f t="shared" si="27"/>
        <v>Error?</v>
      </c>
    </row>
    <row r="1794" spans="1:4" x14ac:dyDescent="0.2">
      <c r="A1794" s="5">
        <v>1733</v>
      </c>
      <c r="B1794" s="1832">
        <f>'Tax Sched 23'!F6</f>
        <v>737992</v>
      </c>
      <c r="C1794" s="2" t="s">
        <v>569</v>
      </c>
      <c r="D1794" s="2" t="str">
        <f t="shared" si="27"/>
        <v>Error?</v>
      </c>
    </row>
    <row r="1795" spans="1:4" x14ac:dyDescent="0.2">
      <c r="A1795" s="5">
        <v>1734</v>
      </c>
      <c r="B1795" s="1832">
        <f>'Tax Sched 23'!F7</f>
        <v>797309</v>
      </c>
      <c r="C1795" s="2" t="s">
        <v>569</v>
      </c>
      <c r="D1795" s="2" t="str">
        <f t="shared" si="27"/>
        <v>Error?</v>
      </c>
    </row>
    <row r="1796" spans="1:4" x14ac:dyDescent="0.2">
      <c r="A1796" s="5">
        <v>1735</v>
      </c>
      <c r="B1796" s="1832">
        <f>'Tax Sched 23'!F8</f>
        <v>255631</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989144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40697540</v>
      </c>
      <c r="C1807" s="2" t="s">
        <v>569</v>
      </c>
      <c r="D1807" s="2" t="str">
        <f t="shared" si="27"/>
        <v>Error?</v>
      </c>
    </row>
    <row r="1808" spans="1:4" x14ac:dyDescent="0.2">
      <c r="A1808" s="5">
        <v>1747</v>
      </c>
      <c r="B1808" s="1832">
        <f>'Tax Sched 23'!E4</f>
        <v>64420503</v>
      </c>
      <c r="D1808" s="2" t="str">
        <f t="shared" si="27"/>
        <v>Error?</v>
      </c>
    </row>
    <row r="1809" spans="1:4" x14ac:dyDescent="0.2">
      <c r="A1809" s="5">
        <v>1748</v>
      </c>
      <c r="B1809" s="1832">
        <f>'Tax Sched 23'!E5</f>
        <v>5318854</v>
      </c>
      <c r="D1809" s="2" t="str">
        <f t="shared" si="27"/>
        <v>Error?</v>
      </c>
    </row>
    <row r="1810" spans="1:4" x14ac:dyDescent="0.2">
      <c r="A1810" s="5">
        <v>1749</v>
      </c>
      <c r="B1810" s="1832">
        <f>'Tax Sched 23'!E6</f>
        <v>1378205</v>
      </c>
      <c r="D1810" s="2" t="str">
        <f t="shared" si="27"/>
        <v>Error?</v>
      </c>
    </row>
    <row r="1811" spans="1:4" x14ac:dyDescent="0.2">
      <c r="A1811" s="5">
        <v>1750</v>
      </c>
      <c r="B1811" s="1832">
        <f>'Tax Sched 23'!E7</f>
        <v>1488990</v>
      </c>
      <c r="D1811" s="2" t="str">
        <f t="shared" si="27"/>
        <v>Error?</v>
      </c>
    </row>
    <row r="1812" spans="1:4" x14ac:dyDescent="0.2">
      <c r="A1812" s="5">
        <v>1751</v>
      </c>
      <c r="B1812" s="1832">
        <f>'Tax Sched 23'!E8</f>
        <v>477395</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1847244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76003374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15630000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1801038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1801038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1801038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2330356</v>
      </c>
      <c r="D2008" s="2" t="str">
        <f t="shared" si="30"/>
        <v>Error?</v>
      </c>
    </row>
    <row r="2009" spans="1:4" x14ac:dyDescent="0.2">
      <c r="A2009" s="5">
        <v>1948</v>
      </c>
      <c r="B2009" s="1832">
        <f>'Cap Outlay Deprec 26'!C8</f>
        <v>118552190</v>
      </c>
      <c r="D2009" s="2" t="str">
        <f t="shared" si="30"/>
        <v>Error?</v>
      </c>
    </row>
    <row r="2010" spans="1:4" x14ac:dyDescent="0.2">
      <c r="A2010" s="5">
        <v>1949</v>
      </c>
      <c r="B2010" s="1832">
        <f>'Cap Outlay Deprec 26'!C10</f>
        <v>5096872</v>
      </c>
      <c r="D2010" s="2" t="str">
        <f t="shared" si="30"/>
        <v>Error?</v>
      </c>
    </row>
    <row r="2011" spans="1:4" x14ac:dyDescent="0.2">
      <c r="A2011" s="5">
        <v>1950</v>
      </c>
      <c r="B2011" s="1832">
        <f>'Cap Outlay Deprec 26'!C12</f>
        <v>9744173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139822363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15067001</v>
      </c>
      <c r="D2015" s="2" t="str">
        <f t="shared" si="30"/>
        <v>Error?</v>
      </c>
    </row>
    <row r="2016" spans="1:4" x14ac:dyDescent="0.2">
      <c r="A2016" s="5">
        <v>1955</v>
      </c>
      <c r="B2016" s="1832">
        <f>'Cap Outlay Deprec 26'!D10</f>
        <v>39235</v>
      </c>
      <c r="D2016" s="2" t="str">
        <f t="shared" si="30"/>
        <v>Error?</v>
      </c>
    </row>
    <row r="2017" spans="1:4" x14ac:dyDescent="0.2">
      <c r="A2017" s="5">
        <v>1956</v>
      </c>
      <c r="B2017" s="1832">
        <f>'Cap Outlay Deprec 26'!D12</f>
        <v>382006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20469398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6646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4105418</v>
      </c>
      <c r="C2025" s="2" t="s">
        <v>569</v>
      </c>
      <c r="D2025" s="2" t="str">
        <f t="shared" si="30"/>
        <v>Error?</v>
      </c>
    </row>
    <row r="2026" spans="1:4" x14ac:dyDescent="0.2">
      <c r="A2026" s="5">
        <v>1965</v>
      </c>
      <c r="B2026" s="1832">
        <f>'Cap Outlay Deprec 26'!F5</f>
        <v>2330356</v>
      </c>
      <c r="C2026" s="2" t="s">
        <v>569</v>
      </c>
      <c r="D2026" s="2" t="str">
        <f t="shared" si="30"/>
        <v>Error?</v>
      </c>
    </row>
    <row r="2027" spans="1:4" x14ac:dyDescent="0.2">
      <c r="A2027" s="5">
        <v>1966</v>
      </c>
      <c r="B2027" s="1832">
        <f>'Cap Outlay Deprec 26'!F8</f>
        <v>133619191</v>
      </c>
      <c r="C2027" s="2" t="s">
        <v>569</v>
      </c>
      <c r="D2027" s="2" t="str">
        <f t="shared" si="30"/>
        <v>Error?</v>
      </c>
    </row>
    <row r="2028" spans="1:4" x14ac:dyDescent="0.2">
      <c r="A2028" s="5">
        <v>1967</v>
      </c>
      <c r="B2028" s="1832">
        <f>'Cap Outlay Deprec 26'!F10</f>
        <v>5136107</v>
      </c>
      <c r="C2028" s="2" t="s">
        <v>569</v>
      </c>
      <c r="D2028" s="2" t="str">
        <f t="shared" si="30"/>
        <v>Error?</v>
      </c>
    </row>
    <row r="2029" spans="1:4" x14ac:dyDescent="0.2">
      <c r="A2029" s="5">
        <v>1968</v>
      </c>
      <c r="B2029" s="1832">
        <f>'Cap Outlay Deprec 26'!F12</f>
        <v>10119533</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156186343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32125385</v>
      </c>
      <c r="D2033" s="2" t="str">
        <f t="shared" si="30"/>
        <v>Error?</v>
      </c>
    </row>
    <row r="2034" spans="1:4" x14ac:dyDescent="0.2">
      <c r="A2034" s="5">
        <v>1973</v>
      </c>
      <c r="B2034" s="1832">
        <f>'Cap Outlay Deprec 26'!H10</f>
        <v>4125728</v>
      </c>
      <c r="D2034" s="2" t="str">
        <f t="shared" si="30"/>
        <v>Error?</v>
      </c>
    </row>
    <row r="2035" spans="1:4" x14ac:dyDescent="0.2">
      <c r="A2035" s="5">
        <v>1974</v>
      </c>
      <c r="B2035" s="1832">
        <f>'Cap Outlay Deprec 26'!H12</f>
        <v>7926020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44177133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4008050</v>
      </c>
      <c r="D2039" s="2" t="str">
        <f t="shared" si="30"/>
        <v>Error?</v>
      </c>
    </row>
    <row r="2040" spans="1:4" x14ac:dyDescent="0.2">
      <c r="A2040" s="5">
        <v>1979</v>
      </c>
      <c r="B2040" s="1832">
        <f>'Cap Outlay Deprec 26'!I10</f>
        <v>91475</v>
      </c>
      <c r="D2040" s="2" t="str">
        <f t="shared" si="30"/>
        <v>Error?</v>
      </c>
    </row>
    <row r="2041" spans="1:4" x14ac:dyDescent="0.2">
      <c r="A2041" s="5">
        <v>1980</v>
      </c>
      <c r="B2041" s="1832">
        <f>'Cap Outlay Deprec 26'!I12</f>
        <v>185955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4285480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6646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6646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36133435</v>
      </c>
      <c r="C2051" s="2" t="s">
        <v>569</v>
      </c>
      <c r="D2051" s="2" t="str">
        <f t="shared" si="31"/>
        <v>Error?</v>
      </c>
    </row>
    <row r="2052" spans="1:4" x14ac:dyDescent="0.2">
      <c r="A2052" s="5">
        <v>1991</v>
      </c>
      <c r="B2052" s="1832">
        <f>'Cap Outlay Deprec 26'!K10</f>
        <v>4217203</v>
      </c>
      <c r="C2052" s="2" t="s">
        <v>569</v>
      </c>
      <c r="D2052" s="2" t="str">
        <f t="shared" si="31"/>
        <v>Error?</v>
      </c>
    </row>
    <row r="2053" spans="1:4" x14ac:dyDescent="0.2">
      <c r="A2053" s="5">
        <v>1992</v>
      </c>
      <c r="B2053" s="1832">
        <f>'Cap Outlay Deprec 26'!K12</f>
        <v>8105329</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48455967</v>
      </c>
      <c r="C2055" s="2" t="s">
        <v>569</v>
      </c>
      <c r="D2055" s="2" t="str">
        <f t="shared" si="31"/>
        <v>Error?</v>
      </c>
    </row>
    <row r="2056" spans="1:4" x14ac:dyDescent="0.2">
      <c r="A2056" s="5">
        <v>1995</v>
      </c>
      <c r="B2056" s="1832">
        <f>'Cap Outlay Deprec 26'!L5</f>
        <v>2330356</v>
      </c>
      <c r="C2056" s="2" t="s">
        <v>569</v>
      </c>
      <c r="D2056" s="2" t="str">
        <f t="shared" si="31"/>
        <v>Error?</v>
      </c>
    </row>
    <row r="2057" spans="1:4" x14ac:dyDescent="0.2">
      <c r="A2057" s="5">
        <v>1996</v>
      </c>
      <c r="B2057" s="1832">
        <f>'Cap Outlay Deprec 26'!L8</f>
        <v>97485756</v>
      </c>
      <c r="C2057" s="2" t="s">
        <v>569</v>
      </c>
      <c r="D2057" s="2" t="str">
        <f t="shared" si="31"/>
        <v>Error?</v>
      </c>
    </row>
    <row r="2058" spans="1:4" x14ac:dyDescent="0.2">
      <c r="A2058" s="5">
        <v>1997</v>
      </c>
      <c r="B2058" s="1832">
        <f>'Cap Outlay Deprec 26'!L10</f>
        <v>918904</v>
      </c>
      <c r="C2058" s="2" t="s">
        <v>569</v>
      </c>
      <c r="D2058" s="2" t="str">
        <f t="shared" si="31"/>
        <v>Error?</v>
      </c>
    </row>
    <row r="2059" spans="1:4" x14ac:dyDescent="0.2">
      <c r="A2059" s="5">
        <v>1998</v>
      </c>
      <c r="B2059" s="1832">
        <f>'Cap Outlay Deprec 26'!L12</f>
        <v>2014204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107730376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124207</v>
      </c>
      <c r="C2088" s="2" t="s">
        <v>569</v>
      </c>
      <c r="D2088" s="2" t="str">
        <f t="shared" si="31"/>
        <v>Error?</v>
      </c>
    </row>
    <row r="2089" spans="1:4" x14ac:dyDescent="0.2">
      <c r="A2089" s="5">
        <v>2028</v>
      </c>
      <c r="B2089" s="1832">
        <f>'Expenditures 15-22'!K92</f>
        <v>4493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10486021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2257528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72937</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272315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73254010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6829660</v>
      </c>
      <c r="C2553" s="2" t="s">
        <v>569</v>
      </c>
      <c r="D2553" s="2" t="str">
        <f t="shared" si="38"/>
        <v>Error?</v>
      </c>
    </row>
    <row r="2554" spans="1:4" x14ac:dyDescent="0.2">
      <c r="A2554" s="5">
        <v>2493</v>
      </c>
      <c r="B2554" s="1832">
        <f>'Acct Summary 7-8'!C7</f>
        <v>3138137</v>
      </c>
      <c r="C2554" s="2" t="s">
        <v>569</v>
      </c>
      <c r="D2554" s="2" t="str">
        <f t="shared" si="38"/>
        <v>Error?</v>
      </c>
    </row>
    <row r="2555" spans="1:4" x14ac:dyDescent="0.2">
      <c r="A2555" s="5">
        <v>2494</v>
      </c>
      <c r="B2555" s="1832">
        <f>'Acct Summary 7-8'!C8</f>
        <v>83221807</v>
      </c>
      <c r="C2555" s="2" t="s">
        <v>569</v>
      </c>
      <c r="D2555" s="2" t="str">
        <f t="shared" si="38"/>
        <v>Error?</v>
      </c>
    </row>
    <row r="2556" spans="1:4" x14ac:dyDescent="0.2">
      <c r="A2556" s="5">
        <v>2495</v>
      </c>
      <c r="B2556" s="1832">
        <f>'Acct Summary 7-8'!C12</f>
        <v>54037524</v>
      </c>
      <c r="C2556" s="2" t="s">
        <v>569</v>
      </c>
      <c r="D2556" s="2" t="str">
        <f t="shared" si="38"/>
        <v>Error?</v>
      </c>
    </row>
    <row r="2557" spans="1:4" x14ac:dyDescent="0.2">
      <c r="A2557" s="5">
        <v>2496</v>
      </c>
      <c r="B2557" s="1832">
        <f>'Acct Summary 7-8'!C13</f>
        <v>25156287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128700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79322511</v>
      </c>
      <c r="C2561" s="2" t="s">
        <v>569</v>
      </c>
      <c r="D2561" s="2" t="str">
        <f t="shared" si="39"/>
        <v>Error?</v>
      </c>
    </row>
    <row r="2562" spans="1:4" x14ac:dyDescent="0.2">
      <c r="A2562" s="5">
        <v>2501</v>
      </c>
      <c r="B2562" s="1832">
        <f>'Acct Summary 7-8'!C20</f>
        <v>3899296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5501491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5551491</v>
      </c>
      <c r="C2568" s="2" t="s">
        <v>569</v>
      </c>
      <c r="D2568" s="2" t="str">
        <f t="shared" si="39"/>
        <v>Error?</v>
      </c>
    </row>
    <row r="2569" spans="1:4" x14ac:dyDescent="0.2">
      <c r="A2569" s="5">
        <v>2508</v>
      </c>
      <c r="B2569" s="1832">
        <f>'Acct Summary 7-8'!D13</f>
        <v>7140547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7140547</v>
      </c>
      <c r="C2573" s="2" t="s">
        <v>569</v>
      </c>
      <c r="D2573" s="2" t="str">
        <f t="shared" si="39"/>
        <v>Error?</v>
      </c>
    </row>
    <row r="2574" spans="1:4" x14ac:dyDescent="0.2">
      <c r="A2574" s="5">
        <v>2513</v>
      </c>
      <c r="B2574" s="1832">
        <f>'Acct Summary 7-8'!D20</f>
        <v>-1589056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1558111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1143551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2701662</v>
      </c>
      <c r="C2595" s="2" t="s">
        <v>569</v>
      </c>
      <c r="D2595" s="2" t="str">
        <f t="shared" si="39"/>
        <v>Error?</v>
      </c>
    </row>
    <row r="2596" spans="1:4" x14ac:dyDescent="0.2">
      <c r="A2596" s="5">
        <v>2535</v>
      </c>
      <c r="B2596" s="1832">
        <f>'Acct Summary 7-8'!F13</f>
        <v>4152747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4152747</v>
      </c>
      <c r="C2600" s="2" t="s">
        <v>569</v>
      </c>
      <c r="D2600" s="2" t="str">
        <f t="shared" si="39"/>
        <v>Error?</v>
      </c>
    </row>
    <row r="2601" spans="1:4" x14ac:dyDescent="0.2">
      <c r="A2601" s="5">
        <v>2540</v>
      </c>
      <c r="B2601" s="1832">
        <f>'Acct Summary 7-8'!F20</f>
        <v>-1451085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1954135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1954135</v>
      </c>
      <c r="C2606" s="2" t="s">
        <v>569</v>
      </c>
      <c r="D2606" s="2" t="str">
        <f t="shared" si="39"/>
        <v>Error?</v>
      </c>
    </row>
    <row r="2607" spans="1:4" x14ac:dyDescent="0.2">
      <c r="A2607" s="5">
        <v>2546</v>
      </c>
      <c r="B2607" s="1832">
        <f>'Acct Summary 7-8'!G12</f>
        <v>1182186</v>
      </c>
      <c r="C2607" s="2" t="s">
        <v>569</v>
      </c>
      <c r="D2607" s="2" t="str">
        <f t="shared" si="39"/>
        <v>Error?</v>
      </c>
    </row>
    <row r="2608" spans="1:4" x14ac:dyDescent="0.2">
      <c r="A2608" s="5">
        <v>2547</v>
      </c>
      <c r="B2608" s="1832">
        <f>'Acct Summary 7-8'!G13</f>
        <v>1170321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2352507</v>
      </c>
      <c r="C2612" s="2" t="s">
        <v>569</v>
      </c>
      <c r="D2612" s="2" t="str">
        <f t="shared" si="39"/>
        <v>Error?</v>
      </c>
    </row>
    <row r="2613" spans="1:4" x14ac:dyDescent="0.2">
      <c r="A2613" s="5">
        <v>2552</v>
      </c>
      <c r="B2613" s="1832">
        <f>'Acct Summary 7-8'!G20</f>
        <v>-398372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1387530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1387530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1370339</v>
      </c>
      <c r="C2634" s="2" t="s">
        <v>569</v>
      </c>
      <c r="D2634" s="2" t="str">
        <f t="shared" si="40"/>
        <v>Error?</v>
      </c>
    </row>
    <row r="2635" spans="1:4" x14ac:dyDescent="0.2">
      <c r="A2635" s="5">
        <v>2574</v>
      </c>
      <c r="B2635" s="1832">
        <f>'Acct Summary 7-8'!E17</f>
        <v>1370339</v>
      </c>
      <c r="C2635" s="2" t="s">
        <v>569</v>
      </c>
      <c r="D2635" s="2" t="str">
        <f t="shared" si="40"/>
        <v>Error?</v>
      </c>
    </row>
    <row r="2636" spans="1:4" x14ac:dyDescent="0.2">
      <c r="A2636" s="5">
        <v>2575</v>
      </c>
      <c r="B2636" s="1832">
        <f>'Acct Summary 7-8'!E20</f>
        <v>17191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256792</v>
      </c>
      <c r="C2655" s="2" t="s">
        <v>569</v>
      </c>
      <c r="D2655" s="2" t="str">
        <f t="shared" si="40"/>
        <v>Error?</v>
      </c>
    </row>
    <row r="2656" spans="1:4" x14ac:dyDescent="0.2">
      <c r="A2656" s="5">
        <v>2595</v>
      </c>
      <c r="B2656" s="1832">
        <f>'Acct Summary 7-8'!H6</f>
        <v>9140000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9396792</v>
      </c>
      <c r="C2658" s="2" t="s">
        <v>569</v>
      </c>
      <c r="D2658" s="2" t="str">
        <f t="shared" si="40"/>
        <v>Error?</v>
      </c>
    </row>
    <row r="2659" spans="1:4" x14ac:dyDescent="0.2">
      <c r="A2659" s="5">
        <v>2598</v>
      </c>
      <c r="B2659" s="1832">
        <f>'Acct Summary 7-8'!H13</f>
        <v>16709141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16709141</v>
      </c>
      <c r="C2661" s="2" t="s">
        <v>569</v>
      </c>
      <c r="D2661" s="2" t="str">
        <f t="shared" si="40"/>
        <v>Error?</v>
      </c>
    </row>
    <row r="2662" spans="1:4" x14ac:dyDescent="0.2">
      <c r="A2662" s="5">
        <v>2601</v>
      </c>
      <c r="B2662" s="1832">
        <f>'Acct Summary 7-8'!H20</f>
        <v>-7312349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124207</v>
      </c>
      <c r="C2789" s="2" t="s">
        <v>569</v>
      </c>
      <c r="D2789" s="2" t="str">
        <f t="shared" si="42"/>
        <v>Error?</v>
      </c>
    </row>
    <row r="2790" spans="1:4" x14ac:dyDescent="0.2">
      <c r="A2790" s="5">
        <v>2729</v>
      </c>
      <c r="B2790" s="1832">
        <f>'Expenditures 15-22'!E102</f>
        <v>124207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4981156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2135610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908573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2135610</v>
      </c>
      <c r="D2912" s="2" t="str">
        <f t="shared" si="44"/>
        <v>Error?</v>
      </c>
    </row>
    <row r="2913" spans="1:4" x14ac:dyDescent="0.2">
      <c r="A2913" s="5">
        <v>2852</v>
      </c>
      <c r="B2913" s="1832">
        <f>'Assets-Liab 5-6'!I41</f>
        <v>2135610</v>
      </c>
      <c r="C2913" s="2" t="s">
        <v>569</v>
      </c>
      <c r="D2913" s="2" t="str">
        <f t="shared" si="44"/>
        <v>Error?</v>
      </c>
    </row>
    <row r="2914" spans="1:4" x14ac:dyDescent="0.2">
      <c r="A2914" s="5">
        <v>2853</v>
      </c>
      <c r="B2914" s="1832">
        <f>'Assets-Liab 5-6'!L33</f>
        <v>908573</v>
      </c>
      <c r="D2914" s="2" t="str">
        <f t="shared" si="44"/>
        <v>Error?</v>
      </c>
    </row>
    <row r="2915" spans="1:4" x14ac:dyDescent="0.2">
      <c r="A2915" s="10">
        <v>2854</v>
      </c>
      <c r="B2915" s="1832"/>
      <c r="D2915" s="2" t="str">
        <f t="shared" si="44"/>
        <v>OK</v>
      </c>
    </row>
    <row r="2916" spans="1:4" x14ac:dyDescent="0.2">
      <c r="A2916" s="5">
        <v>2855</v>
      </c>
      <c r="B2916" s="1832">
        <f>'Assets-Liab 5-6'!L34</f>
        <v>908573</v>
      </c>
      <c r="C2916" s="2" t="s">
        <v>569</v>
      </c>
      <c r="D2916" s="2" t="str">
        <f t="shared" si="44"/>
        <v>Error?</v>
      </c>
    </row>
    <row r="2917" spans="1:4" x14ac:dyDescent="0.2">
      <c r="A2917" s="5">
        <v>2856</v>
      </c>
      <c r="B2917" s="1832">
        <f>'Assets-Liab 5-6'!L41</f>
        <v>908573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14575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109632</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14575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109632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34702</v>
      </c>
      <c r="C3225" s="2" t="s">
        <v>569</v>
      </c>
      <c r="D3225" s="2" t="str">
        <f t="shared" si="49"/>
        <v>Error?</v>
      </c>
    </row>
    <row r="3226" spans="1:4" x14ac:dyDescent="0.2">
      <c r="A3226" s="5">
        <v>3165</v>
      </c>
      <c r="B3226" s="1832">
        <f>'Acct Summary 7-8'!I8</f>
        <v>34702</v>
      </c>
      <c r="C3226" s="2" t="s">
        <v>569</v>
      </c>
      <c r="D3226" s="2" t="str">
        <f t="shared" si="49"/>
        <v>Error?</v>
      </c>
    </row>
    <row r="3227" spans="1:4" x14ac:dyDescent="0.2">
      <c r="A3227" s="5">
        <v>3166</v>
      </c>
      <c r="B3227" s="1832">
        <f>'Acct Summary 7-8'!I20</f>
        <v>34702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8300000</v>
      </c>
      <c r="C3231" s="2" t="s">
        <v>569</v>
      </c>
      <c r="D3231" s="2" t="str">
        <f t="shared" si="49"/>
        <v>Error?</v>
      </c>
    </row>
    <row r="3232" spans="1:4" x14ac:dyDescent="0.2">
      <c r="A3232" s="5">
        <v>3171</v>
      </c>
      <c r="B3232" s="1832">
        <f>'Acct Summary 7-8'!C77</f>
        <v>-8300000</v>
      </c>
      <c r="C3232" s="2" t="s">
        <v>569</v>
      </c>
      <c r="D3232" s="2" t="str">
        <f t="shared" si="49"/>
        <v>Error?</v>
      </c>
    </row>
    <row r="3233" spans="1:4" x14ac:dyDescent="0.2">
      <c r="A3233" s="5">
        <v>3172</v>
      </c>
      <c r="B3233" s="1832">
        <f>'Acct Summary 7-8'!C78</f>
        <v>-4400704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8300000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3000000</v>
      </c>
      <c r="C3237" s="2" t="s">
        <v>569</v>
      </c>
      <c r="D3237" s="2" t="str">
        <f t="shared" si="49"/>
        <v>Error?</v>
      </c>
    </row>
    <row r="3238" spans="1:4" x14ac:dyDescent="0.2">
      <c r="A3238" s="5">
        <v>3177</v>
      </c>
      <c r="B3238" s="1832">
        <f>'Acct Summary 7-8'!D77</f>
        <v>5300000</v>
      </c>
      <c r="C3238" s="2" t="s">
        <v>569</v>
      </c>
      <c r="D3238" s="2" t="str">
        <f t="shared" si="49"/>
        <v>Error?</v>
      </c>
    </row>
    <row r="3239" spans="1:4" x14ac:dyDescent="0.2">
      <c r="A3239" s="5">
        <v>3178</v>
      </c>
      <c r="B3239" s="1832">
        <f>'Acct Summary 7-8'!D78</f>
        <v>3710944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-1451085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-398372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17191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3000000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3000000</v>
      </c>
      <c r="C3299" s="2" t="s">
        <v>569</v>
      </c>
      <c r="D3299" s="2" t="str">
        <f t="shared" si="50"/>
        <v>Error?</v>
      </c>
    </row>
    <row r="3300" spans="1:4" x14ac:dyDescent="0.2">
      <c r="A3300" s="5">
        <v>3239</v>
      </c>
      <c r="B3300" s="1832">
        <f>'Acct Summary 7-8'!H78</f>
        <v>-4312349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34702</v>
      </c>
      <c r="C3320" s="2" t="s">
        <v>569</v>
      </c>
      <c r="D3320" s="2" t="str">
        <f t="shared" si="50"/>
        <v>Error?</v>
      </c>
    </row>
    <row r="3321" spans="1:4" x14ac:dyDescent="0.2">
      <c r="A3321" s="5">
        <v>3260</v>
      </c>
      <c r="B3321" s="1832">
        <f>'Acct Summary 7-8'!I79</f>
        <v>2100908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2135610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7466286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1906170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220991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189213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1718</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9811151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483284</v>
      </c>
      <c r="D3387" s="2" t="str">
        <f t="shared" si="51"/>
        <v>Error?</v>
      </c>
    </row>
    <row r="3388" spans="1:4" x14ac:dyDescent="0.2">
      <c r="A3388" s="5">
        <v>3327</v>
      </c>
      <c r="B3388" s="1832">
        <f>'Expenditures 15-22'!D217</f>
        <v>509075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483284</v>
      </c>
      <c r="C3390" s="2" t="s">
        <v>569</v>
      </c>
      <c r="D3390" s="2" t="str">
        <f t="shared" si="51"/>
        <v>Error?</v>
      </c>
    </row>
    <row r="3391" spans="1:4" x14ac:dyDescent="0.2">
      <c r="A3391" s="5">
        <v>3330</v>
      </c>
      <c r="B3391" s="1832">
        <f>'Expenditures 15-22'!K217</f>
        <v>509075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32841285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7777971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713150</v>
      </c>
      <c r="D3417" s="2" t="str">
        <f t="shared" si="52"/>
        <v>Error?</v>
      </c>
    </row>
    <row r="3418" spans="1:4" x14ac:dyDescent="0.2">
      <c r="A3418" s="10">
        <v>3357</v>
      </c>
      <c r="B3418" s="1832"/>
      <c r="D3418" s="2" t="str">
        <f t="shared" si="52"/>
        <v>OK</v>
      </c>
    </row>
    <row r="3419" spans="1:4" x14ac:dyDescent="0.2">
      <c r="A3419" s="5">
        <v>3358</v>
      </c>
      <c r="B3419" s="1832">
        <f>'Assets-Liab 5-6'!F4</f>
        <v>3215882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3156837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5431708</v>
      </c>
      <c r="D3425" s="2" t="str">
        <f t="shared" si="52"/>
        <v>Error?</v>
      </c>
    </row>
    <row r="3426" spans="1:4" x14ac:dyDescent="0.2">
      <c r="A3426" s="10">
        <v>3365</v>
      </c>
      <c r="B3426" s="1832"/>
      <c r="D3426" s="2" t="str">
        <f t="shared" si="52"/>
        <v>OK</v>
      </c>
    </row>
    <row r="3427" spans="1:4" x14ac:dyDescent="0.2">
      <c r="A3427" s="5">
        <v>3366</v>
      </c>
      <c r="B3427" s="1832">
        <f>'Assets-Liab 5-6'!I4</f>
        <v>2135610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908573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1337916</v>
      </c>
      <c r="C3446" s="2" t="s">
        <v>569</v>
      </c>
      <c r="D3446" s="2" t="str">
        <f t="shared" si="52"/>
        <v>Error?</v>
      </c>
    </row>
    <row r="3447" spans="1:4" x14ac:dyDescent="0.2">
      <c r="A3447" s="5">
        <v>3386</v>
      </c>
      <c r="B3447" s="1832">
        <f>'Tax Sched 23'!D16</f>
        <v>839855</v>
      </c>
      <c r="C3447" s="2" t="s">
        <v>569</v>
      </c>
      <c r="D3447" s="2" t="str">
        <f t="shared" si="52"/>
        <v>Error?</v>
      </c>
    </row>
    <row r="3448" spans="1:4" x14ac:dyDescent="0.2">
      <c r="A3448" s="5">
        <v>3387</v>
      </c>
      <c r="B3448" s="1832">
        <f>'Tax Sched 23'!C16</f>
        <v>498061</v>
      </c>
      <c r="D3448" s="2" t="str">
        <f t="shared" si="52"/>
        <v>Error?</v>
      </c>
    </row>
    <row r="3449" spans="1:4" x14ac:dyDescent="0.2">
      <c r="A3449" s="5">
        <v>3388</v>
      </c>
      <c r="B3449" s="1832">
        <f>'Tax Sched 23'!F16</f>
        <v>574122</v>
      </c>
      <c r="C3449" s="2" t="s">
        <v>569</v>
      </c>
      <c r="D3449" s="2" t="str">
        <f t="shared" si="52"/>
        <v>Error?</v>
      </c>
    </row>
    <row r="3450" spans="1:4" x14ac:dyDescent="0.2">
      <c r="A3450" s="5">
        <v>3389</v>
      </c>
      <c r="B3450" s="1832">
        <f>'Tax Sched 23'!E16</f>
        <v>1072183</v>
      </c>
      <c r="D3450" s="2" t="str">
        <f t="shared" si="52"/>
        <v>Error?</v>
      </c>
    </row>
    <row r="3451" spans="1:4" x14ac:dyDescent="0.2">
      <c r="A3451" s="5">
        <v>3390</v>
      </c>
      <c r="B3451" s="1832">
        <f>'Cap Outlay Deprec 26'!C15</f>
        <v>4098772</v>
      </c>
      <c r="D3451" s="2" t="str">
        <f t="shared" si="52"/>
        <v>Error?</v>
      </c>
    </row>
    <row r="3452" spans="1:4" x14ac:dyDescent="0.2">
      <c r="A3452" s="5">
        <v>3391</v>
      </c>
      <c r="B3452" s="1832">
        <f>'Cap Outlay Deprec 26'!D15</f>
        <v>4981156</v>
      </c>
      <c r="D3452" s="2" t="str">
        <f t="shared" si="52"/>
        <v>Error?</v>
      </c>
    </row>
    <row r="3453" spans="1:4" x14ac:dyDescent="0.2">
      <c r="A3453" s="5">
        <v>3392</v>
      </c>
      <c r="B3453" s="1832">
        <f>'Cap Outlay Deprec 26'!E15</f>
        <v>4098772</v>
      </c>
      <c r="D3453" s="2" t="str">
        <f t="shared" si="52"/>
        <v>Error?</v>
      </c>
    </row>
    <row r="3454" spans="1:4" x14ac:dyDescent="0.2">
      <c r="A3454" s="5">
        <v>3393</v>
      </c>
      <c r="B3454" s="1832">
        <f>'Cap Outlay Deprec 26'!F15</f>
        <v>4981156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4981156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40377549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123599356</v>
      </c>
      <c r="C4122" s="2" t="s">
        <v>569</v>
      </c>
      <c r="D4122" s="2" t="str">
        <f t="shared" si="63"/>
        <v>Error?</v>
      </c>
    </row>
    <row r="4123" spans="1:4" x14ac:dyDescent="0.2">
      <c r="A4123" s="5">
        <v>4062</v>
      </c>
      <c r="B4123" s="1832">
        <f>'Acct Summary 7-8'!D10</f>
        <v>5551491</v>
      </c>
      <c r="C4123" s="2" t="s">
        <v>569</v>
      </c>
      <c r="D4123" s="2" t="str">
        <f t="shared" si="63"/>
        <v>Error?</v>
      </c>
    </row>
    <row r="4124" spans="1:4" x14ac:dyDescent="0.2">
      <c r="A4124" s="5">
        <v>4063</v>
      </c>
      <c r="B4124" s="1832">
        <f>'Acct Summary 7-8'!E10</f>
        <v>1387530</v>
      </c>
      <c r="C4124" s="2" t="s">
        <v>569</v>
      </c>
      <c r="D4124" s="2" t="str">
        <f t="shared" si="63"/>
        <v>Error?</v>
      </c>
    </row>
    <row r="4125" spans="1:4" x14ac:dyDescent="0.2">
      <c r="A4125" s="5">
        <v>4064</v>
      </c>
      <c r="B4125" s="1832">
        <f>'Acct Summary 7-8'!F10</f>
        <v>2701662</v>
      </c>
      <c r="C4125" s="2" t="s">
        <v>569</v>
      </c>
      <c r="D4125" s="2" t="str">
        <f t="shared" si="63"/>
        <v>Error?</v>
      </c>
    </row>
    <row r="4126" spans="1:4" x14ac:dyDescent="0.2">
      <c r="A4126" s="5">
        <v>4065</v>
      </c>
      <c r="B4126" s="1832">
        <f>'Acct Summary 7-8'!G10</f>
        <v>1954135</v>
      </c>
      <c r="C4126" s="2" t="s">
        <v>569</v>
      </c>
      <c r="D4126" s="2" t="str">
        <f t="shared" si="63"/>
        <v>Error?</v>
      </c>
    </row>
    <row r="4127" spans="1:4" x14ac:dyDescent="0.2">
      <c r="A4127" s="5">
        <v>4066</v>
      </c>
      <c r="B4127" s="1832">
        <f>'Acct Summary 7-8'!H10</f>
        <v>9396792</v>
      </c>
      <c r="C4127" s="2" t="s">
        <v>569</v>
      </c>
      <c r="D4127" s="2" t="str">
        <f t="shared" si="63"/>
        <v>Error?</v>
      </c>
    </row>
    <row r="4128" spans="1:4" x14ac:dyDescent="0.2">
      <c r="A4128" s="5">
        <v>4067</v>
      </c>
      <c r="B4128" s="1832">
        <f>'Acct Summary 7-8'!I10</f>
        <v>34702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40377549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119700060</v>
      </c>
      <c r="C4136" s="2" t="s">
        <v>569</v>
      </c>
      <c r="D4136" s="2" t="str">
        <f t="shared" si="63"/>
        <v>Error?</v>
      </c>
    </row>
    <row r="4137" spans="1:4" x14ac:dyDescent="0.2">
      <c r="A4137" s="5">
        <v>4076</v>
      </c>
      <c r="B4137" s="1832">
        <f>'Acct Summary 7-8'!D19</f>
        <v>7140547</v>
      </c>
      <c r="C4137" s="2" t="s">
        <v>569</v>
      </c>
      <c r="D4137" s="2" t="str">
        <f t="shared" si="63"/>
        <v>Error?</v>
      </c>
    </row>
    <row r="4138" spans="1:4" x14ac:dyDescent="0.2">
      <c r="A4138" s="5">
        <v>4077</v>
      </c>
      <c r="B4138" s="1832">
        <f>'Acct Summary 7-8'!E19</f>
        <v>1370339</v>
      </c>
      <c r="C4138" s="2" t="s">
        <v>569</v>
      </c>
      <c r="D4138" s="2" t="str">
        <f t="shared" si="63"/>
        <v>Error?</v>
      </c>
    </row>
    <row r="4139" spans="1:4" x14ac:dyDescent="0.2">
      <c r="A4139" s="5">
        <v>4078</v>
      </c>
      <c r="B4139" s="1832">
        <f>'Acct Summary 7-8'!F19</f>
        <v>4152747</v>
      </c>
      <c r="C4139" s="2" t="s">
        <v>569</v>
      </c>
      <c r="D4139" s="2" t="str">
        <f t="shared" si="63"/>
        <v>Error?</v>
      </c>
    </row>
    <row r="4140" spans="1:4" x14ac:dyDescent="0.2">
      <c r="A4140" s="5">
        <v>4079</v>
      </c>
      <c r="B4140" s="1832">
        <f>'Acct Summary 7-8'!G19</f>
        <v>2352507</v>
      </c>
      <c r="C4140" s="2" t="s">
        <v>569</v>
      </c>
      <c r="D4140" s="2" t="str">
        <f t="shared" si="63"/>
        <v>Error?</v>
      </c>
    </row>
    <row r="4141" spans="1:4" x14ac:dyDescent="0.2">
      <c r="A4141" s="5">
        <v>4080</v>
      </c>
      <c r="B4141" s="1832">
        <f>'Acct Summary 7-8'!H19</f>
        <v>16709141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14835000</v>
      </c>
      <c r="C4171" s="2" t="s">
        <v>569</v>
      </c>
      <c r="D4171" s="2" t="str">
        <f t="shared" si="64"/>
        <v>Error?</v>
      </c>
    </row>
    <row r="4172" spans="1:4" x14ac:dyDescent="0.2">
      <c r="A4172" s="5">
        <v>4111</v>
      </c>
      <c r="B4172" s="1832">
        <f>'Short-Term Long-Term Debt 24'!J49</f>
        <v>14762063</v>
      </c>
      <c r="C4172" s="2" t="s">
        <v>569</v>
      </c>
      <c r="D4172" s="2" t="str">
        <f t="shared" si="64"/>
        <v>Error?</v>
      </c>
    </row>
    <row r="4173" spans="1:4" x14ac:dyDescent="0.2">
      <c r="A4173" s="5">
        <v>4112</v>
      </c>
      <c r="B4173" s="1832">
        <f>'Short-Term Long-Term Debt 24'!H49</f>
        <v>795000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2178.5</v>
      </c>
      <c r="C4265" s="2" t="s">
        <v>569</v>
      </c>
      <c r="D4265" s="2" t="str">
        <f t="shared" si="65"/>
        <v>Error?</v>
      </c>
      <c r="E4265" s="125"/>
    </row>
    <row r="4266" spans="1:5" x14ac:dyDescent="0.2">
      <c r="A4266" s="12">
        <v>4205</v>
      </c>
      <c r="B4266" s="1832">
        <f>('FP Info 3'!F10)*100000</f>
        <v>179.86699999999999</v>
      </c>
      <c r="C4266" s="2" t="s">
        <v>569</v>
      </c>
      <c r="D4266" s="2" t="str">
        <f t="shared" si="65"/>
        <v>Error?</v>
      </c>
      <c r="E4266" s="125"/>
    </row>
    <row r="4267" spans="1:5" x14ac:dyDescent="0.2">
      <c r="A4267" s="12">
        <v>4206</v>
      </c>
      <c r="B4267" s="1832">
        <f>('FP Info 3'!H10)*100000</f>
        <v>50.352999999999994</v>
      </c>
      <c r="C4267" s="2" t="s">
        <v>569</v>
      </c>
      <c r="D4267" s="2" t="str">
        <f t="shared" si="65"/>
        <v>Error?</v>
      </c>
      <c r="E4267" s="125"/>
    </row>
    <row r="4268" spans="1:5" x14ac:dyDescent="0.2">
      <c r="A4268" s="12">
        <v>4207</v>
      </c>
      <c r="B4268" s="1832">
        <f>('FP Info 3'!J10)*100000</f>
        <v>2409</v>
      </c>
      <c r="C4268" s="2" t="s">
        <v>569</v>
      </c>
      <c r="D4268" s="2" t="str">
        <f t="shared" si="65"/>
        <v>Error?</v>
      </c>
    </row>
    <row r="4269" spans="1:5" x14ac:dyDescent="0.2">
      <c r="A4269" s="12">
        <v>4208</v>
      </c>
      <c r="B4269" s="1832">
        <f>'FP Info 3'!J16</f>
        <v>41100534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65759</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88836</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67828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78737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24390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65173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573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4583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240000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320798</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2954321604</v>
      </c>
      <c r="D4995" s="2" t="str">
        <f t="shared" si="77"/>
        <v>Error?</v>
      </c>
    </row>
    <row r="4996" spans="1:4" x14ac:dyDescent="0.2">
      <c r="A4996" s="12">
        <v>4935</v>
      </c>
      <c r="B4996" s="1832">
        <f>'FP Info 3'!H31</f>
        <v>203848190.67600003</v>
      </c>
      <c r="D4996" s="2" t="str">
        <f t="shared" si="77"/>
        <v>Error?</v>
      </c>
    </row>
    <row r="4997" spans="1:4" x14ac:dyDescent="0.2">
      <c r="A4997" s="12">
        <v>4936</v>
      </c>
      <c r="B4997" s="1832">
        <f>'FP Info 3'!H37</f>
        <v>14835000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8300000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8300000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62518182</v>
      </c>
      <c r="D5061" s="2" t="str">
        <f t="shared" si="78"/>
        <v>Error?</v>
      </c>
    </row>
    <row r="5062" spans="1:4" x14ac:dyDescent="0.2">
      <c r="A5062" s="10">
        <v>5001</v>
      </c>
      <c r="B5062" s="1832"/>
      <c r="D5062" s="2" t="str">
        <f t="shared" si="78"/>
        <v>OK</v>
      </c>
    </row>
    <row r="5063" spans="1:4" x14ac:dyDescent="0.2">
      <c r="A5063" s="5">
        <v>5002</v>
      </c>
      <c r="B5063" s="1832">
        <f>'Revenues 9-14'!C7</f>
        <v>1801038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64319220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1270932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1270932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31900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44000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75900</v>
      </c>
      <c r="C5087" s="2" t="s">
        <v>569</v>
      </c>
      <c r="D5087" s="2" t="str">
        <f t="shared" si="78"/>
        <v>Error?</v>
      </c>
    </row>
    <row r="5088" spans="1:4" x14ac:dyDescent="0.2">
      <c r="A5088" s="5">
        <v>5027</v>
      </c>
      <c r="B5088" s="1832">
        <f>'Revenues 9-14'!C65</f>
        <v>1228447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1228447</v>
      </c>
      <c r="C5090" s="2" t="s">
        <v>569</v>
      </c>
      <c r="D5090" s="2" t="str">
        <f t="shared" si="78"/>
        <v>Error?</v>
      </c>
    </row>
    <row r="5091" spans="1:4" x14ac:dyDescent="0.2">
      <c r="A5091" s="5">
        <v>5030</v>
      </c>
      <c r="B5091" s="1832">
        <f>'Revenues 9-14'!C70</f>
        <v>29249</v>
      </c>
      <c r="D5091" s="2" t="str">
        <f t="shared" si="78"/>
        <v>Error?</v>
      </c>
    </row>
    <row r="5092" spans="1:4" x14ac:dyDescent="0.2">
      <c r="A5092" s="5">
        <v>5031</v>
      </c>
      <c r="B5092" s="1832">
        <f>'Revenues 9-14'!C71</f>
        <v>534144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9550</v>
      </c>
      <c r="D5094" s="2" t="str">
        <f t="shared" si="78"/>
        <v>Error?</v>
      </c>
    </row>
    <row r="5095" spans="1:4" x14ac:dyDescent="0.2">
      <c r="A5095" s="5">
        <v>5034</v>
      </c>
      <c r="B5095" s="1832">
        <f>'Revenues 9-14'!C74</f>
        <v>32</v>
      </c>
      <c r="D5095" s="2" t="str">
        <f t="shared" si="78"/>
        <v>Error?</v>
      </c>
    </row>
    <row r="5096" spans="1:4" x14ac:dyDescent="0.2">
      <c r="A5096" s="5">
        <v>5035</v>
      </c>
      <c r="B5096" s="1832">
        <f>'Revenues 9-14'!C75</f>
        <v>944546</v>
      </c>
      <c r="C5096" s="2" t="s">
        <v>569</v>
      </c>
      <c r="D5096" s="2" t="str">
        <f t="shared" si="78"/>
        <v>Error?</v>
      </c>
    </row>
    <row r="5097" spans="1:4" x14ac:dyDescent="0.2">
      <c r="A5097" s="5">
        <v>5036</v>
      </c>
      <c r="B5097" s="1832">
        <f>'Revenues 9-14'!C77</f>
        <v>227948</v>
      </c>
      <c r="D5097" s="2" t="str">
        <f t="shared" si="78"/>
        <v>Error?</v>
      </c>
    </row>
    <row r="5098" spans="1:4" x14ac:dyDescent="0.2">
      <c r="A5098" s="5">
        <v>5037</v>
      </c>
      <c r="B5098" s="1832">
        <f>'Revenues 9-14'!C78</f>
        <v>124002</v>
      </c>
      <c r="D5098" s="2" t="str">
        <f t="shared" si="78"/>
        <v>Error?</v>
      </c>
    </row>
    <row r="5099" spans="1:4" x14ac:dyDescent="0.2">
      <c r="A5099" s="5">
        <v>5038</v>
      </c>
      <c r="B5099" s="1832">
        <f>'Revenues 9-14'!C79</f>
        <v>490862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662320</v>
      </c>
      <c r="D5101" s="2" t="str">
        <f t="shared" si="78"/>
        <v>Error?</v>
      </c>
    </row>
    <row r="5102" spans="1:4" x14ac:dyDescent="0.2">
      <c r="A5102" s="5">
        <v>5041</v>
      </c>
      <c r="B5102" s="1832">
        <f>'Revenues 9-14'!C82</f>
        <v>1505132</v>
      </c>
      <c r="C5102" s="2" t="s">
        <v>569</v>
      </c>
      <c r="D5102" s="2" t="str">
        <f t="shared" si="78"/>
        <v>Error?</v>
      </c>
    </row>
    <row r="5103" spans="1:4" x14ac:dyDescent="0.2">
      <c r="A5103" s="5">
        <v>5042</v>
      </c>
      <c r="B5103" s="1832">
        <f>'Revenues 9-14'!C84</f>
        <v>1090068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440</v>
      </c>
      <c r="D5111" s="2" t="str">
        <f t="shared" si="78"/>
        <v>Error?</v>
      </c>
    </row>
    <row r="5112" spans="1:4" x14ac:dyDescent="0.2">
      <c r="A5112" s="5">
        <v>5051</v>
      </c>
      <c r="B5112" s="1832">
        <f>'Revenues 9-14'!C93</f>
        <v>1090508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4715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16208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34300</v>
      </c>
      <c r="D5118" s="2" t="str">
        <f t="shared" si="78"/>
        <v>Error?</v>
      </c>
    </row>
    <row r="5119" spans="1:4" x14ac:dyDescent="0.2">
      <c r="A5119" s="5">
        <v>5058</v>
      </c>
      <c r="B5119" s="1832">
        <f>'Revenues 9-14'!C107</f>
        <v>2640430</v>
      </c>
      <c r="D5119" s="2" t="str">
        <f t="shared" ref="D5119:D5182" si="79">IF(ISBLANK(B5119),"OK",IF(A5119-B5119=0,"OK","Error?"))</f>
        <v>Error?</v>
      </c>
    </row>
    <row r="5120" spans="1:4" x14ac:dyDescent="0.2">
      <c r="A5120" s="5">
        <v>5059</v>
      </c>
      <c r="B5120" s="1832">
        <f>'Revenues 9-14'!C108</f>
        <v>2819325</v>
      </c>
      <c r="C5120" s="2" t="s">
        <v>569</v>
      </c>
      <c r="D5120" s="2" t="str">
        <f t="shared" si="79"/>
        <v>Error?</v>
      </c>
    </row>
    <row r="5121" spans="1:4" x14ac:dyDescent="0.2">
      <c r="A5121" s="5">
        <v>5060</v>
      </c>
      <c r="B5121" s="1832">
        <f>'Revenues 9-14'!C109</f>
        <v>73254010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6232100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6232100</v>
      </c>
      <c r="C5132" s="2" t="s">
        <v>569</v>
      </c>
      <c r="D5132" s="2" t="str">
        <f t="shared" si="79"/>
        <v>Error?</v>
      </c>
    </row>
    <row r="5133" spans="1:4" x14ac:dyDescent="0.2">
      <c r="A5133" s="5">
        <v>5072</v>
      </c>
      <c r="B5133" s="1832">
        <f>'Revenues 9-14'!C125</f>
        <v>275918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48971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324889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140660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140660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4930</v>
      </c>
      <c r="D5167" s="2" t="str">
        <f t="shared" si="79"/>
        <v>Error?</v>
      </c>
    </row>
    <row r="5168" spans="1:4" x14ac:dyDescent="0.2">
      <c r="A5168" s="5">
        <v>5107</v>
      </c>
      <c r="B5168" s="1832">
        <f>'Revenues 9-14'!C148</f>
        <v>122498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597560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6829660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327483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73846</v>
      </c>
      <c r="D5241" s="2" t="str">
        <f t="shared" si="80"/>
        <v>Error?</v>
      </c>
    </row>
    <row r="5242" spans="1:4" x14ac:dyDescent="0.2">
      <c r="A5242" s="5">
        <v>5181</v>
      </c>
      <c r="B5242" s="1832">
        <f>'Revenues 9-14'!C194</f>
        <v>150240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617328</v>
      </c>
      <c r="C5246" s="2" t="s">
        <v>569</v>
      </c>
      <c r="D5246" s="2" t="str">
        <f t="shared" si="80"/>
        <v>Error?</v>
      </c>
    </row>
    <row r="5247" spans="1:4" x14ac:dyDescent="0.2">
      <c r="A5247" s="5">
        <v>5186</v>
      </c>
      <c r="B5247" s="1832">
        <f>'Revenues 9-14'!C200</f>
        <v>488495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24390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488495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1182278</v>
      </c>
      <c r="D5278" s="2" t="str">
        <f t="shared" si="81"/>
        <v>Error?</v>
      </c>
    </row>
    <row r="5279" spans="1:4" x14ac:dyDescent="0.2">
      <c r="A5279" s="5">
        <v>5218</v>
      </c>
      <c r="B5279" s="1832">
        <f>'Revenues 9-14'!C214</f>
        <v>204274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1386552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88836</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3138137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3138137</v>
      </c>
      <c r="C5326" s="2" t="s">
        <v>569</v>
      </c>
      <c r="D5326" s="2" t="str">
        <f t="shared" si="82"/>
        <v>Error?</v>
      </c>
    </row>
    <row r="5327" spans="1:5" x14ac:dyDescent="0.2">
      <c r="A5327" s="5">
        <v>5266</v>
      </c>
      <c r="B5327" s="1832">
        <f>'Revenues 9-14'!C268</f>
        <v>83221807</v>
      </c>
      <c r="C5327" s="2" t="s">
        <v>569</v>
      </c>
      <c r="D5327" s="2" t="str">
        <f t="shared" si="82"/>
        <v>Error?</v>
      </c>
    </row>
    <row r="5328" spans="1:5" x14ac:dyDescent="0.2">
      <c r="A5328" s="5">
        <v>5267</v>
      </c>
      <c r="B5328" s="1832">
        <f>'Revenues 9-14'!D5</f>
        <v>5185971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5185971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56817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56817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163190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28671</v>
      </c>
      <c r="D5347" s="2" t="str">
        <f t="shared" si="82"/>
        <v>Error?</v>
      </c>
    </row>
    <row r="5348" spans="1:4" x14ac:dyDescent="0.2">
      <c r="A5348" s="5">
        <v>5287</v>
      </c>
      <c r="B5348" s="1832">
        <f>'Revenues 9-14'!D82</f>
        <v>191861</v>
      </c>
      <c r="C5348" s="2" t="s">
        <v>569</v>
      </c>
      <c r="D5348" s="2" t="str">
        <f t="shared" si="82"/>
        <v>Error?</v>
      </c>
    </row>
    <row r="5349" spans="1:4" x14ac:dyDescent="0.2">
      <c r="A5349" s="5">
        <v>5288</v>
      </c>
      <c r="B5349" s="1832">
        <f>'Revenues 9-14'!D95</f>
        <v>64664</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275</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1903</v>
      </c>
      <c r="D5354" s="2" t="str">
        <f t="shared" si="82"/>
        <v>Error?</v>
      </c>
    </row>
    <row r="5355" spans="1:4" x14ac:dyDescent="0.2">
      <c r="A5355" s="5">
        <v>5294</v>
      </c>
      <c r="B5355" s="1832">
        <f>'Revenues 9-14'!D108</f>
        <v>66842</v>
      </c>
      <c r="C5355" s="2" t="s">
        <v>569</v>
      </c>
      <c r="D5355" s="2" t="str">
        <f t="shared" si="82"/>
        <v>Error?</v>
      </c>
    </row>
    <row r="5356" spans="1:4" x14ac:dyDescent="0.2">
      <c r="A5356" s="5">
        <v>5295</v>
      </c>
      <c r="B5356" s="1832">
        <f>'Revenues 9-14'!D109</f>
        <v>5501491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5551491</v>
      </c>
      <c r="C5508" s="2" t="s">
        <v>569</v>
      </c>
      <c r="D5508" s="2" t="str">
        <f t="shared" si="85"/>
        <v>Error?</v>
      </c>
    </row>
    <row r="5509" spans="1:4" x14ac:dyDescent="0.2">
      <c r="A5509" s="5">
        <v>5448</v>
      </c>
      <c r="B5509" s="1832">
        <f>'Revenues 9-14'!E5</f>
        <v>1374849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1374849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12681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12681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1387530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1387530</v>
      </c>
      <c r="C5552" s="2" t="s">
        <v>569</v>
      </c>
      <c r="D5552" s="2" t="str">
        <f t="shared" si="85"/>
        <v>Error?</v>
      </c>
    </row>
    <row r="5553" spans="1:4" x14ac:dyDescent="0.2">
      <c r="A5553" s="5">
        <v>5492</v>
      </c>
      <c r="B5553" s="1832">
        <f>'Revenues 9-14'!F5</f>
        <v>1451787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1451787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45690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45690</v>
      </c>
      <c r="C5579" s="2" t="s">
        <v>569</v>
      </c>
      <c r="D5579" s="2" t="str">
        <f t="shared" si="86"/>
        <v>Error?</v>
      </c>
    </row>
    <row r="5580" spans="1:4" x14ac:dyDescent="0.2">
      <c r="A5580" s="5">
        <v>5519</v>
      </c>
      <c r="B5580" s="1832">
        <f>'Revenues 9-14'!F65</f>
        <v>60634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60634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1558111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55452</v>
      </c>
      <c r="D5615" s="2" t="str">
        <f t="shared" si="86"/>
        <v>Error?</v>
      </c>
    </row>
    <row r="5616" spans="1:4" x14ac:dyDescent="0.2">
      <c r="A5616" s="10">
        <v>5555</v>
      </c>
      <c r="B5616" s="1832"/>
      <c r="D5616" s="2" t="str">
        <f t="shared" si="86"/>
        <v>OK</v>
      </c>
    </row>
    <row r="5617" spans="1:5" x14ac:dyDescent="0.2">
      <c r="A5617" s="5">
        <v>5556</v>
      </c>
      <c r="B5617" s="1832">
        <f>'Revenues 9-14'!F153</f>
        <v>1088099</v>
      </c>
      <c r="D5617" s="2" t="str">
        <f t="shared" si="86"/>
        <v>Error?</v>
      </c>
    </row>
    <row r="5618" spans="1:5" x14ac:dyDescent="0.2">
      <c r="A5618" s="5">
        <v>5557</v>
      </c>
      <c r="B5618" s="1832">
        <f>'Revenues 9-14'!F155</f>
        <v>1143551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1143551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1143551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2701662</v>
      </c>
      <c r="C5720" s="2" t="s">
        <v>569</v>
      </c>
      <c r="D5720" s="2" t="str">
        <f t="shared" si="88"/>
        <v>Error?</v>
      </c>
    </row>
    <row r="5721" spans="1:4" x14ac:dyDescent="0.2">
      <c r="A5721" s="5">
        <v>5660</v>
      </c>
      <c r="B5721" s="1832">
        <f>'Revenues 9-14'!G5</f>
        <v>465494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1337916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1803410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94000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94000</v>
      </c>
      <c r="C5730" s="2" t="s">
        <v>569</v>
      </c>
      <c r="D5730" s="2" t="str">
        <f t="shared" si="88"/>
        <v>Error?</v>
      </c>
    </row>
    <row r="5731" spans="1:4" x14ac:dyDescent="0.2">
      <c r="A5731" s="5">
        <v>5670</v>
      </c>
      <c r="B5731" s="1832">
        <f>'Revenues 9-14'!G65</f>
        <v>56725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56725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1954135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35118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35118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202732</v>
      </c>
      <c r="D5885" s="2" t="str">
        <f t="shared" si="90"/>
        <v>Error?</v>
      </c>
    </row>
    <row r="5886" spans="1:4" x14ac:dyDescent="0.2">
      <c r="A5886" s="5">
        <v>5825</v>
      </c>
      <c r="B5886" s="1832">
        <f>'Revenues 9-14'!H108</f>
        <v>221674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8900000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240000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9140000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9396792</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34702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34702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34702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1954135</v>
      </c>
      <c r="C6024" s="2" t="s">
        <v>569</v>
      </c>
      <c r="D6024" s="2" t="str">
        <f t="shared" si="93"/>
        <v>Error?</v>
      </c>
    </row>
    <row r="6025" spans="1:5" x14ac:dyDescent="0.2">
      <c r="A6025" s="5">
        <v>5964</v>
      </c>
      <c r="B6025" s="1832">
        <f>'Revenues 9-14'!H109</f>
        <v>256792</v>
      </c>
      <c r="C6025" s="2" t="s">
        <v>569</v>
      </c>
      <c r="D6025" s="2" t="str">
        <f t="shared" si="93"/>
        <v>Error?</v>
      </c>
    </row>
    <row r="6026" spans="1:5" x14ac:dyDescent="0.2">
      <c r="A6026" s="5">
        <v>5965</v>
      </c>
      <c r="B6026" s="1832">
        <f>'Revenues 9-14'!I109</f>
        <v>34702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371571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65759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5416.1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738473</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277238</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210476</v>
      </c>
      <c r="D6099" s="2" t="str">
        <f t="shared" si="94"/>
        <v>Error?</v>
      </c>
      <c r="E6099" s="2" t="s">
        <v>189</v>
      </c>
    </row>
    <row r="6100" spans="1:5" x14ac:dyDescent="0.2">
      <c r="A6100">
        <v>6039</v>
      </c>
      <c r="B6100" s="1832">
        <f>'Assets-Liab 5-6'!D9</f>
        <v>2120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992</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199267</v>
      </c>
      <c r="D6113" s="2" t="str">
        <f t="shared" si="94"/>
        <v>Error?</v>
      </c>
      <c r="E6113" s="2" t="s">
        <v>189</v>
      </c>
    </row>
    <row r="6114" spans="1:5" x14ac:dyDescent="0.2">
      <c r="A6114">
        <v>6053</v>
      </c>
      <c r="B6114" s="1832">
        <f>'Assets-Liab 5-6'!D11</f>
        <v>2750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1620293</v>
      </c>
      <c r="D6142" s="2" t="str">
        <f t="shared" si="94"/>
        <v>Error?</v>
      </c>
      <c r="E6142" s="2" t="s">
        <v>189</v>
      </c>
    </row>
    <row r="6143" spans="1:5" x14ac:dyDescent="0.2">
      <c r="A6143">
        <v>6082</v>
      </c>
      <c r="B6143" s="1832">
        <f>'Assets-Liab 5-6'!D27</f>
        <v>611373</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414542</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2909969</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7363528</v>
      </c>
      <c r="D6169" s="2" t="str">
        <f t="shared" si="95"/>
        <v>Error?</v>
      </c>
      <c r="E6169" s="2" t="s">
        <v>189</v>
      </c>
    </row>
    <row r="6170" spans="1:5" x14ac:dyDescent="0.2">
      <c r="A6170">
        <v>6109</v>
      </c>
      <c r="B6170" s="1832">
        <f>'Assets-Liab 5-6'!D30</f>
        <v>3808</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-4400704</v>
      </c>
      <c r="D6267" s="2" t="str">
        <f t="shared" si="96"/>
        <v>Error?</v>
      </c>
      <c r="E6267" s="2" t="s">
        <v>189</v>
      </c>
    </row>
    <row r="6268" spans="1:5" x14ac:dyDescent="0.2">
      <c r="A6268">
        <v>6207</v>
      </c>
      <c r="B6268" s="1832">
        <f>'Acct Summary 7-8'!D82</f>
        <v>3710944</v>
      </c>
      <c r="D6268" s="2" t="str">
        <f t="shared" si="96"/>
        <v>Error?</v>
      </c>
      <c r="E6268" s="2" t="s">
        <v>189</v>
      </c>
    </row>
    <row r="6269" spans="1:5" x14ac:dyDescent="0.2">
      <c r="A6269">
        <v>6208</v>
      </c>
      <c r="B6269" s="1832">
        <f>'Acct Summary 7-8'!E82</f>
        <v>17191</v>
      </c>
      <c r="D6269" s="2" t="str">
        <f t="shared" si="96"/>
        <v>Error?</v>
      </c>
      <c r="E6269" s="2" t="s">
        <v>189</v>
      </c>
    </row>
    <row r="6270" spans="1:5" x14ac:dyDescent="0.2">
      <c r="A6270">
        <v>6209</v>
      </c>
      <c r="B6270" s="1832">
        <f>'Acct Summary 7-8'!F82</f>
        <v>-1451085</v>
      </c>
      <c r="D6270" s="2" t="str">
        <f t="shared" si="96"/>
        <v>Error?</v>
      </c>
      <c r="E6270" s="2" t="s">
        <v>189</v>
      </c>
    </row>
    <row r="6271" spans="1:5" x14ac:dyDescent="0.2">
      <c r="A6271">
        <v>6210</v>
      </c>
      <c r="B6271" s="1832">
        <f>'Acct Summary 7-8'!G82</f>
        <v>-398372</v>
      </c>
      <c r="D6271" s="2" t="str">
        <f t="shared" ref="D6271:D6334" si="97">IF(ISBLANK(B6271),"OK",IF(A6271-B6271=0,"OK","Error?"))</f>
        <v>Error?</v>
      </c>
      <c r="E6271" s="2" t="s">
        <v>189</v>
      </c>
    </row>
    <row r="6272" spans="1:5" x14ac:dyDescent="0.2">
      <c r="A6272">
        <v>6211</v>
      </c>
      <c r="B6272" s="1832">
        <f>'Acct Summary 7-8'!H82</f>
        <v>-4312349</v>
      </c>
      <c r="D6272" s="2" t="str">
        <f t="shared" si="97"/>
        <v>Error?</v>
      </c>
      <c r="E6272" s="2" t="s">
        <v>189</v>
      </c>
    </row>
    <row r="6273" spans="1:5" x14ac:dyDescent="0.2">
      <c r="A6273">
        <v>6212</v>
      </c>
      <c r="B6273" s="1832">
        <f>'Acct Summary 7-8'!I82</f>
        <v>34702</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-0.13663714637986563</v>
      </c>
      <c r="D6276" s="2" t="str">
        <f t="shared" si="97"/>
        <v>Error?</v>
      </c>
      <c r="E6276" s="2" t="s">
        <v>189</v>
      </c>
    </row>
    <row r="6277" spans="1:5" x14ac:dyDescent="0.2">
      <c r="A6277">
        <v>6216</v>
      </c>
      <c r="B6277" s="1832">
        <f>'Acct Summary 7-8'!D83</f>
        <v>0.79856028876857821</v>
      </c>
      <c r="D6277" s="2" t="str">
        <f t="shared" si="97"/>
        <v>Error?</v>
      </c>
      <c r="E6277" s="2" t="s">
        <v>189</v>
      </c>
    </row>
    <row r="6278" spans="1:5" x14ac:dyDescent="0.2">
      <c r="A6278">
        <v>6217</v>
      </c>
      <c r="B6278" s="1832">
        <f>'Acct Summary 7-8'!E83</f>
        <v>0.2356965600449703</v>
      </c>
      <c r="D6278" s="2" t="str">
        <f t="shared" si="97"/>
        <v>Error?</v>
      </c>
      <c r="E6278" s="2" t="s">
        <v>189</v>
      </c>
    </row>
    <row r="6279" spans="1:5" x14ac:dyDescent="0.2">
      <c r="A6279">
        <v>6218</v>
      </c>
      <c r="B6279" s="1832">
        <f>'Acct Summary 7-8'!F83</f>
        <v>-0.68750589273167373</v>
      </c>
      <c r="D6279" s="2" t="str">
        <f t="shared" si="97"/>
        <v>Error?</v>
      </c>
      <c r="E6279" s="2" t="s">
        <v>189</v>
      </c>
    </row>
    <row r="6280" spans="1:5" x14ac:dyDescent="0.2">
      <c r="A6280">
        <v>6219</v>
      </c>
      <c r="B6280" s="1832">
        <f>'Acct Summary 7-8'!G83</f>
        <v>-0.17646381351637722</v>
      </c>
      <c r="D6280" s="2" t="str">
        <f t="shared" si="97"/>
        <v>Error?</v>
      </c>
      <c r="E6280" s="2" t="s">
        <v>189</v>
      </c>
    </row>
    <row r="6281" spans="1:5" x14ac:dyDescent="0.2">
      <c r="A6281">
        <v>6220</v>
      </c>
      <c r="B6281" s="1832">
        <f>'Acct Summary 7-8'!H83</f>
        <v>-1.7100695194863544</v>
      </c>
      <c r="D6281" s="2" t="str">
        <f t="shared" si="97"/>
        <v>Error?</v>
      </c>
      <c r="E6281" s="2" t="s">
        <v>189</v>
      </c>
    </row>
    <row r="6282" spans="1:5" x14ac:dyDescent="0.2">
      <c r="A6282">
        <v>6221</v>
      </c>
      <c r="B6282" s="1832">
        <f>'Acct Summary 7-8'!I83</f>
        <v>1.6249221533894298E-2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3000000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17942</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50814</v>
      </c>
      <c r="D6339" s="2" t="str">
        <f t="shared" si="98"/>
        <v>Error?</v>
      </c>
      <c r="E6339" s="2" t="s">
        <v>189</v>
      </c>
    </row>
    <row r="6340" spans="1:5" x14ac:dyDescent="0.2">
      <c r="A6340">
        <v>6279</v>
      </c>
      <c r="B6340" s="1832">
        <f>'Revenues 9-14'!C102</f>
        <v>72285</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69032</v>
      </c>
      <c r="D6844" s="2" t="str">
        <f t="shared" si="105"/>
        <v>Error?</v>
      </c>
    </row>
    <row r="6845" spans="1:5" x14ac:dyDescent="0.2">
      <c r="A6845">
        <v>6784</v>
      </c>
      <c r="B6845" s="1832">
        <f>'Expenditures 15-22'!J5</f>
        <v>45504</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26773</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104450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11463</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5249</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470484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893528</v>
      </c>
      <c r="D6880" s="2" t="str">
        <f t="shared" si="106"/>
        <v>Error?</v>
      </c>
    </row>
    <row r="6881" spans="1:4" x14ac:dyDescent="0.2">
      <c r="A6881">
        <v>6820</v>
      </c>
      <c r="B6881" s="1832">
        <f>'Expenditures 15-22'!K22</f>
        <v>893528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216967</v>
      </c>
      <c r="D6902" s="2" t="str">
        <f t="shared" si="106"/>
        <v>Error?</v>
      </c>
    </row>
    <row r="6903" spans="1:4" x14ac:dyDescent="0.2">
      <c r="A6903">
        <v>6842</v>
      </c>
      <c r="B6903" s="1832">
        <f>'Expenditures 15-22'!J33</f>
        <v>45504</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4974</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4974</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739938</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739938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13578</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13578</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5427</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5427</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1415580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1415580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1439559</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4493</v>
      </c>
      <c r="D6983" s="2" t="str">
        <f t="shared" si="108"/>
        <v>Error?</v>
      </c>
    </row>
    <row r="6984" spans="1:4" x14ac:dyDescent="0.2">
      <c r="A6984">
        <v>6923</v>
      </c>
      <c r="B6984" s="1832">
        <f>'Expenditures 15-22'!K86</f>
        <v>4493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4493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1656526</v>
      </c>
      <c r="D7020" s="2" t="str">
        <f t="shared" si="108"/>
        <v>Error?</v>
      </c>
    </row>
    <row r="7021" spans="1:4" x14ac:dyDescent="0.2">
      <c r="A7021">
        <v>6960</v>
      </c>
      <c r="B7021" s="1832">
        <f>'Expenditures 15-22'!J114</f>
        <v>45504</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17694</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91806</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109500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109500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109500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4841</v>
      </c>
      <c r="D7079" s="2" t="str">
        <f t="shared" si="109"/>
        <v>Error?</v>
      </c>
    </row>
    <row r="7080" spans="1:4" x14ac:dyDescent="0.2">
      <c r="A7080">
        <v>7019</v>
      </c>
      <c r="B7080" s="1832">
        <f>'Expenditures 15-22'!K226</f>
        <v>4841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93977</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93977</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93977</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347766</v>
      </c>
      <c r="D7263" s="2" t="str">
        <f t="shared" si="112"/>
        <v>Error?</v>
      </c>
    </row>
    <row r="7264" spans="1:4" x14ac:dyDescent="0.2">
      <c r="A7264">
        <f t="shared" si="113"/>
        <v>7203</v>
      </c>
      <c r="B7264" s="1832">
        <f>'Expenditures 15-22'!D17</f>
        <v>91169</v>
      </c>
      <c r="D7264" s="2" t="str">
        <f t="shared" si="112"/>
        <v>Error?</v>
      </c>
    </row>
    <row r="7265" spans="1:5" x14ac:dyDescent="0.2">
      <c r="A7265">
        <f t="shared" si="113"/>
        <v>7204</v>
      </c>
      <c r="B7265" s="1832">
        <f>'Expenditures 15-22'!E17</f>
        <v>22382</v>
      </c>
      <c r="D7265" s="2" t="str">
        <f t="shared" si="112"/>
        <v>Error?</v>
      </c>
    </row>
    <row r="7266" spans="1:5" x14ac:dyDescent="0.2">
      <c r="A7266">
        <f t="shared" si="113"/>
        <v>7205</v>
      </c>
      <c r="B7266" s="1832">
        <f>'Expenditures 15-22'!F17</f>
        <v>3918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1860003</v>
      </c>
      <c r="D7624" s="2" t="str">
        <f t="shared" si="124"/>
        <v>Error?</v>
      </c>
      <c r="E7624" s="2" t="s">
        <v>19</v>
      </c>
    </row>
    <row r="7625" spans="1:5" x14ac:dyDescent="0.2">
      <c r="A7625">
        <f t="shared" si="123"/>
        <v>7564</v>
      </c>
      <c r="B7625" s="1832">
        <f>'Cap Outlay Deprec 26'!I17</f>
        <v>186000.3</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4471480.3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1000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3000000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50814</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122498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173312</v>
      </c>
      <c r="D7719" s="2" t="str">
        <f t="shared" si="126"/>
        <v>Error?</v>
      </c>
      <c r="E7719" s="2" t="s">
        <v>822</v>
      </c>
    </row>
    <row r="7720" spans="1:6" x14ac:dyDescent="0.2">
      <c r="A7720">
        <v>7659</v>
      </c>
      <c r="B7720" s="1832">
        <f>'Rest Tax Levies-Tort Im 25'!H14</f>
        <v>1801038</v>
      </c>
      <c r="D7720" s="2" t="str">
        <f t="shared" si="126"/>
        <v>Error?</v>
      </c>
      <c r="E7720" s="2" t="s">
        <v>822</v>
      </c>
    </row>
    <row r="7721" spans="1:6" x14ac:dyDescent="0.2">
      <c r="A7721">
        <v>7660</v>
      </c>
      <c r="B7721" s="1832">
        <f>'Rest Tax Levies-Tort Im 25'!K14</f>
        <v>173312</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-350682</v>
      </c>
      <c r="D7758" s="2" t="str">
        <f t="shared" si="127"/>
        <v>Error?</v>
      </c>
      <c r="E7758" s="4" t="s">
        <v>1322</v>
      </c>
    </row>
    <row r="7759" spans="1:6" x14ac:dyDescent="0.2">
      <c r="A7759">
        <v>7698</v>
      </c>
      <c r="B7759" s="1832">
        <f>'Aud Quest 2'!J88</f>
        <v>350682</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173312</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19015000</v>
      </c>
      <c r="D7817" s="2" t="str">
        <f t="shared" si="128"/>
        <v>Error?</v>
      </c>
      <c r="E7817" s="4" t="s">
        <v>1964</v>
      </c>
    </row>
    <row r="7818" spans="1:5" x14ac:dyDescent="0.2">
      <c r="A7818">
        <v>7757</v>
      </c>
      <c r="B7818" s="1832">
        <f>'PCTC-OEPP 27-28'!F172</f>
        <v>1807693</v>
      </c>
      <c r="D7818" s="2" t="str">
        <f t="shared" si="128"/>
        <v>Error?</v>
      </c>
      <c r="E7818" s="4" t="s">
        <v>1978</v>
      </c>
    </row>
    <row r="7819" spans="1:5" x14ac:dyDescent="0.2">
      <c r="A7819">
        <v>7758</v>
      </c>
      <c r="B7819" s="1832">
        <f>'PCTC-OEPP 27-28'!F173</f>
        <v>46008</v>
      </c>
      <c r="D7819" s="2" t="str">
        <f t="shared" si="128"/>
        <v>Error?</v>
      </c>
      <c r="E7819" s="4" t="s">
        <v>1978</v>
      </c>
    </row>
    <row r="7820" spans="1:5" x14ac:dyDescent="0.2">
      <c r="A7820">
        <v>7759</v>
      </c>
      <c r="B7820" s="1832">
        <f>'ICR Computation 30'!E40</f>
        <v>-7304788.3700000001</v>
      </c>
      <c r="D7820" s="2" t="str">
        <f t="shared" si="128"/>
        <v>Error?</v>
      </c>
    </row>
    <row r="7821" spans="1:5" x14ac:dyDescent="0.2">
      <c r="A7821">
        <v>7760</v>
      </c>
      <c r="B7821" s="1832">
        <f>'ICR Computation 30'!G40</f>
        <v>-7304788.3700000001</v>
      </c>
      <c r="D7821" s="2" t="str">
        <f t="shared" si="128"/>
        <v>Error?</v>
      </c>
    </row>
    <row r="7822" spans="1:5" x14ac:dyDescent="0.2">
      <c r="A7822" s="1">
        <v>7761</v>
      </c>
      <c r="B7822" s="1832">
        <f>'PCTC-OEPP 27-28'!F14</f>
        <v>94338651</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100006</v>
      </c>
      <c r="D7830" s="2" t="str">
        <f t="shared" si="129"/>
        <v>Error?</v>
      </c>
      <c r="E7830" s="4" t="s">
        <v>1996</v>
      </c>
    </row>
    <row r="7831" spans="1:5" x14ac:dyDescent="0.2">
      <c r="A7831">
        <v>7770</v>
      </c>
      <c r="B7831" s="1832">
        <f>'PCTC-OEPP 27-28'!F52</f>
        <v>0</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4845715</v>
      </c>
      <c r="D7834" s="2" t="str">
        <f t="shared" si="129"/>
        <v>Error?</v>
      </c>
      <c r="E7834" s="4" t="s">
        <v>1996</v>
      </c>
    </row>
    <row r="7835" spans="1:5" x14ac:dyDescent="0.2">
      <c r="A7835">
        <v>7774</v>
      </c>
      <c r="B7835" s="1832">
        <f>'PCTC-OEPP 27-28'!F78</f>
        <v>89492936</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16523.501412455455</v>
      </c>
      <c r="D7837" s="2" t="str">
        <f t="shared" si="129"/>
        <v>Error?</v>
      </c>
      <c r="E7837" s="4" t="s">
        <v>1996</v>
      </c>
    </row>
    <row r="7838" spans="1:5" x14ac:dyDescent="0.2">
      <c r="A7838">
        <v>7777</v>
      </c>
      <c r="B7838" s="1832">
        <f>'PCTC-OEPP 27-28'!F96</f>
        <v>1696993</v>
      </c>
      <c r="D7838" s="2" t="str">
        <f t="shared" si="129"/>
        <v>Error?</v>
      </c>
      <c r="E7838" s="4" t="s">
        <v>1996</v>
      </c>
    </row>
    <row r="7839" spans="1:5" x14ac:dyDescent="0.2">
      <c r="A7839">
        <v>7778</v>
      </c>
      <c r="B7839" s="1832">
        <f>'PCTC-OEPP 27-28'!F102</f>
        <v>64664</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573</v>
      </c>
      <c r="D7841" s="2" t="str">
        <f t="shared" si="129"/>
        <v>Error?</v>
      </c>
      <c r="E7841" s="4" t="s">
        <v>1996</v>
      </c>
    </row>
    <row r="7842" spans="1:5" x14ac:dyDescent="0.2">
      <c r="A7842">
        <v>7781</v>
      </c>
      <c r="B7842" s="1832">
        <f>'PCTC-OEPP 27-28'!F106</f>
        <v>324889</v>
      </c>
      <c r="D7842" s="2" t="str">
        <f t="shared" si="129"/>
        <v>Error?</v>
      </c>
      <c r="E7842" s="4" t="s">
        <v>1996</v>
      </c>
    </row>
    <row r="7843" spans="1:5" x14ac:dyDescent="0.2">
      <c r="A7843">
        <v>7782</v>
      </c>
      <c r="B7843" s="1832">
        <f>'PCTC-OEPP 27-28'!F107</f>
        <v>140660</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122498</v>
      </c>
      <c r="D7846" s="2" t="str">
        <f t="shared" si="129"/>
        <v>Error?</v>
      </c>
      <c r="E7846" s="4" t="s">
        <v>1996</v>
      </c>
    </row>
    <row r="7847" spans="1:5" x14ac:dyDescent="0.2">
      <c r="A7847">
        <v>7786</v>
      </c>
      <c r="B7847" s="1832">
        <f>'PCTC-OEPP 27-28'!F112</f>
        <v>1143551</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4583</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617328</v>
      </c>
      <c r="D7858" s="2" t="str">
        <f t="shared" si="129"/>
        <v>Error?</v>
      </c>
      <c r="E7858" s="4" t="s">
        <v>1996</v>
      </c>
    </row>
    <row r="7859" spans="1:5" x14ac:dyDescent="0.2">
      <c r="A7859">
        <v>7798</v>
      </c>
      <c r="B7859" s="1832">
        <f>'PCTC-OEPP 27-28'!F127</f>
        <v>488495</v>
      </c>
      <c r="D7859" s="2" t="str">
        <f t="shared" si="129"/>
        <v>Error?</v>
      </c>
      <c r="E7859" s="4" t="s">
        <v>1996</v>
      </c>
    </row>
    <row r="7860" spans="1:5" x14ac:dyDescent="0.2">
      <c r="A7860">
        <v>7799</v>
      </c>
      <c r="B7860" s="1832">
        <f>'PCTC-OEPP 27-28'!F128</f>
        <v>24390</v>
      </c>
      <c r="D7860" s="2" t="str">
        <f t="shared" si="129"/>
        <v>Error?</v>
      </c>
      <c r="E7860" s="4" t="s">
        <v>1996</v>
      </c>
    </row>
    <row r="7861" spans="1:5" x14ac:dyDescent="0.2">
      <c r="A7861">
        <v>7800</v>
      </c>
      <c r="B7861" s="1832">
        <f>'PCTC-OEPP 27-28'!F129</f>
        <v>1182278</v>
      </c>
      <c r="D7861" s="2" t="str">
        <f t="shared" si="129"/>
        <v>Error?</v>
      </c>
      <c r="E7861" s="4" t="s">
        <v>1996</v>
      </c>
    </row>
    <row r="7862" spans="1:5" x14ac:dyDescent="0.2">
      <c r="A7862">
        <v>7801</v>
      </c>
      <c r="B7862" s="1832">
        <f>'PCTC-OEPP 27-28'!F130</f>
        <v>204274</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88836</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65173</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67828</v>
      </c>
      <c r="D7874" s="2" t="str">
        <f t="shared" si="129"/>
        <v>Error?</v>
      </c>
      <c r="E7874" s="4" t="s">
        <v>1996</v>
      </c>
    </row>
    <row r="7875" spans="1:5" x14ac:dyDescent="0.2">
      <c r="A7875">
        <v>7814</v>
      </c>
      <c r="B7875" s="1832">
        <f>'PCTC-OEPP 27-28'!F170</f>
        <v>78737</v>
      </c>
      <c r="D7875" s="2" t="str">
        <f t="shared" si="129"/>
        <v>Error?</v>
      </c>
      <c r="E7875" s="4" t="s">
        <v>1996</v>
      </c>
    </row>
    <row r="7876" spans="1:5" x14ac:dyDescent="0.2">
      <c r="A7876">
        <v>7815</v>
      </c>
      <c r="B7876" s="1832">
        <f>'PCTC-OEPP 27-28'!F171</f>
        <v>320798</v>
      </c>
      <c r="D7876" s="2" t="str">
        <f t="shared" si="129"/>
        <v>Error?</v>
      </c>
      <c r="E7876" s="4" t="s">
        <v>1996</v>
      </c>
    </row>
    <row r="7877" spans="1:5" x14ac:dyDescent="0.2">
      <c r="A7877">
        <v>7816</v>
      </c>
      <c r="B7877" s="1832">
        <f>'PCTC-OEPP 27-28'!F175</f>
        <v>10660223</v>
      </c>
      <c r="D7877" s="2" t="str">
        <f t="shared" si="129"/>
        <v>Error?</v>
      </c>
      <c r="E7877" s="4" t="s">
        <v>1996</v>
      </c>
    </row>
    <row r="7878" spans="1:5" x14ac:dyDescent="0.2">
      <c r="A7878">
        <v>7817</v>
      </c>
      <c r="B7878" s="1832">
        <f>'PCTC-OEPP 27-28'!F176</f>
        <v>78832713</v>
      </c>
      <c r="D7878" s="2" t="str">
        <f t="shared" si="129"/>
        <v>Error?</v>
      </c>
      <c r="E7878" s="4" t="s">
        <v>1996</v>
      </c>
    </row>
    <row r="7879" spans="1:5" x14ac:dyDescent="0.2">
      <c r="A7879">
        <v>7818</v>
      </c>
      <c r="B7879" s="1832">
        <f>'PCTC-OEPP 27-28'!F178</f>
        <v>83304193.299999997</v>
      </c>
      <c r="D7879" s="2" t="str">
        <f t="shared" si="129"/>
        <v>Error?</v>
      </c>
      <c r="E7879" s="4" t="s">
        <v>1996</v>
      </c>
    </row>
    <row r="7880" spans="1:5" x14ac:dyDescent="0.2">
      <c r="A7880">
        <v>7819</v>
      </c>
      <c r="B7880" s="1832">
        <f>'PCTC-OEPP 27-28'!F180</f>
        <v>15380.844759144033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8900000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11" sqref="O1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1" t="s">
        <v>1181</v>
      </c>
      <c r="B2" s="2581"/>
      <c r="C2" s="2581"/>
      <c r="D2" s="2581"/>
      <c r="E2" s="2581"/>
      <c r="F2" s="2581"/>
      <c r="G2" s="2581"/>
      <c r="H2" s="2581"/>
      <c r="I2" s="2581"/>
      <c r="J2" s="2581"/>
      <c r="K2" s="2581"/>
      <c r="L2" s="2581"/>
    </row>
    <row r="3" spans="1:29" ht="13.5" customHeight="1" x14ac:dyDescent="0.2">
      <c r="A3" s="2567" t="s">
        <v>1180</v>
      </c>
      <c r="B3" s="2567"/>
      <c r="C3" s="2567"/>
      <c r="D3" s="2567"/>
      <c r="E3" s="2567"/>
      <c r="F3" s="2567"/>
      <c r="G3" s="2567"/>
      <c r="H3" s="2567"/>
      <c r="I3" s="2567"/>
      <c r="J3" s="2567"/>
      <c r="K3" s="2567"/>
      <c r="L3" s="2567"/>
    </row>
    <row r="4" spans="1:29" ht="13.5" customHeight="1" x14ac:dyDescent="0.2">
      <c r="A4" s="2598" t="str">
        <f>"Year Ending June 30, "&amp;'AFR20'!E2</f>
        <v>Year Ending June 30, 2020</v>
      </c>
      <c r="B4" s="2599"/>
      <c r="C4" s="2599"/>
      <c r="D4" s="2599"/>
      <c r="E4" s="2599"/>
      <c r="F4" s="2599"/>
      <c r="G4" s="2599"/>
      <c r="H4" s="2599"/>
      <c r="I4" s="2599"/>
      <c r="J4" s="2599"/>
      <c r="K4" s="2599"/>
      <c r="L4" s="259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1" t="str">
        <f>COVER!A17</f>
        <v xml:space="preserve"> CHSD 155</v>
      </c>
      <c r="B7" s="2562"/>
      <c r="C7" s="2562"/>
      <c r="D7" s="2600"/>
      <c r="E7" s="2601">
        <f>COVER!A13</f>
        <v>44063155016</v>
      </c>
      <c r="F7" s="2602"/>
      <c r="G7" s="2568" t="str">
        <f>COVER!T23</f>
        <v>065-036379</v>
      </c>
      <c r="H7" s="2569"/>
      <c r="I7" s="2569"/>
      <c r="J7" s="2569"/>
      <c r="K7" s="2569"/>
      <c r="L7" s="257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1"/>
      <c r="B9" s="2572"/>
      <c r="C9" s="2572"/>
      <c r="D9" s="2572"/>
      <c r="E9" s="2572"/>
      <c r="F9" s="2573"/>
      <c r="G9" s="2574" t="str">
        <f>COVER!T13</f>
        <v>Tighe, Kress &amp; Orr, P.C.</v>
      </c>
      <c r="H9" s="2575"/>
      <c r="I9" s="2575"/>
      <c r="J9" s="2575"/>
      <c r="K9" s="2575"/>
      <c r="L9" s="2576"/>
    </row>
    <row r="10" spans="1:29" ht="13.5" customHeight="1" x14ac:dyDescent="0.2">
      <c r="A10" s="2558" t="str">
        <f>COVER!A38</f>
        <v>Steve Olson</v>
      </c>
      <c r="B10" s="2559"/>
      <c r="C10" s="2559"/>
      <c r="D10" s="2559"/>
      <c r="E10" s="2559"/>
      <c r="F10" s="2560"/>
      <c r="G10" s="2574" t="str">
        <f>COVER!T17</f>
        <v>2001 Larkin Avenue, Suite 202</v>
      </c>
      <c r="H10" s="2587"/>
      <c r="I10" s="2587"/>
      <c r="J10" s="2587"/>
      <c r="K10" s="2587"/>
      <c r="L10" s="2588"/>
    </row>
    <row r="11" spans="1:29" ht="13.5" customHeight="1" x14ac:dyDescent="0.2">
      <c r="A11" s="963" t="s">
        <v>1502</v>
      </c>
      <c r="B11" s="964"/>
      <c r="C11" s="965"/>
      <c r="D11" s="970"/>
      <c r="E11" s="965"/>
      <c r="F11" s="969"/>
      <c r="G11" s="2574" t="str">
        <f>COVER!T19</f>
        <v>Elgin</v>
      </c>
      <c r="H11" s="2587"/>
      <c r="I11" s="2587"/>
      <c r="J11" s="2587"/>
      <c r="K11" s="2587"/>
      <c r="L11" s="2588"/>
    </row>
    <row r="12" spans="1:29" ht="13.5" customHeight="1" x14ac:dyDescent="0.2">
      <c r="A12" s="2592" t="s">
        <v>1501</v>
      </c>
      <c r="B12" s="2593"/>
      <c r="C12" s="2593"/>
      <c r="D12" s="2593"/>
      <c r="E12" s="2593"/>
      <c r="F12" s="2594"/>
      <c r="G12" s="2589"/>
      <c r="H12" s="2590"/>
      <c r="I12" s="2590"/>
      <c r="J12" s="2590"/>
      <c r="K12" s="2590"/>
      <c r="L12" s="2591"/>
    </row>
    <row r="13" spans="1:29" ht="13.5" customHeight="1" x14ac:dyDescent="0.2">
      <c r="A13" s="2574"/>
      <c r="B13" s="2587"/>
      <c r="C13" s="2587"/>
      <c r="D13" s="2587"/>
      <c r="E13" s="2587"/>
      <c r="F13" s="2588"/>
      <c r="G13" s="2582" t="s">
        <v>1503</v>
      </c>
      <c r="H13" s="2583"/>
      <c r="I13" s="2595" t="str">
        <f>COVER!T25</f>
        <v>Cynthia.Petschke@tkocpa.com</v>
      </c>
      <c r="J13" s="2596"/>
      <c r="K13" s="2596"/>
      <c r="L13" s="2597"/>
    </row>
    <row r="14" spans="1:29" ht="13.5" customHeight="1" x14ac:dyDescent="0.2">
      <c r="A14" s="2574" t="str">
        <f>COVER!A19</f>
        <v>One South Virginia Road</v>
      </c>
      <c r="B14" s="2587"/>
      <c r="C14" s="2587"/>
      <c r="D14" s="2587"/>
      <c r="E14" s="2587"/>
      <c r="F14" s="2588"/>
      <c r="G14" s="974" t="s">
        <v>1175</v>
      </c>
      <c r="H14" s="972"/>
      <c r="I14" s="972"/>
      <c r="J14" s="972"/>
      <c r="K14" s="972"/>
      <c r="L14" s="973"/>
    </row>
    <row r="15" spans="1:29" ht="13.5" customHeight="1" x14ac:dyDescent="0.2">
      <c r="A15" s="2574" t="str">
        <f>COVER!A21</f>
        <v>Crystal Lake</v>
      </c>
      <c r="B15" s="2587"/>
      <c r="C15" s="2587"/>
      <c r="D15" s="2587"/>
      <c r="E15" s="2587"/>
      <c r="F15" s="2588"/>
      <c r="G15" s="2584" t="str">
        <f>COVER!T15</f>
        <v>Cynthia Petschke</v>
      </c>
      <c r="H15" s="2585"/>
      <c r="I15" s="2585"/>
      <c r="J15" s="2585"/>
      <c r="K15" s="2585"/>
      <c r="L15" s="2586"/>
    </row>
    <row r="16" spans="1:29" ht="12.2" customHeight="1" x14ac:dyDescent="0.2">
      <c r="A16" s="2564">
        <f>COVER!A25</f>
        <v>60014</v>
      </c>
      <c r="B16" s="2565"/>
      <c r="C16" s="2565"/>
      <c r="D16" s="2565"/>
      <c r="E16" s="2565"/>
      <c r="F16" s="2566"/>
      <c r="G16" s="2577"/>
      <c r="H16" s="2578"/>
      <c r="I16" s="2578"/>
      <c r="J16" s="2578"/>
      <c r="K16" s="2578"/>
      <c r="L16" s="2579"/>
    </row>
    <row r="17" spans="1:13" ht="12.2" customHeight="1" x14ac:dyDescent="0.2">
      <c r="A17" s="2580"/>
      <c r="B17" s="2565"/>
      <c r="C17" s="2565"/>
      <c r="D17" s="2565"/>
      <c r="E17" s="2565"/>
      <c r="F17" s="2566"/>
      <c r="G17" s="974" t="s">
        <v>1174</v>
      </c>
      <c r="H17" s="972"/>
      <c r="I17" s="972"/>
      <c r="J17" s="972"/>
      <c r="K17" s="976" t="s">
        <v>1173</v>
      </c>
      <c r="L17" s="969"/>
      <c r="M17" s="962"/>
    </row>
    <row r="18" spans="1:13" ht="12.2" customHeight="1" x14ac:dyDescent="0.2">
      <c r="A18" s="2558"/>
      <c r="B18" s="2559"/>
      <c r="C18" s="2559"/>
      <c r="D18" s="2559"/>
      <c r="E18" s="2559"/>
      <c r="F18" s="2560"/>
      <c r="G18" s="2561" t="str">
        <f>COVER!T21</f>
        <v>847-695-2700</v>
      </c>
      <c r="H18" s="2562"/>
      <c r="I18" s="2562"/>
      <c r="J18" s="2562"/>
      <c r="K18" s="2561" t="str">
        <f>COVER!X21</f>
        <v>847-695-2748</v>
      </c>
      <c r="L18" s="256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3" t="str">
        <f>'Single Audit Cover'!A7</f>
        <v xml:space="preserve"> CHSD 155</v>
      </c>
      <c r="B1" s="2604"/>
      <c r="C1" s="2604"/>
      <c r="D1" s="2604"/>
    </row>
    <row r="2" spans="1:11" s="991" customFormat="1" ht="12.75" x14ac:dyDescent="0.2">
      <c r="A2" s="2605">
        <f>'Single Audit Cover'!E7</f>
        <v>44063155016</v>
      </c>
      <c r="B2" s="2606"/>
      <c r="C2" s="2606"/>
      <c r="D2" s="2606"/>
    </row>
    <row r="3" spans="1:11" s="991" customFormat="1" ht="12.75" x14ac:dyDescent="0.2">
      <c r="A3" s="2603" t="s">
        <v>1496</v>
      </c>
      <c r="B3" s="2604"/>
      <c r="C3" s="2604"/>
      <c r="D3" s="260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8" t="str">
        <f>'Single Audit Cover'!A7</f>
        <v xml:space="preserve"> CHSD 155</v>
      </c>
      <c r="B1" s="2608"/>
      <c r="C1" s="2608"/>
      <c r="D1" s="2608"/>
      <c r="E1" s="2608"/>
    </row>
    <row r="2" spans="1:5" x14ac:dyDescent="0.2">
      <c r="A2" s="2609">
        <f>'Single Audit Cover'!E7</f>
        <v>44063155016</v>
      </c>
      <c r="B2" s="2609"/>
      <c r="C2" s="2609"/>
      <c r="D2" s="2609"/>
      <c r="E2" s="2609"/>
    </row>
    <row r="3" spans="1:5" ht="4.5" customHeight="1" x14ac:dyDescent="0.2"/>
    <row r="4" spans="1:5" x14ac:dyDescent="0.2">
      <c r="A4" s="2608" t="s">
        <v>1234</v>
      </c>
      <c r="B4" s="2608"/>
      <c r="C4" s="2608"/>
      <c r="D4" s="2608"/>
      <c r="E4" s="2608"/>
    </row>
    <row r="5" spans="1:5" x14ac:dyDescent="0.2">
      <c r="A5" s="2611" t="str">
        <f>'Single Audit Cover'!A4</f>
        <v>Year Ending June 30, 2020</v>
      </c>
      <c r="B5" s="2611"/>
      <c r="C5" s="2611"/>
      <c r="D5" s="2611"/>
      <c r="E5" s="2611"/>
    </row>
    <row r="6" spans="1:5" x14ac:dyDescent="0.2">
      <c r="A6" s="2608" t="s">
        <v>1233</v>
      </c>
      <c r="B6" s="2608"/>
      <c r="C6" s="2608"/>
      <c r="D6" s="2608"/>
      <c r="E6" s="2608"/>
    </row>
    <row r="8" spans="1:5" x14ac:dyDescent="0.2">
      <c r="A8" s="1036" t="s">
        <v>1232</v>
      </c>
    </row>
    <row r="10" spans="1:5" x14ac:dyDescent="0.2">
      <c r="A10" s="1037" t="s">
        <v>1231</v>
      </c>
      <c r="B10" s="1038" t="s">
        <v>1230</v>
      </c>
      <c r="C10" s="1038"/>
      <c r="D10" s="1039">
        <f>SUM('Acct Summary 7-8'!C7:K7)</f>
        <v>3138137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65759</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-78737</v>
      </c>
    </row>
    <row r="19" spans="1:4" ht="13.5" thickBot="1" x14ac:dyDescent="0.25">
      <c r="A19" s="1041" t="s">
        <v>1224</v>
      </c>
      <c r="D19" s="1042">
        <f>SUM(D10:D17)</f>
        <v>3125159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0" t="s">
        <v>2141</v>
      </c>
      <c r="B24" s="2610"/>
      <c r="D24" s="1044">
        <v>-19508</v>
      </c>
    </row>
    <row r="25" spans="1:4" x14ac:dyDescent="0.2">
      <c r="A25" s="2607" t="s">
        <v>2142</v>
      </c>
      <c r="B25" s="2607"/>
      <c r="D25" s="1044">
        <v>-46251</v>
      </c>
    </row>
    <row r="26" spans="1:4" x14ac:dyDescent="0.2">
      <c r="A26" s="2607"/>
      <c r="B26" s="2607"/>
      <c r="D26" s="1044"/>
    </row>
    <row r="27" spans="1:4" x14ac:dyDescent="0.2">
      <c r="A27" s="2607"/>
      <c r="B27" s="2607"/>
      <c r="D27" s="1044"/>
    </row>
    <row r="28" spans="1:4" x14ac:dyDescent="0.2">
      <c r="A28" s="2607"/>
      <c r="B28" s="2607"/>
      <c r="D28" s="1044"/>
    </row>
    <row r="29" spans="1:4" x14ac:dyDescent="0.2">
      <c r="A29" s="2607"/>
      <c r="B29" s="2607"/>
      <c r="D29" s="1044"/>
    </row>
    <row r="30" spans="1:4" x14ac:dyDescent="0.2">
      <c r="A30" s="2607"/>
      <c r="B30" s="2607"/>
      <c r="D30" s="1044"/>
    </row>
    <row r="32" spans="1:4" x14ac:dyDescent="0.2">
      <c r="A32" s="1036" t="s">
        <v>1222</v>
      </c>
      <c r="D32" s="1039">
        <f>SUM(D19:D30)</f>
        <v>3059400</v>
      </c>
    </row>
    <row r="33" spans="1:4" x14ac:dyDescent="0.2">
      <c r="D33" s="1045"/>
    </row>
    <row r="34" spans="1:4" x14ac:dyDescent="0.2">
      <c r="A34" s="295" t="s">
        <v>1221</v>
      </c>
    </row>
    <row r="35" spans="1:4" x14ac:dyDescent="0.2">
      <c r="A35" s="295" t="s">
        <v>1220</v>
      </c>
      <c r="B35" s="1034" t="s">
        <v>1219</v>
      </c>
      <c r="D35" s="1046">
        <v>3059400</v>
      </c>
    </row>
    <row r="37" spans="1:4" x14ac:dyDescent="0.2">
      <c r="A37" s="1036" t="s">
        <v>1218</v>
      </c>
    </row>
    <row r="39" spans="1:4" ht="13.35" customHeight="1" x14ac:dyDescent="0.2">
      <c r="A39" s="1043" t="s">
        <v>1217</v>
      </c>
    </row>
    <row r="40" spans="1:4" x14ac:dyDescent="0.2">
      <c r="A40" s="2607"/>
      <c r="B40" s="2607"/>
      <c r="D40" s="1044"/>
    </row>
    <row r="41" spans="1:4" x14ac:dyDescent="0.2">
      <c r="A41" s="2607"/>
      <c r="B41" s="2607"/>
      <c r="D41" s="1047"/>
    </row>
    <row r="42" spans="1:4" x14ac:dyDescent="0.2">
      <c r="A42" s="2607"/>
      <c r="B42" s="2607"/>
      <c r="D42" s="1047"/>
    </row>
    <row r="43" spans="1:4" x14ac:dyDescent="0.2">
      <c r="A43" s="2607"/>
      <c r="B43" s="2607"/>
      <c r="D43" s="1047"/>
    </row>
    <row r="44" spans="1:4" x14ac:dyDescent="0.2">
      <c r="A44" s="2607"/>
      <c r="B44" s="2607"/>
      <c r="D44" s="1047"/>
    </row>
    <row r="45" spans="1:4" x14ac:dyDescent="0.2">
      <c r="A45" s="2607"/>
      <c r="B45" s="2607"/>
      <c r="D45" s="1047"/>
    </row>
    <row r="47" spans="1:4" x14ac:dyDescent="0.2">
      <c r="B47" s="1048" t="s">
        <v>1216</v>
      </c>
      <c r="C47" s="1048"/>
      <c r="D47" s="1049">
        <f>SUM(D35:D45)</f>
        <v>3059400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CHSD 155</v>
      </c>
      <c r="C1" s="2612"/>
      <c r="D1" s="2612"/>
      <c r="E1" s="2612"/>
      <c r="F1" s="2612"/>
      <c r="G1" s="2612"/>
      <c r="H1" s="2612"/>
      <c r="I1" s="2612"/>
      <c r="J1" s="2612"/>
      <c r="K1" s="2612"/>
      <c r="L1" s="2612"/>
      <c r="M1" s="2612"/>
    </row>
    <row r="2" spans="2:14" ht="15" x14ac:dyDescent="0.2">
      <c r="B2" s="2613">
        <f>'Single Audit Cover'!E7</f>
        <v>44063155016</v>
      </c>
      <c r="C2" s="2613"/>
      <c r="D2" s="2613"/>
      <c r="E2" s="2613"/>
      <c r="F2" s="2613"/>
      <c r="G2" s="2613"/>
      <c r="H2" s="2613"/>
      <c r="I2" s="2613"/>
      <c r="J2" s="2613"/>
      <c r="K2" s="2613"/>
      <c r="L2" s="2613"/>
      <c r="M2" s="2613"/>
      <c r="N2" s="1078"/>
    </row>
    <row r="3" spans="2:14" ht="15" x14ac:dyDescent="0.2">
      <c r="B3" s="2614" t="s">
        <v>1208</v>
      </c>
      <c r="C3" s="2614"/>
      <c r="D3" s="2614"/>
      <c r="E3" s="2614"/>
      <c r="F3" s="2614"/>
      <c r="G3" s="2614"/>
      <c r="H3" s="2614"/>
      <c r="I3" s="2614"/>
      <c r="J3" s="2614"/>
      <c r="K3" s="2614"/>
      <c r="L3" s="2614"/>
      <c r="M3" s="2614"/>
      <c r="N3" s="1078"/>
    </row>
    <row r="4" spans="2:14" ht="15" x14ac:dyDescent="0.2">
      <c r="B4" s="2615" t="str">
        <f>'Single Audit Cover'!A4</f>
        <v>Year Ending June 30, 2020</v>
      </c>
      <c r="C4" s="2615"/>
      <c r="D4" s="2615"/>
      <c r="E4" s="2615"/>
      <c r="F4" s="2615"/>
      <c r="G4" s="2615"/>
      <c r="H4" s="2615"/>
      <c r="I4" s="2615"/>
      <c r="J4" s="2615"/>
      <c r="K4" s="2615"/>
      <c r="L4" s="2615"/>
      <c r="M4" s="2615"/>
      <c r="N4" s="1078"/>
    </row>
    <row r="5" spans="2:14" x14ac:dyDescent="0.2">
      <c r="H5" s="1914"/>
      <c r="J5" s="1914"/>
    </row>
    <row r="6" spans="2:14" x14ac:dyDescent="0.2">
      <c r="B6" s="1079"/>
      <c r="C6" s="1080"/>
      <c r="D6" s="1081" t="s">
        <v>1254</v>
      </c>
      <c r="E6" s="1082" t="s">
        <v>524</v>
      </c>
      <c r="F6" s="1083"/>
      <c r="G6" s="1084" t="s">
        <v>1709</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2149</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F59B2-33FE-4A7E-8082-67791A36AC44}">
  <dimension ref="B1:O76"/>
  <sheetViews>
    <sheetView topLeftCell="A25" workbookViewId="0">
      <selection activeCell="G25" sqref="G25"/>
    </sheetView>
  </sheetViews>
  <sheetFormatPr defaultRowHeight="12.75" x14ac:dyDescent="0.2"/>
  <cols>
    <col min="2" max="2" width="64" bestFit="1" customWidth="1"/>
    <col min="3" max="3" width="7.85546875" bestFit="1" customWidth="1"/>
    <col min="4" max="4" width="12" bestFit="1" customWidth="1"/>
    <col min="5" max="8" width="11" bestFit="1" customWidth="1"/>
    <col min="9" max="9" width="10.28515625" bestFit="1" customWidth="1"/>
    <col min="10" max="11" width="7.85546875" bestFit="1" customWidth="1"/>
    <col min="13" max="13" width="7.85546875" bestFit="1" customWidth="1"/>
  </cols>
  <sheetData>
    <row r="1" spans="2:15" x14ac:dyDescent="0.2">
      <c r="B1" s="2618" t="s">
        <v>2080</v>
      </c>
      <c r="C1" s="2619"/>
      <c r="D1" s="2619"/>
      <c r="E1" s="2619"/>
      <c r="F1" s="2619"/>
      <c r="G1" s="2619"/>
      <c r="H1" s="2619"/>
      <c r="I1" s="2619"/>
      <c r="J1" s="2619"/>
      <c r="K1" s="2619"/>
      <c r="L1" s="2034"/>
      <c r="M1" s="2034"/>
      <c r="N1" s="2034"/>
    </row>
    <row r="2" spans="2:15" ht="15" x14ac:dyDescent="0.2">
      <c r="B2" s="2620" t="s">
        <v>2081</v>
      </c>
      <c r="C2" s="2620"/>
      <c r="D2" s="2620"/>
      <c r="E2" s="2620"/>
      <c r="F2" s="2620"/>
      <c r="G2" s="2620"/>
      <c r="H2" s="2620"/>
      <c r="I2" s="2620"/>
      <c r="J2" s="2620"/>
      <c r="K2" s="2620"/>
      <c r="L2" s="2046"/>
      <c r="M2" s="2034"/>
      <c r="N2" s="2034"/>
    </row>
    <row r="3" spans="2:15" ht="15" x14ac:dyDescent="0.2">
      <c r="B3" s="2616">
        <v>44012</v>
      </c>
      <c r="C3" s="2617"/>
      <c r="D3" s="2617"/>
      <c r="E3" s="2617"/>
      <c r="F3" s="2617"/>
      <c r="G3" s="2617"/>
      <c r="H3" s="2617"/>
      <c r="I3" s="2617"/>
      <c r="J3" s="2617"/>
      <c r="K3" s="2617"/>
      <c r="L3" s="2046"/>
      <c r="M3" s="2034"/>
      <c r="N3" s="2034"/>
    </row>
    <row r="4" spans="2:15" x14ac:dyDescent="0.2">
      <c r="B4" s="2034"/>
      <c r="C4" s="2034"/>
      <c r="D4" s="2034"/>
      <c r="E4" s="2034"/>
      <c r="F4" s="2034"/>
      <c r="G4" s="2034"/>
      <c r="H4" s="2034"/>
      <c r="I4" s="2034"/>
      <c r="J4" s="2034"/>
      <c r="K4" s="2034"/>
      <c r="L4" s="2034"/>
      <c r="M4" s="2034"/>
      <c r="N4" s="2034"/>
    </row>
    <row r="5" spans="2:15" x14ac:dyDescent="0.2">
      <c r="B5" s="2047"/>
      <c r="C5" s="2048"/>
      <c r="D5" s="2049" t="s">
        <v>1254</v>
      </c>
      <c r="E5" s="2050" t="s">
        <v>524</v>
      </c>
      <c r="F5" s="2051"/>
      <c r="G5" s="2052" t="s">
        <v>2082</v>
      </c>
      <c r="H5" s="2050"/>
      <c r="I5" s="2053"/>
      <c r="J5" s="2053"/>
      <c r="K5" s="2054"/>
      <c r="L5" s="2034"/>
      <c r="M5" s="2034"/>
      <c r="N5" s="2034"/>
    </row>
    <row r="6" spans="2:15" x14ac:dyDescent="0.2">
      <c r="B6" s="2055" t="s">
        <v>2083</v>
      </c>
      <c r="C6" s="2056" t="s">
        <v>1253</v>
      </c>
      <c r="D6" s="2057" t="s">
        <v>1252</v>
      </c>
      <c r="E6" s="2058" t="s">
        <v>1251</v>
      </c>
      <c r="F6" s="2059" t="s">
        <v>1251</v>
      </c>
      <c r="G6" s="2060" t="s">
        <v>1251</v>
      </c>
      <c r="H6" s="2061" t="s">
        <v>1251</v>
      </c>
      <c r="I6" s="2061" t="s">
        <v>1250</v>
      </c>
      <c r="J6" s="2061" t="s">
        <v>1249</v>
      </c>
      <c r="K6" s="2059" t="s">
        <v>30</v>
      </c>
      <c r="L6" s="2034"/>
      <c r="M6" s="2034"/>
      <c r="N6" s="2034"/>
    </row>
    <row r="7" spans="2:15" ht="13.5" x14ac:dyDescent="0.2">
      <c r="B7" s="2062" t="s">
        <v>1248</v>
      </c>
      <c r="C7" s="2056" t="s">
        <v>2084</v>
      </c>
      <c r="D7" s="2057" t="s">
        <v>2085</v>
      </c>
      <c r="E7" s="2058" t="s">
        <v>2086</v>
      </c>
      <c r="F7" s="2059" t="s">
        <v>2087</v>
      </c>
      <c r="G7" s="2058" t="s">
        <v>2086</v>
      </c>
      <c r="H7" s="2059" t="s">
        <v>2087</v>
      </c>
      <c r="I7" s="2061" t="s">
        <v>1247</v>
      </c>
      <c r="J7" s="2061" t="s">
        <v>1246</v>
      </c>
      <c r="K7" s="2059"/>
      <c r="L7" s="2034"/>
      <c r="M7" s="2034"/>
      <c r="N7" s="2034"/>
    </row>
    <row r="8" spans="2:15" x14ac:dyDescent="0.2">
      <c r="B8" s="2062" t="s">
        <v>1245</v>
      </c>
      <c r="C8" s="2063" t="s">
        <v>1244</v>
      </c>
      <c r="D8" s="2064" t="s">
        <v>1243</v>
      </c>
      <c r="E8" s="2065" t="s">
        <v>1242</v>
      </c>
      <c r="F8" s="2066" t="s">
        <v>1241</v>
      </c>
      <c r="G8" s="2067" t="s">
        <v>1240</v>
      </c>
      <c r="H8" s="2068" t="s">
        <v>1239</v>
      </c>
      <c r="I8" s="2068" t="s">
        <v>1238</v>
      </c>
      <c r="J8" s="2068" t="s">
        <v>1237</v>
      </c>
      <c r="K8" s="2066" t="s">
        <v>1236</v>
      </c>
      <c r="L8" s="2034"/>
      <c r="M8" s="2035"/>
      <c r="N8" s="2035"/>
      <c r="O8" s="2035"/>
    </row>
    <row r="9" spans="2:15" x14ac:dyDescent="0.2">
      <c r="B9" s="2069" t="s">
        <v>2088</v>
      </c>
      <c r="C9" s="2070"/>
      <c r="D9" s="2071"/>
      <c r="E9" s="2072"/>
      <c r="F9" s="2072"/>
      <c r="G9" s="2072"/>
      <c r="H9" s="2072"/>
      <c r="I9" s="2072"/>
      <c r="J9" s="2072"/>
      <c r="K9" s="2072"/>
      <c r="L9" s="2034"/>
      <c r="M9" s="2035"/>
      <c r="N9" s="2035"/>
      <c r="O9" s="2035"/>
    </row>
    <row r="10" spans="2:15" x14ac:dyDescent="0.2">
      <c r="B10" s="2069" t="s">
        <v>2089</v>
      </c>
      <c r="C10" s="2042"/>
      <c r="D10" s="2043"/>
      <c r="E10" s="2044"/>
      <c r="F10" s="2044"/>
      <c r="G10" s="2044"/>
      <c r="H10" s="2044"/>
      <c r="I10" s="2044"/>
      <c r="J10" s="2044"/>
      <c r="K10" s="2044"/>
      <c r="L10" s="2034"/>
      <c r="M10" s="2045"/>
      <c r="N10" s="2077"/>
      <c r="O10" s="2035"/>
    </row>
    <row r="11" spans="2:15" x14ac:dyDescent="0.2">
      <c r="B11" s="2041" t="s">
        <v>2090</v>
      </c>
      <c r="C11" s="2042">
        <v>10.555</v>
      </c>
      <c r="D11" s="2043" t="s">
        <v>2091</v>
      </c>
      <c r="E11" s="2044">
        <v>323712</v>
      </c>
      <c r="F11" s="2044">
        <v>82966.59</v>
      </c>
      <c r="G11" s="2044">
        <v>323712</v>
      </c>
      <c r="H11" s="2044">
        <v>82966.59</v>
      </c>
      <c r="I11" s="2044"/>
      <c r="J11" s="2044">
        <f>G11+H11</f>
        <v>406678.58999999997</v>
      </c>
      <c r="K11" s="2044" t="s">
        <v>2092</v>
      </c>
      <c r="L11" s="2034"/>
      <c r="M11" s="2045"/>
      <c r="N11" s="2077"/>
      <c r="O11" s="2035"/>
    </row>
    <row r="12" spans="2:15" x14ac:dyDescent="0.2">
      <c r="B12" s="2041" t="s">
        <v>2090</v>
      </c>
      <c r="C12" s="2042">
        <v>10.555</v>
      </c>
      <c r="D12" s="2043" t="s">
        <v>2093</v>
      </c>
      <c r="E12" s="2044"/>
      <c r="F12" s="2044">
        <v>244516.62</v>
      </c>
      <c r="G12" s="2044"/>
      <c r="H12" s="2044">
        <v>244516.62</v>
      </c>
      <c r="I12" s="2044"/>
      <c r="J12" s="2044">
        <f t="shared" ref="J12:J17" si="0">G12+H12</f>
        <v>244516.62</v>
      </c>
      <c r="K12" s="2044" t="s">
        <v>2092</v>
      </c>
      <c r="L12" s="2034"/>
      <c r="M12" s="2074"/>
      <c r="N12" s="2077"/>
      <c r="O12" s="2035"/>
    </row>
    <row r="13" spans="2:15" x14ac:dyDescent="0.2">
      <c r="B13" s="2041" t="s">
        <v>2094</v>
      </c>
      <c r="C13" s="2042">
        <v>10.553000000000001</v>
      </c>
      <c r="D13" s="2043" t="s">
        <v>2091</v>
      </c>
      <c r="E13" s="2044">
        <v>76942</v>
      </c>
      <c r="F13" s="2044">
        <v>16283.18</v>
      </c>
      <c r="G13" s="2044">
        <v>76942</v>
      </c>
      <c r="H13" s="2044">
        <v>16283.18</v>
      </c>
      <c r="I13" s="2044"/>
      <c r="J13" s="2044">
        <f t="shared" si="0"/>
        <v>93225.18</v>
      </c>
      <c r="K13" s="2044" t="s">
        <v>2092</v>
      </c>
      <c r="L13" s="2034"/>
      <c r="M13" s="2035"/>
      <c r="N13" s="2077"/>
      <c r="O13" s="2035"/>
    </row>
    <row r="14" spans="2:15" x14ac:dyDescent="0.2">
      <c r="B14" s="2041" t="s">
        <v>2094</v>
      </c>
      <c r="C14" s="2042">
        <v>10.553000000000001</v>
      </c>
      <c r="D14" s="2043" t="s">
        <v>2095</v>
      </c>
      <c r="E14" s="2044"/>
      <c r="F14" s="2044">
        <v>57562.49</v>
      </c>
      <c r="G14" s="2044"/>
      <c r="H14" s="2044">
        <v>57562.49</v>
      </c>
      <c r="I14" s="2044"/>
      <c r="J14" s="2044">
        <f t="shared" si="0"/>
        <v>57562.49</v>
      </c>
      <c r="K14" s="2044" t="s">
        <v>2092</v>
      </c>
      <c r="L14" s="2034"/>
      <c r="M14" s="2035"/>
      <c r="N14" s="2077"/>
      <c r="O14" s="2035"/>
    </row>
    <row r="15" spans="2:15" x14ac:dyDescent="0.2">
      <c r="B15" s="2041" t="s">
        <v>2096</v>
      </c>
      <c r="C15" s="2042">
        <v>10.558999999999999</v>
      </c>
      <c r="D15" s="2043" t="s">
        <v>2097</v>
      </c>
      <c r="E15" s="2044"/>
      <c r="F15" s="2044">
        <v>150240</v>
      </c>
      <c r="G15" s="2044"/>
      <c r="H15" s="2044">
        <v>150240</v>
      </c>
      <c r="I15" s="2044"/>
      <c r="J15" s="2044">
        <f t="shared" si="0"/>
        <v>150240</v>
      </c>
      <c r="K15" s="2044" t="s">
        <v>2092</v>
      </c>
      <c r="L15" s="2034"/>
      <c r="M15" s="2035"/>
      <c r="N15" s="2035"/>
      <c r="O15" s="2035"/>
    </row>
    <row r="16" spans="2:15" x14ac:dyDescent="0.2">
      <c r="B16" s="2041" t="s">
        <v>2098</v>
      </c>
      <c r="C16" s="2042">
        <v>10.555</v>
      </c>
      <c r="D16" s="2043" t="s">
        <v>2099</v>
      </c>
      <c r="E16" s="2044"/>
      <c r="F16" s="2044">
        <v>19507.82</v>
      </c>
      <c r="G16" s="2044"/>
      <c r="H16" s="2044">
        <v>19507.82</v>
      </c>
      <c r="I16" s="2044"/>
      <c r="J16" s="2044">
        <f t="shared" si="0"/>
        <v>19507.82</v>
      </c>
      <c r="K16" s="2044" t="s">
        <v>2092</v>
      </c>
      <c r="L16" s="2034"/>
      <c r="M16" s="2035"/>
      <c r="N16" s="2035"/>
      <c r="O16" s="2035"/>
    </row>
    <row r="17" spans="2:15" x14ac:dyDescent="0.2">
      <c r="B17" s="2041" t="s">
        <v>2100</v>
      </c>
      <c r="C17" s="2042">
        <v>10.555</v>
      </c>
      <c r="D17" s="2043" t="s">
        <v>2101</v>
      </c>
      <c r="E17" s="2044"/>
      <c r="F17" s="2044">
        <v>46251.25</v>
      </c>
      <c r="G17" s="2044"/>
      <c r="H17" s="2044">
        <v>46251.25</v>
      </c>
      <c r="I17" s="2044"/>
      <c r="J17" s="2044">
        <f t="shared" si="0"/>
        <v>46251.25</v>
      </c>
      <c r="K17" s="2044" t="s">
        <v>2092</v>
      </c>
      <c r="L17" s="2034"/>
      <c r="M17" s="2035"/>
      <c r="N17" s="2035"/>
      <c r="O17" s="2035"/>
    </row>
    <row r="18" spans="2:15" x14ac:dyDescent="0.2">
      <c r="B18" s="2069" t="s">
        <v>2102</v>
      </c>
      <c r="C18" s="2042"/>
      <c r="D18" s="2043"/>
      <c r="E18" s="2044">
        <f>SUM(E11:E17)</f>
        <v>400654</v>
      </c>
      <c r="F18" s="2044">
        <f>SUM(F11:F17)</f>
        <v>617327.94999999984</v>
      </c>
      <c r="G18" s="2044">
        <f>SUM(G11:G17)</f>
        <v>400654</v>
      </c>
      <c r="H18" s="2044">
        <f>SUM(H11:H17)</f>
        <v>617327.94999999984</v>
      </c>
      <c r="I18" s="2044"/>
      <c r="J18" s="2044">
        <f>SUM(J11:J17)</f>
        <v>1017981.9499999998</v>
      </c>
      <c r="K18" s="2044"/>
      <c r="L18" s="2034"/>
      <c r="M18" s="2035"/>
      <c r="N18" s="2035"/>
      <c r="O18" s="2035"/>
    </row>
    <row r="19" spans="2:15" x14ac:dyDescent="0.2">
      <c r="B19" s="2041"/>
      <c r="C19" s="2042"/>
      <c r="D19" s="2043"/>
      <c r="E19" s="2044"/>
      <c r="F19" s="2044"/>
      <c r="G19" s="2044"/>
      <c r="H19" s="2044"/>
      <c r="I19" s="2044"/>
      <c r="J19" s="2044"/>
      <c r="K19" s="2044"/>
      <c r="L19" s="2034"/>
      <c r="M19" s="2035"/>
      <c r="N19" s="2035"/>
      <c r="O19" s="2035"/>
    </row>
    <row r="20" spans="2:15" x14ac:dyDescent="0.2">
      <c r="B20" s="2069" t="s">
        <v>2103</v>
      </c>
      <c r="C20" s="2042"/>
      <c r="D20" s="2043"/>
      <c r="E20" s="2044"/>
      <c r="F20" s="2044"/>
      <c r="G20" s="2044"/>
      <c r="H20" s="2044"/>
      <c r="I20" s="2044"/>
      <c r="J20" s="2044"/>
      <c r="K20" s="2044"/>
      <c r="L20" s="2034"/>
      <c r="M20" s="2035"/>
      <c r="N20" s="2035"/>
      <c r="O20" s="2035"/>
    </row>
    <row r="21" spans="2:15" x14ac:dyDescent="0.2">
      <c r="B21" s="2069" t="s">
        <v>2089</v>
      </c>
      <c r="C21" s="2042"/>
      <c r="D21" s="2043"/>
      <c r="E21" s="2044"/>
      <c r="F21" s="2044"/>
      <c r="G21" s="2044"/>
      <c r="H21" s="2044"/>
      <c r="I21" s="2044"/>
      <c r="J21" s="2044"/>
      <c r="K21" s="2044"/>
      <c r="L21" s="2034"/>
      <c r="M21" s="2035"/>
      <c r="N21" s="2035"/>
      <c r="O21" s="2035"/>
    </row>
    <row r="22" spans="2:15" x14ac:dyDescent="0.2">
      <c r="B22" s="2041" t="s">
        <v>2104</v>
      </c>
      <c r="C22" s="2042" t="s">
        <v>2105</v>
      </c>
      <c r="D22" s="2043" t="s">
        <v>2106</v>
      </c>
      <c r="E22" s="2044">
        <v>127369</v>
      </c>
      <c r="F22" s="2044">
        <v>60289.16</v>
      </c>
      <c r="G22" s="2044">
        <v>127369</v>
      </c>
      <c r="H22" s="2044">
        <v>60289.16</v>
      </c>
      <c r="I22" s="2044"/>
      <c r="J22" s="2044">
        <f>G22+H22</f>
        <v>187658.16</v>
      </c>
      <c r="K22" s="2044" t="s">
        <v>2092</v>
      </c>
      <c r="L22" s="2034"/>
      <c r="M22" s="2074"/>
      <c r="N22" s="2077"/>
      <c r="O22" s="2035"/>
    </row>
    <row r="23" spans="2:15" x14ac:dyDescent="0.2">
      <c r="B23" s="2041" t="s">
        <v>2104</v>
      </c>
      <c r="C23" s="2042" t="s">
        <v>2105</v>
      </c>
      <c r="D23" s="2043" t="s">
        <v>2107</v>
      </c>
      <c r="E23" s="2044"/>
      <c r="F23" s="2044">
        <v>17914.349999999999</v>
      </c>
      <c r="G23" s="2044"/>
      <c r="H23" s="2044">
        <v>17914.349999999999</v>
      </c>
      <c r="I23" s="2044"/>
      <c r="J23" s="2044">
        <f t="shared" ref="J23:J32" si="1">G23+H23</f>
        <v>17914.349999999999</v>
      </c>
      <c r="K23" s="2044" t="s">
        <v>2092</v>
      </c>
      <c r="L23" s="2034"/>
      <c r="M23" s="2074"/>
      <c r="N23" s="2077"/>
      <c r="O23" s="2035"/>
    </row>
    <row r="24" spans="2:15" x14ac:dyDescent="0.2">
      <c r="B24" s="2041" t="s">
        <v>2104</v>
      </c>
      <c r="C24" s="2042" t="s">
        <v>2105</v>
      </c>
      <c r="D24" s="2043" t="s">
        <v>2109</v>
      </c>
      <c r="E24" s="2044"/>
      <c r="F24" s="2044">
        <v>126070.28</v>
      </c>
      <c r="G24" s="2044"/>
      <c r="H24" s="2044">
        <v>126070.28</v>
      </c>
      <c r="I24" s="2044"/>
      <c r="J24" s="2044">
        <f t="shared" si="1"/>
        <v>126070.28</v>
      </c>
      <c r="K24" s="2044" t="s">
        <v>2092</v>
      </c>
      <c r="L24" s="2034"/>
      <c r="M24" s="2074"/>
      <c r="N24" s="2077"/>
      <c r="O24" s="2035"/>
    </row>
    <row r="25" spans="2:15" x14ac:dyDescent="0.2">
      <c r="B25" s="2041" t="s">
        <v>2111</v>
      </c>
      <c r="C25" s="2042" t="s">
        <v>2108</v>
      </c>
      <c r="D25" s="2043" t="s">
        <v>2112</v>
      </c>
      <c r="E25" s="2044">
        <v>491581</v>
      </c>
      <c r="F25" s="2044">
        <v>3343</v>
      </c>
      <c r="G25" s="2044">
        <v>491581</v>
      </c>
      <c r="H25" s="2044">
        <v>3343</v>
      </c>
      <c r="I25" s="2044"/>
      <c r="J25" s="2044">
        <f t="shared" si="1"/>
        <v>494924</v>
      </c>
      <c r="K25" s="2044">
        <v>507775</v>
      </c>
      <c r="L25" s="2034"/>
      <c r="M25" s="2074"/>
      <c r="N25" s="2077"/>
      <c r="O25" s="2035"/>
    </row>
    <row r="26" spans="2:15" x14ac:dyDescent="0.2">
      <c r="B26" s="2041" t="s">
        <v>2111</v>
      </c>
      <c r="C26" s="2042" t="s">
        <v>2108</v>
      </c>
      <c r="D26" s="2043" t="s">
        <v>2114</v>
      </c>
      <c r="E26" s="2044"/>
      <c r="F26" s="2044">
        <v>485152</v>
      </c>
      <c r="G26" s="2044"/>
      <c r="H26" s="2044">
        <v>485152</v>
      </c>
      <c r="I26" s="2044"/>
      <c r="J26" s="2044">
        <f t="shared" si="1"/>
        <v>485152</v>
      </c>
      <c r="K26" s="2044">
        <v>491885</v>
      </c>
      <c r="L26" s="2034"/>
      <c r="M26" s="2074"/>
      <c r="N26" s="2077"/>
      <c r="O26" s="2035"/>
    </row>
    <row r="27" spans="2:15" x14ac:dyDescent="0.2">
      <c r="B27" s="2041" t="s">
        <v>2116</v>
      </c>
      <c r="C27" s="2042" t="s">
        <v>2110</v>
      </c>
      <c r="D27" s="2043" t="s">
        <v>2117</v>
      </c>
      <c r="E27" s="2044">
        <v>132607</v>
      </c>
      <c r="F27" s="2044">
        <v>11817</v>
      </c>
      <c r="G27" s="2044">
        <v>132607</v>
      </c>
      <c r="H27" s="2044">
        <v>11817</v>
      </c>
      <c r="I27" s="2044"/>
      <c r="J27" s="2044">
        <f t="shared" si="1"/>
        <v>144424</v>
      </c>
      <c r="K27" s="2044">
        <v>178725</v>
      </c>
      <c r="L27" s="2034"/>
      <c r="M27" s="2035"/>
      <c r="N27" s="2077"/>
      <c r="O27" s="2035"/>
    </row>
    <row r="28" spans="2:15" x14ac:dyDescent="0.2">
      <c r="B28" s="2041" t="s">
        <v>2116</v>
      </c>
      <c r="C28" s="2042" t="s">
        <v>2110</v>
      </c>
      <c r="D28" s="2043" t="s">
        <v>2118</v>
      </c>
      <c r="E28" s="2044"/>
      <c r="F28" s="2044">
        <v>53356</v>
      </c>
      <c r="G28" s="2044"/>
      <c r="H28" s="2044">
        <v>53356</v>
      </c>
      <c r="I28" s="2044"/>
      <c r="J28" s="2044">
        <f t="shared" si="1"/>
        <v>53356</v>
      </c>
      <c r="K28" s="2044">
        <v>65500</v>
      </c>
      <c r="L28" s="2034"/>
      <c r="M28" s="2035"/>
      <c r="N28" s="2077"/>
      <c r="O28" s="2035"/>
    </row>
    <row r="29" spans="2:15" x14ac:dyDescent="0.2">
      <c r="B29" s="2041" t="s">
        <v>2119</v>
      </c>
      <c r="C29" s="2042" t="s">
        <v>2113</v>
      </c>
      <c r="D29" s="2043" t="s">
        <v>2120</v>
      </c>
      <c r="E29" s="2044"/>
      <c r="F29" s="2044">
        <v>24390</v>
      </c>
      <c r="G29" s="2044"/>
      <c r="H29" s="2044">
        <v>24390</v>
      </c>
      <c r="I29" s="2044"/>
      <c r="J29" s="2044">
        <f t="shared" si="1"/>
        <v>24390</v>
      </c>
      <c r="K29" s="2044">
        <v>28478</v>
      </c>
      <c r="L29" s="2034"/>
      <c r="M29" s="2035"/>
      <c r="N29" s="2035"/>
      <c r="O29" s="2035"/>
    </row>
    <row r="30" spans="2:15" x14ac:dyDescent="0.2">
      <c r="B30" s="2041" t="s">
        <v>2121</v>
      </c>
      <c r="C30" s="2042" t="s">
        <v>2105</v>
      </c>
      <c r="D30" s="2043" t="s">
        <v>2122</v>
      </c>
      <c r="E30" s="2044">
        <v>1131963</v>
      </c>
      <c r="F30" s="2044">
        <v>236</v>
      </c>
      <c r="G30" s="2044">
        <v>1131963</v>
      </c>
      <c r="H30" s="2044">
        <v>236</v>
      </c>
      <c r="I30" s="2044"/>
      <c r="J30" s="2044">
        <f t="shared" si="1"/>
        <v>1132199</v>
      </c>
      <c r="K30" s="2044">
        <v>1241757</v>
      </c>
      <c r="L30" s="2034"/>
      <c r="M30" s="2035"/>
      <c r="N30" s="2035"/>
      <c r="O30" s="2035"/>
    </row>
    <row r="31" spans="2:15" x14ac:dyDescent="0.2">
      <c r="B31" s="2041" t="s">
        <v>2121</v>
      </c>
      <c r="C31" s="2042" t="s">
        <v>2105</v>
      </c>
      <c r="D31" s="2043" t="s">
        <v>2123</v>
      </c>
      <c r="E31" s="2044"/>
      <c r="F31" s="2044">
        <v>1182042</v>
      </c>
      <c r="G31" s="2044"/>
      <c r="H31" s="2044">
        <v>1182042</v>
      </c>
      <c r="I31" s="2044"/>
      <c r="J31" s="2044">
        <f t="shared" si="1"/>
        <v>1182042</v>
      </c>
      <c r="K31" s="2044">
        <v>1246346</v>
      </c>
      <c r="L31" s="2034"/>
      <c r="M31" s="2035"/>
      <c r="N31" s="2035"/>
      <c r="O31" s="2035"/>
    </row>
    <row r="32" spans="2:15" x14ac:dyDescent="0.2">
      <c r="B32" s="2041" t="s">
        <v>2124</v>
      </c>
      <c r="C32" s="2042" t="s">
        <v>2115</v>
      </c>
      <c r="D32" s="2043" t="s">
        <v>2125</v>
      </c>
      <c r="E32" s="2044"/>
      <c r="F32" s="2044">
        <v>320798</v>
      </c>
      <c r="G32" s="2044"/>
      <c r="H32" s="2044">
        <v>320798</v>
      </c>
      <c r="I32" s="2044"/>
      <c r="J32" s="2044">
        <f t="shared" si="1"/>
        <v>320798</v>
      </c>
      <c r="K32" s="2044">
        <v>320798</v>
      </c>
      <c r="L32" s="2034"/>
      <c r="M32" s="2035"/>
      <c r="N32" s="2035"/>
      <c r="O32" s="2035"/>
    </row>
    <row r="33" spans="2:15" x14ac:dyDescent="0.2">
      <c r="B33" s="2041" t="s">
        <v>2126</v>
      </c>
      <c r="C33" s="2042"/>
      <c r="D33" s="2043"/>
      <c r="E33" s="2044">
        <f>SUM(E22:E32)</f>
        <v>1883520</v>
      </c>
      <c r="F33" s="2044">
        <f>SUM(F22:F32)</f>
        <v>2285407.79</v>
      </c>
      <c r="G33" s="2044">
        <f>SUM(G22:G32)</f>
        <v>1883520</v>
      </c>
      <c r="H33" s="2044">
        <f>SUM(H22:H32)</f>
        <v>2285407.79</v>
      </c>
      <c r="I33" s="2044">
        <v>0</v>
      </c>
      <c r="J33" s="2044">
        <f>SUM(J22:J32)</f>
        <v>4168927.79</v>
      </c>
      <c r="K33" s="2044"/>
      <c r="L33" s="2073"/>
      <c r="M33" s="2035"/>
      <c r="N33" s="2035"/>
      <c r="O33" s="2035"/>
    </row>
    <row r="34" spans="2:15" x14ac:dyDescent="0.2">
      <c r="B34" s="2041"/>
      <c r="C34" s="2070"/>
      <c r="D34" s="2071"/>
      <c r="E34" s="2072"/>
      <c r="F34" s="2072"/>
      <c r="G34" s="2072"/>
      <c r="H34" s="2072"/>
      <c r="I34" s="2072"/>
      <c r="J34" s="2072"/>
      <c r="K34" s="2072"/>
      <c r="L34" s="2073"/>
      <c r="M34" s="2035"/>
      <c r="N34" s="2035"/>
      <c r="O34" s="2035"/>
    </row>
    <row r="35" spans="2:15" x14ac:dyDescent="0.2">
      <c r="B35" s="2069" t="s">
        <v>2127</v>
      </c>
      <c r="C35" s="2070"/>
      <c r="D35" s="2071"/>
      <c r="E35" s="2072"/>
      <c r="F35" s="2072"/>
      <c r="G35" s="2072"/>
      <c r="H35" s="2072"/>
      <c r="I35" s="2072"/>
      <c r="J35" s="2072"/>
      <c r="K35" s="2072"/>
      <c r="L35" s="2073"/>
    </row>
    <row r="36" spans="2:15" x14ac:dyDescent="0.2">
      <c r="B36" s="2041" t="s">
        <v>2128</v>
      </c>
      <c r="C36" s="2042" t="s">
        <v>2129</v>
      </c>
      <c r="D36" s="2043" t="s">
        <v>2130</v>
      </c>
      <c r="E36" s="2044">
        <v>113576</v>
      </c>
      <c r="F36" s="2044">
        <v>701</v>
      </c>
      <c r="G36" s="2044">
        <v>113576</v>
      </c>
      <c r="H36" s="2044">
        <v>701</v>
      </c>
      <c r="I36" s="2044"/>
      <c r="J36" s="2044">
        <f>G36+H36</f>
        <v>114277</v>
      </c>
      <c r="K36" s="2044">
        <v>114277</v>
      </c>
      <c r="L36" s="2034"/>
    </row>
    <row r="37" spans="2:15" x14ac:dyDescent="0.2">
      <c r="B37" s="2041" t="s">
        <v>2128</v>
      </c>
      <c r="C37" s="2042" t="s">
        <v>2129</v>
      </c>
      <c r="D37" s="2043" t="s">
        <v>2131</v>
      </c>
      <c r="E37" s="2044"/>
      <c r="F37" s="2044">
        <v>88135</v>
      </c>
      <c r="G37" s="2044"/>
      <c r="H37" s="2044">
        <v>88135</v>
      </c>
      <c r="I37" s="2044"/>
      <c r="J37" s="2044">
        <f>G37+H37</f>
        <v>88135</v>
      </c>
      <c r="K37" s="2044">
        <v>96930</v>
      </c>
      <c r="L37" s="2034"/>
    </row>
    <row r="38" spans="2:15" x14ac:dyDescent="0.2">
      <c r="B38" s="2076" t="s">
        <v>2132</v>
      </c>
      <c r="C38" s="2042"/>
      <c r="D38" s="2043"/>
      <c r="E38" s="2044">
        <f>SUM(E36:E37)</f>
        <v>113576</v>
      </c>
      <c r="F38" s="2044">
        <f>SUM(F36:F37)</f>
        <v>88836</v>
      </c>
      <c r="G38" s="2044">
        <f>SUM(G36:G37)</f>
        <v>113576</v>
      </c>
      <c r="H38" s="2044">
        <f>SUM(H36:H37)</f>
        <v>88836</v>
      </c>
      <c r="I38" s="2044"/>
      <c r="J38" s="2044">
        <f>SUM(J36:J37)</f>
        <v>202412</v>
      </c>
      <c r="K38" s="2044"/>
      <c r="L38" s="2034"/>
    </row>
    <row r="39" spans="2:15" x14ac:dyDescent="0.2">
      <c r="B39" s="2041"/>
      <c r="C39" s="2042"/>
      <c r="D39" s="2043"/>
      <c r="E39" s="2044"/>
      <c r="F39" s="2044"/>
      <c r="G39" s="2044"/>
      <c r="H39" s="2044"/>
      <c r="I39" s="2044"/>
      <c r="J39" s="2044"/>
      <c r="K39" s="2044"/>
      <c r="L39" s="2034"/>
    </row>
    <row r="40" spans="2:15" x14ac:dyDescent="0.2">
      <c r="B40" s="2069" t="s">
        <v>2133</v>
      </c>
      <c r="C40" s="2042"/>
      <c r="D40" s="2043"/>
      <c r="E40" s="2044">
        <f>E38+E33</f>
        <v>1997096</v>
      </c>
      <c r="F40" s="2044">
        <f>F38+F33</f>
        <v>2374243.79</v>
      </c>
      <c r="G40" s="2044">
        <f>+G38+G33</f>
        <v>1997096</v>
      </c>
      <c r="H40" s="2044">
        <f>+H38+H33</f>
        <v>2374243.79</v>
      </c>
      <c r="I40" s="2044">
        <v>0</v>
      </c>
      <c r="J40" s="2044">
        <f>+J38+J33</f>
        <v>4371339.79</v>
      </c>
      <c r="K40" s="2044"/>
      <c r="L40" s="2034"/>
    </row>
    <row r="41" spans="2:15" x14ac:dyDescent="0.2">
      <c r="B41" s="2069"/>
      <c r="C41" s="2070"/>
      <c r="D41" s="2071"/>
      <c r="E41" s="2072"/>
      <c r="F41" s="2072"/>
      <c r="G41" s="2072"/>
      <c r="H41" s="2072"/>
      <c r="I41" s="2072"/>
      <c r="J41" s="2072"/>
      <c r="K41" s="2072"/>
      <c r="L41" s="2034"/>
    </row>
    <row r="42" spans="2:15" x14ac:dyDescent="0.2">
      <c r="B42" s="2069" t="s">
        <v>2134</v>
      </c>
      <c r="C42" s="2070"/>
      <c r="D42" s="2071"/>
      <c r="E42" s="2072"/>
      <c r="F42" s="2072"/>
      <c r="G42" s="2072"/>
      <c r="H42" s="2072"/>
      <c r="I42" s="2072"/>
      <c r="J42" s="2072"/>
      <c r="K42" s="2072"/>
      <c r="L42" s="2034"/>
    </row>
    <row r="43" spans="2:15" x14ac:dyDescent="0.2">
      <c r="B43" s="2069" t="s">
        <v>2135</v>
      </c>
      <c r="C43" s="2042"/>
      <c r="D43" s="2043"/>
      <c r="E43" s="2044"/>
      <c r="F43" s="2044"/>
      <c r="G43" s="2044"/>
      <c r="H43" s="2044"/>
      <c r="I43" s="2044"/>
      <c r="J43" s="2044"/>
      <c r="K43" s="2044"/>
      <c r="L43" s="2034"/>
    </row>
    <row r="44" spans="2:15" x14ac:dyDescent="0.2">
      <c r="B44" s="2041" t="s">
        <v>2136</v>
      </c>
      <c r="C44" s="2042">
        <v>93.778000000000006</v>
      </c>
      <c r="D44" s="2043" t="s">
        <v>2137</v>
      </c>
      <c r="E44" s="2044"/>
      <c r="F44" s="2044">
        <v>67828</v>
      </c>
      <c r="G44" s="2044"/>
      <c r="H44" s="2044">
        <v>67828</v>
      </c>
      <c r="I44" s="2044"/>
      <c r="J44" s="2044">
        <f>H44</f>
        <v>67828</v>
      </c>
      <c r="K44" s="2044" t="s">
        <v>2092</v>
      </c>
      <c r="L44" s="2034"/>
    </row>
    <row r="45" spans="2:15" x14ac:dyDescent="0.2">
      <c r="B45" s="2040" t="s">
        <v>2138</v>
      </c>
      <c r="C45" s="2042"/>
      <c r="D45" s="2043"/>
      <c r="E45" s="2044">
        <v>0</v>
      </c>
      <c r="F45" s="2044">
        <v>67828</v>
      </c>
      <c r="G45" s="2044">
        <v>0</v>
      </c>
      <c r="H45" s="2044">
        <v>67828</v>
      </c>
      <c r="I45" s="2044"/>
      <c r="J45" s="2044">
        <f>H45</f>
        <v>67828</v>
      </c>
      <c r="K45" s="2044"/>
    </row>
    <row r="46" spans="2:15" x14ac:dyDescent="0.2">
      <c r="B46" s="2069"/>
      <c r="C46" s="2042"/>
      <c r="D46" s="2043"/>
      <c r="E46" s="2044"/>
      <c r="F46" s="2044"/>
      <c r="G46" s="2044"/>
      <c r="H46" s="2044"/>
      <c r="I46" s="2044"/>
      <c r="J46" s="2044"/>
      <c r="K46" s="2044"/>
    </row>
    <row r="47" spans="2:15" x14ac:dyDescent="0.2">
      <c r="B47" s="2040" t="s">
        <v>2139</v>
      </c>
      <c r="C47" s="2038"/>
      <c r="D47" s="2037"/>
      <c r="E47" s="2036">
        <v>0</v>
      </c>
      <c r="F47" s="2036">
        <f>F45</f>
        <v>67828</v>
      </c>
      <c r="G47" s="2036">
        <v>0</v>
      </c>
      <c r="H47" s="2044">
        <f>H45</f>
        <v>67828</v>
      </c>
      <c r="I47" s="2036"/>
      <c r="J47" s="2036">
        <f>J45</f>
        <v>67828</v>
      </c>
      <c r="K47" s="2036"/>
    </row>
    <row r="48" spans="2:15" x14ac:dyDescent="0.2">
      <c r="B48" s="2039"/>
      <c r="C48" s="2038"/>
      <c r="D48" s="2037"/>
      <c r="E48" s="2036"/>
      <c r="F48" s="2036"/>
      <c r="G48" s="2036"/>
      <c r="H48" s="2044"/>
      <c r="I48" s="2036"/>
      <c r="J48" s="2036"/>
      <c r="K48" s="2036"/>
    </row>
    <row r="49" spans="2:11" x14ac:dyDescent="0.2">
      <c r="B49" s="2040" t="s">
        <v>2140</v>
      </c>
      <c r="C49" s="2038"/>
      <c r="D49" s="2037"/>
      <c r="E49" s="2036">
        <f>E40+E18</f>
        <v>2397750</v>
      </c>
      <c r="F49" s="2036">
        <f>F47+F40+F18</f>
        <v>3059399.7399999998</v>
      </c>
      <c r="G49" s="2036">
        <f>+G40+G18</f>
        <v>2397750</v>
      </c>
      <c r="H49" s="2044">
        <f>+H47+H40+H18</f>
        <v>3059399.7399999998</v>
      </c>
      <c r="I49" s="2036">
        <v>0</v>
      </c>
      <c r="J49" s="2036">
        <f>J47+J40+J18</f>
        <v>5457149.7400000002</v>
      </c>
      <c r="K49" s="2036"/>
    </row>
    <row r="50" spans="2:11" x14ac:dyDescent="0.2">
      <c r="B50" s="2034"/>
      <c r="C50" s="2034"/>
      <c r="D50" s="2034"/>
      <c r="E50" s="2034"/>
      <c r="F50" s="2034"/>
      <c r="G50" s="2034"/>
      <c r="H50" s="2075"/>
      <c r="I50" s="2034"/>
      <c r="J50" s="2034"/>
      <c r="K50" s="2034"/>
    </row>
    <row r="51" spans="2:11" x14ac:dyDescent="0.2">
      <c r="B51" s="2034"/>
      <c r="C51" s="2034"/>
      <c r="D51" s="2034"/>
      <c r="E51" s="2034"/>
      <c r="F51" s="2034"/>
      <c r="G51" s="2034"/>
      <c r="H51" s="2075"/>
      <c r="I51" s="2034"/>
      <c r="J51" s="2034"/>
      <c r="K51" s="2034"/>
    </row>
    <row r="52" spans="2:11" x14ac:dyDescent="0.2">
      <c r="B52" s="2034"/>
      <c r="C52" s="2034"/>
      <c r="D52" s="2034"/>
      <c r="E52" s="2034"/>
      <c r="F52" s="2034"/>
      <c r="G52" s="2034"/>
      <c r="H52" s="2075"/>
      <c r="I52" s="2034"/>
      <c r="J52" s="2034"/>
      <c r="K52" s="2034"/>
    </row>
    <row r="53" spans="2:11" x14ac:dyDescent="0.2">
      <c r="B53" s="2034"/>
      <c r="C53" s="2034"/>
      <c r="D53" s="2034"/>
      <c r="E53" s="2034"/>
      <c r="F53" s="2034"/>
      <c r="G53" s="2034"/>
      <c r="H53" s="2075"/>
      <c r="I53" s="2034"/>
      <c r="J53" s="2034"/>
      <c r="K53" s="2034"/>
    </row>
    <row r="54" spans="2:11" x14ac:dyDescent="0.2">
      <c r="B54" s="2034"/>
      <c r="C54" s="2034"/>
      <c r="D54" s="2034"/>
      <c r="E54" s="2034"/>
      <c r="F54" s="2034"/>
      <c r="G54" s="2034"/>
      <c r="H54" s="2075"/>
      <c r="I54" s="2034"/>
      <c r="J54" s="2034"/>
      <c r="K54" s="2034"/>
    </row>
    <row r="55" spans="2:11" x14ac:dyDescent="0.2">
      <c r="B55" s="2034"/>
      <c r="C55" s="2034"/>
      <c r="D55" s="2034"/>
      <c r="E55" s="2034"/>
      <c r="F55" s="2034"/>
      <c r="G55" s="2034"/>
      <c r="H55" s="2075"/>
      <c r="I55" s="2034"/>
      <c r="J55" s="2034"/>
      <c r="K55" s="2034"/>
    </row>
    <row r="56" spans="2:11" x14ac:dyDescent="0.2">
      <c r="B56" s="2034"/>
      <c r="C56" s="2034"/>
      <c r="D56" s="2034"/>
      <c r="E56" s="2034"/>
      <c r="F56" s="2034"/>
      <c r="G56" s="2034"/>
      <c r="H56" s="2075"/>
      <c r="I56" s="2034"/>
      <c r="J56" s="2034"/>
      <c r="K56" s="2034"/>
    </row>
    <row r="57" spans="2:11" x14ac:dyDescent="0.2">
      <c r="B57" s="2034"/>
      <c r="C57" s="2034"/>
      <c r="D57" s="2034"/>
      <c r="E57" s="2034"/>
      <c r="F57" s="2034"/>
      <c r="G57" s="2034"/>
      <c r="H57" s="2075"/>
      <c r="I57" s="2034"/>
      <c r="J57" s="2034"/>
      <c r="K57" s="2034"/>
    </row>
    <row r="58" spans="2:11" x14ac:dyDescent="0.2">
      <c r="B58" s="2034"/>
      <c r="C58" s="2034"/>
      <c r="D58" s="2034"/>
      <c r="E58" s="2034"/>
      <c r="F58" s="2034"/>
      <c r="G58" s="2034"/>
      <c r="H58" s="2075"/>
      <c r="I58" s="2034"/>
      <c r="J58" s="2034"/>
      <c r="K58" s="2034"/>
    </row>
    <row r="59" spans="2:11" x14ac:dyDescent="0.2">
      <c r="B59" s="2034"/>
      <c r="C59" s="2034"/>
      <c r="D59" s="2034"/>
      <c r="E59" s="2034"/>
      <c r="F59" s="2034"/>
      <c r="G59" s="2034"/>
      <c r="H59" s="2075"/>
      <c r="I59" s="2034"/>
      <c r="J59" s="2034"/>
      <c r="K59" s="2034"/>
    </row>
    <row r="60" spans="2:11" x14ac:dyDescent="0.2">
      <c r="B60" s="2034"/>
      <c r="C60" s="2034"/>
      <c r="D60" s="2034"/>
      <c r="E60" s="2034"/>
      <c r="F60" s="2034"/>
      <c r="G60" s="2034"/>
      <c r="H60" s="2075"/>
      <c r="I60" s="2034"/>
      <c r="J60" s="2034"/>
      <c r="K60" s="2034"/>
    </row>
    <row r="61" spans="2:11" x14ac:dyDescent="0.2">
      <c r="H61" s="2075"/>
    </row>
    <row r="62" spans="2:11" x14ac:dyDescent="0.2">
      <c r="H62" s="2075"/>
    </row>
    <row r="63" spans="2:11" x14ac:dyDescent="0.2">
      <c r="H63" s="2075"/>
    </row>
    <row r="64" spans="2:11" x14ac:dyDescent="0.2">
      <c r="H64" s="2075"/>
    </row>
    <row r="65" spans="8:8" x14ac:dyDescent="0.2">
      <c r="H65" s="2075"/>
    </row>
    <row r="66" spans="8:8" x14ac:dyDescent="0.2">
      <c r="H66" s="2075"/>
    </row>
    <row r="67" spans="8:8" x14ac:dyDescent="0.2">
      <c r="H67" s="2034"/>
    </row>
    <row r="68" spans="8:8" x14ac:dyDescent="0.2">
      <c r="H68" s="2034"/>
    </row>
    <row r="69" spans="8:8" x14ac:dyDescent="0.2">
      <c r="H69" s="2034"/>
    </row>
    <row r="70" spans="8:8" x14ac:dyDescent="0.2">
      <c r="H70" s="2034"/>
    </row>
    <row r="71" spans="8:8" x14ac:dyDescent="0.2">
      <c r="H71" s="2034"/>
    </row>
    <row r="72" spans="8:8" x14ac:dyDescent="0.2">
      <c r="H72" s="2034"/>
    </row>
    <row r="73" spans="8:8" x14ac:dyDescent="0.2">
      <c r="H73" s="2034"/>
    </row>
    <row r="74" spans="8:8" x14ac:dyDescent="0.2">
      <c r="H74" s="2034"/>
    </row>
    <row r="75" spans="8:8" x14ac:dyDescent="0.2">
      <c r="H75" s="2034"/>
    </row>
    <row r="76" spans="8:8" x14ac:dyDescent="0.2">
      <c r="H76" s="2034"/>
    </row>
  </sheetData>
  <mergeCells count="3">
    <mergeCell ref="B3:K3"/>
    <mergeCell ref="B1:K1"/>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0" t="s">
        <v>1158</v>
      </c>
      <c r="B2" s="2200"/>
      <c r="C2" s="2200"/>
      <c r="D2" s="2200"/>
      <c r="E2" s="2200"/>
      <c r="F2" s="2200"/>
      <c r="G2" s="2200"/>
      <c r="H2" s="2200"/>
      <c r="I2" s="2200"/>
      <c r="J2" s="220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4" t="s">
        <v>1616</v>
      </c>
      <c r="B35" s="2215"/>
      <c r="C35" s="2215"/>
      <c r="D35" s="2215"/>
      <c r="E35" s="2216"/>
      <c r="F35" s="2216"/>
      <c r="G35" s="2216"/>
      <c r="H35" s="2216"/>
      <c r="I35" s="221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4" t="s">
        <v>310</v>
      </c>
      <c r="B47" s="2217"/>
      <c r="C47" s="2217"/>
      <c r="D47" s="2217"/>
      <c r="E47" s="2218"/>
      <c r="F47" s="2218"/>
      <c r="G47" s="2218"/>
      <c r="H47" s="2218"/>
      <c r="I47" s="221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33420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1"/>
      <c r="C57" s="2222"/>
      <c r="D57" s="2222"/>
      <c r="E57" s="2222"/>
      <c r="F57" s="2222"/>
      <c r="G57" s="2222"/>
      <c r="H57" s="2222"/>
      <c r="I57" s="2222"/>
      <c r="J57" s="2223"/>
    </row>
    <row r="58" spans="1:10" s="176" customFormat="1" x14ac:dyDescent="0.2">
      <c r="A58" s="248"/>
      <c r="B58" s="2224"/>
      <c r="C58" s="2225"/>
      <c r="D58" s="2225"/>
      <c r="E58" s="2225"/>
      <c r="F58" s="2225"/>
      <c r="G58" s="2225"/>
      <c r="H58" s="2225"/>
      <c r="I58" s="2225"/>
      <c r="J58" s="2226"/>
    </row>
    <row r="59" spans="1:10" s="176" customFormat="1" x14ac:dyDescent="0.2">
      <c r="A59" s="248"/>
      <c r="B59" s="2224"/>
      <c r="C59" s="2225"/>
      <c r="D59" s="2225"/>
      <c r="E59" s="2225"/>
      <c r="F59" s="2225"/>
      <c r="G59" s="2225"/>
      <c r="H59" s="2225"/>
      <c r="I59" s="2225"/>
      <c r="J59" s="2226"/>
    </row>
    <row r="60" spans="1:10" s="176" customFormat="1" x14ac:dyDescent="0.2">
      <c r="A60" s="248"/>
      <c r="B60" s="2224"/>
      <c r="C60" s="2225"/>
      <c r="D60" s="2225"/>
      <c r="E60" s="2225"/>
      <c r="F60" s="2225"/>
      <c r="G60" s="2225"/>
      <c r="H60" s="2225"/>
      <c r="I60" s="2225"/>
      <c r="J60" s="2226"/>
    </row>
    <row r="61" spans="1:10" s="176" customFormat="1" x14ac:dyDescent="0.2">
      <c r="A61" s="248"/>
      <c r="B61" s="2224"/>
      <c r="C61" s="2225"/>
      <c r="D61" s="2225"/>
      <c r="E61" s="2225"/>
      <c r="F61" s="2225"/>
      <c r="G61" s="2225"/>
      <c r="H61" s="2225"/>
      <c r="I61" s="2225"/>
      <c r="J61" s="2226"/>
    </row>
    <row r="62" spans="1:10" s="176" customFormat="1" x14ac:dyDescent="0.2">
      <c r="A62" s="248"/>
      <c r="B62" s="2224"/>
      <c r="C62" s="2225"/>
      <c r="D62" s="2225"/>
      <c r="E62" s="2225"/>
      <c r="F62" s="2225"/>
      <c r="G62" s="2225"/>
      <c r="H62" s="2225"/>
      <c r="I62" s="2225"/>
      <c r="J62" s="2226"/>
    </row>
    <row r="63" spans="1:10" s="176" customFormat="1" x14ac:dyDescent="0.2">
      <c r="A63" s="248"/>
      <c r="B63" s="2224"/>
      <c r="C63" s="2225"/>
      <c r="D63" s="2225"/>
      <c r="E63" s="2225"/>
      <c r="F63" s="2225"/>
      <c r="G63" s="2225"/>
      <c r="H63" s="2225"/>
      <c r="I63" s="2225"/>
      <c r="J63" s="2226"/>
    </row>
    <row r="64" spans="1:10" s="176" customFormat="1" x14ac:dyDescent="0.2">
      <c r="A64" s="248"/>
      <c r="B64" s="2224"/>
      <c r="C64" s="2225"/>
      <c r="D64" s="2225"/>
      <c r="E64" s="2225"/>
      <c r="F64" s="2225"/>
      <c r="G64" s="2225"/>
      <c r="H64" s="2225"/>
      <c r="I64" s="2225"/>
      <c r="J64" s="2226"/>
    </row>
    <row r="65" spans="1:11" s="176" customFormat="1" x14ac:dyDescent="0.2">
      <c r="A65" s="248"/>
      <c r="B65" s="2224"/>
      <c r="C65" s="2225"/>
      <c r="D65" s="2225"/>
      <c r="E65" s="2225"/>
      <c r="F65" s="2225"/>
      <c r="G65" s="2225"/>
      <c r="H65" s="2225"/>
      <c r="I65" s="2225"/>
      <c r="J65" s="2226"/>
    </row>
    <row r="66" spans="1:11" s="176" customFormat="1" x14ac:dyDescent="0.2">
      <c r="A66" s="248"/>
      <c r="B66" s="2224"/>
      <c r="C66" s="2225"/>
      <c r="D66" s="2225"/>
      <c r="E66" s="2225"/>
      <c r="F66" s="2225"/>
      <c r="G66" s="2225"/>
      <c r="H66" s="2225"/>
      <c r="I66" s="2225"/>
      <c r="J66" s="2226"/>
    </row>
    <row r="67" spans="1:11" s="176" customFormat="1" ht="9" customHeight="1" x14ac:dyDescent="0.2">
      <c r="A67" s="249"/>
      <c r="B67" s="2227"/>
      <c r="C67" s="2228"/>
      <c r="D67" s="2228"/>
      <c r="E67" s="2228"/>
      <c r="F67" s="2228"/>
      <c r="G67" s="2228"/>
      <c r="H67" s="2228"/>
      <c r="I67" s="2228"/>
      <c r="J67" s="22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4" t="s">
        <v>1312</v>
      </c>
      <c r="B70" s="2217"/>
      <c r="C70" s="2217"/>
      <c r="D70" s="2217"/>
      <c r="E70" s="2218"/>
      <c r="F70" s="2218"/>
      <c r="G70" s="2218"/>
      <c r="H70" s="2218"/>
      <c r="I70" s="221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9" t="s">
        <v>1309</v>
      </c>
      <c r="B83" s="2219"/>
      <c r="C83" s="2219"/>
      <c r="D83" s="222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0" t="s">
        <v>1987</v>
      </c>
      <c r="B85" s="2230"/>
      <c r="C85" s="2230"/>
      <c r="D85" s="2231"/>
      <c r="E85" s="1544">
        <v>-73444</v>
      </c>
      <c r="F85" s="1544"/>
      <c r="G85" s="1544">
        <v>-13961</v>
      </c>
      <c r="H85" s="1544">
        <v>-263277</v>
      </c>
      <c r="I85" s="1904"/>
      <c r="J85" s="1727">
        <f>SUM(E85:I85)</f>
        <v>-350682</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2" t="s">
        <v>1987</v>
      </c>
      <c r="B88" s="2233"/>
      <c r="C88" s="2233"/>
      <c r="D88" s="2234"/>
      <c r="E88" s="1544">
        <v>73444</v>
      </c>
      <c r="F88" s="1544"/>
      <c r="G88" s="1544">
        <v>13961</v>
      </c>
      <c r="H88" s="1544">
        <v>263277</v>
      </c>
      <c r="I88" s="1904"/>
      <c r="J88" s="1727">
        <f>SUM(E88:I88)</f>
        <v>350682</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1"/>
      <c r="C102" s="2202"/>
      <c r="D102" s="2202"/>
      <c r="E102" s="2202"/>
      <c r="F102" s="2202"/>
      <c r="G102" s="2202"/>
      <c r="H102" s="2202"/>
      <c r="I102" s="2203"/>
    </row>
    <row r="103" spans="1:9" s="176" customFormat="1" ht="11.25" customHeight="1" x14ac:dyDescent="0.2">
      <c r="A103" s="294"/>
      <c r="B103" s="2204"/>
      <c r="C103" s="2205"/>
      <c r="D103" s="2205"/>
      <c r="E103" s="2205"/>
      <c r="F103" s="2205"/>
      <c r="G103" s="2205"/>
      <c r="H103" s="2205"/>
      <c r="I103" s="2206"/>
    </row>
    <row r="104" spans="1:9" s="176" customFormat="1" ht="11.25" customHeight="1" x14ac:dyDescent="0.2">
      <c r="A104" s="294"/>
      <c r="B104" s="2204"/>
      <c r="C104" s="2205"/>
      <c r="D104" s="2205"/>
      <c r="E104" s="2205"/>
      <c r="F104" s="2205"/>
      <c r="G104" s="2205"/>
      <c r="H104" s="2205"/>
      <c r="I104" s="2206"/>
    </row>
    <row r="105" spans="1:9" s="176" customFormat="1" x14ac:dyDescent="0.2">
      <c r="A105" s="294"/>
      <c r="B105" s="2204"/>
      <c r="C105" s="2205"/>
      <c r="D105" s="2205"/>
      <c r="E105" s="2205"/>
      <c r="F105" s="2205"/>
      <c r="G105" s="2205"/>
      <c r="H105" s="2205"/>
      <c r="I105" s="2206"/>
    </row>
    <row r="106" spans="1:9" s="176" customFormat="1" ht="11.25" customHeight="1" x14ac:dyDescent="0.2">
      <c r="A106" s="294"/>
      <c r="B106" s="2204"/>
      <c r="C106" s="2205"/>
      <c r="D106" s="2205"/>
      <c r="E106" s="2205"/>
      <c r="F106" s="2205"/>
      <c r="G106" s="2205"/>
      <c r="H106" s="2205"/>
      <c r="I106" s="2206"/>
    </row>
    <row r="107" spans="1:9" s="176" customFormat="1" ht="11.25" customHeight="1" x14ac:dyDescent="0.2">
      <c r="A107" s="294"/>
      <c r="B107" s="2204"/>
      <c r="C107" s="2205"/>
      <c r="D107" s="2205"/>
      <c r="E107" s="2205"/>
      <c r="F107" s="2205"/>
      <c r="G107" s="2205"/>
      <c r="H107" s="2205"/>
      <c r="I107" s="2206"/>
    </row>
    <row r="108" spans="1:9" s="176" customFormat="1" ht="11.25" customHeight="1" x14ac:dyDescent="0.2">
      <c r="A108" s="294"/>
      <c r="B108" s="2204"/>
      <c r="C108" s="2205"/>
      <c r="D108" s="2205"/>
      <c r="E108" s="2205"/>
      <c r="F108" s="2205"/>
      <c r="G108" s="2205"/>
      <c r="H108" s="2205"/>
      <c r="I108" s="2206"/>
    </row>
    <row r="109" spans="1:9" s="176" customFormat="1" ht="11.25" customHeight="1" x14ac:dyDescent="0.2">
      <c r="A109" s="294"/>
      <c r="B109" s="2204"/>
      <c r="C109" s="2205"/>
      <c r="D109" s="2205"/>
      <c r="E109" s="2205"/>
      <c r="F109" s="2205"/>
      <c r="G109" s="2205"/>
      <c r="H109" s="2205"/>
      <c r="I109" s="2206"/>
    </row>
    <row r="110" spans="1:9" s="176" customFormat="1" ht="11.25" customHeight="1" x14ac:dyDescent="0.2">
      <c r="A110" s="294"/>
      <c r="B110" s="2204"/>
      <c r="C110" s="2205"/>
      <c r="D110" s="2205"/>
      <c r="E110" s="2205"/>
      <c r="F110" s="2205"/>
      <c r="G110" s="2205"/>
      <c r="H110" s="2205"/>
      <c r="I110" s="2206"/>
    </row>
    <row r="111" spans="1:9" s="176" customFormat="1" ht="11.25" customHeight="1" x14ac:dyDescent="0.2">
      <c r="A111" s="294"/>
      <c r="B111" s="2204"/>
      <c r="C111" s="2205"/>
      <c r="D111" s="2205"/>
      <c r="E111" s="2205"/>
      <c r="F111" s="2205"/>
      <c r="G111" s="2205"/>
      <c r="H111" s="2205"/>
      <c r="I111" s="2206"/>
    </row>
    <row r="112" spans="1:9" s="176" customFormat="1" ht="11.25" customHeight="1" x14ac:dyDescent="0.2">
      <c r="A112" s="294"/>
      <c r="B112" s="2207"/>
      <c r="C112" s="2208"/>
      <c r="D112" s="2208"/>
      <c r="E112" s="2208"/>
      <c r="F112" s="2208"/>
      <c r="G112" s="2208"/>
      <c r="H112" s="2208"/>
      <c r="I112" s="220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0" t="s">
        <v>2052</v>
      </c>
      <c r="D114" s="221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1" t="s">
        <v>1319</v>
      </c>
      <c r="D117" s="2212"/>
      <c r="E117" s="2213"/>
      <c r="F117" s="2213"/>
      <c r="G117" s="2213"/>
      <c r="H117" s="221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B15" sqref="B1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2" t="str">
        <f>'Single Audit Cover'!A7</f>
        <v xml:space="preserve"> CHSD 155</v>
      </c>
      <c r="B1" s="2622"/>
      <c r="C1" s="2622"/>
      <c r="D1" s="2622"/>
      <c r="E1" s="2622"/>
      <c r="F1" s="2622"/>
    </row>
    <row r="2" spans="1:7" ht="13.5" customHeight="1" x14ac:dyDescent="0.2">
      <c r="A2" s="2613">
        <f>'Single Audit Cover'!E7</f>
        <v>44063155016</v>
      </c>
      <c r="B2" s="2613"/>
      <c r="C2" s="2613"/>
      <c r="D2" s="2613"/>
      <c r="E2" s="2613"/>
      <c r="F2" s="2613"/>
      <c r="G2" s="1051"/>
    </row>
    <row r="3" spans="1:7" ht="15.75" customHeight="1" x14ac:dyDescent="0.2">
      <c r="A3" s="2623" t="s">
        <v>1260</v>
      </c>
      <c r="B3" s="2623"/>
      <c r="C3" s="2623"/>
      <c r="D3" s="2623"/>
      <c r="E3" s="2623"/>
      <c r="F3" s="2623"/>
    </row>
    <row r="4" spans="1:7" ht="13.5" customHeight="1" x14ac:dyDescent="0.2">
      <c r="A4" s="2624" t="str">
        <f>'Single Audit Cover'!A4</f>
        <v>Year Ending June 30, 2020</v>
      </c>
      <c r="B4" s="2624"/>
      <c r="C4" s="2624"/>
      <c r="D4" s="2624"/>
      <c r="E4" s="2624"/>
      <c r="F4" s="2624"/>
    </row>
    <row r="5" spans="1:7" ht="8.25" customHeight="1" x14ac:dyDescent="0.2">
      <c r="C5" s="295"/>
      <c r="D5" s="295"/>
    </row>
    <row r="6" spans="1:7" ht="13.5" customHeight="1" x14ac:dyDescent="0.2">
      <c r="A6" s="1052" t="s">
        <v>1705</v>
      </c>
      <c r="C6" s="295"/>
      <c r="D6" s="295"/>
    </row>
    <row r="7" spans="1:7" ht="60.95" customHeight="1" x14ac:dyDescent="0.2">
      <c r="A7" s="2621" t="s">
        <v>2152</v>
      </c>
      <c r="B7" s="2621"/>
      <c r="C7" s="2621"/>
      <c r="D7" s="2621"/>
      <c r="E7" s="2621"/>
      <c r="F7" s="262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2066</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1" t="s">
        <v>2153</v>
      </c>
      <c r="B13" s="2621"/>
      <c r="C13" s="2621"/>
      <c r="D13" s="2621"/>
      <c r="E13" s="2621"/>
      <c r="F13" s="2621"/>
    </row>
    <row r="14" spans="1:7" ht="9.75" customHeight="1" x14ac:dyDescent="0.2">
      <c r="C14" s="1036"/>
      <c r="D14" s="1036"/>
    </row>
    <row r="15" spans="1:7" ht="13.5" customHeight="1" x14ac:dyDescent="0.2">
      <c r="C15" s="1476" t="s">
        <v>1259</v>
      </c>
      <c r="D15" s="2626" t="s">
        <v>1258</v>
      </c>
      <c r="E15" s="2626"/>
      <c r="F15" s="2626"/>
    </row>
    <row r="16" spans="1:7" ht="13.5" customHeight="1" x14ac:dyDescent="0.2">
      <c r="A16" s="1058"/>
      <c r="B16" s="1052" t="s">
        <v>1257</v>
      </c>
      <c r="C16" s="1476" t="s">
        <v>1256</v>
      </c>
      <c r="D16" s="2627" t="s">
        <v>1571</v>
      </c>
      <c r="E16" s="2627"/>
      <c r="F16" s="2627"/>
    </row>
    <row r="17" spans="1:6" ht="20.45" customHeight="1" x14ac:dyDescent="0.2">
      <c r="A17" s="1059"/>
      <c r="B17" s="1060" t="s">
        <v>2092</v>
      </c>
      <c r="C17" s="1061"/>
      <c r="D17" s="2625"/>
      <c r="E17" s="2625"/>
      <c r="F17" s="2625"/>
    </row>
    <row r="18" spans="1:6" ht="20.65" customHeight="1" x14ac:dyDescent="0.2">
      <c r="A18" s="1059"/>
      <c r="B18" s="1060"/>
      <c r="C18" s="1061"/>
      <c r="D18" s="2625"/>
      <c r="E18" s="2625"/>
      <c r="F18" s="2625"/>
    </row>
    <row r="19" spans="1:6" ht="20.65" customHeight="1" x14ac:dyDescent="0.2">
      <c r="A19" s="1059"/>
      <c r="B19" s="1060"/>
      <c r="C19" s="1061"/>
      <c r="D19" s="2625"/>
      <c r="E19" s="2625"/>
      <c r="F19" s="2625"/>
    </row>
    <row r="20" spans="1:6" ht="20.65" customHeight="1" x14ac:dyDescent="0.2">
      <c r="A20" s="1059"/>
      <c r="B20" s="1060"/>
      <c r="C20" s="1061"/>
      <c r="D20" s="2625"/>
      <c r="E20" s="2625"/>
      <c r="F20" s="2625"/>
    </row>
    <row r="21" spans="1:6" ht="20.65" customHeight="1" x14ac:dyDescent="0.2">
      <c r="A21" s="1059"/>
      <c r="B21" s="1060"/>
      <c r="C21" s="1061"/>
      <c r="D21" s="2625"/>
      <c r="E21" s="2625"/>
      <c r="F21" s="2625"/>
    </row>
    <row r="22" spans="1:6" ht="20.65" customHeight="1" x14ac:dyDescent="0.2">
      <c r="A22" s="1059"/>
      <c r="B22" s="1060"/>
      <c r="C22" s="1061"/>
      <c r="D22" s="2625"/>
      <c r="E22" s="2625"/>
      <c r="F22" s="2625"/>
    </row>
    <row r="23" spans="1:6" ht="20.65" customHeight="1" x14ac:dyDescent="0.2">
      <c r="A23" s="1059"/>
      <c r="B23" s="1060"/>
      <c r="C23" s="1061"/>
      <c r="D23" s="2625"/>
      <c r="E23" s="2625"/>
      <c r="F23" s="2625"/>
    </row>
    <row r="24" spans="1:6" ht="20.65" customHeight="1" x14ac:dyDescent="0.2">
      <c r="A24" s="1059"/>
      <c r="B24" s="1060"/>
      <c r="C24" s="1061"/>
      <c r="D24" s="2625"/>
      <c r="E24" s="2625"/>
      <c r="F24" s="2625"/>
    </row>
    <row r="25" spans="1:6" ht="20.65" customHeight="1" x14ac:dyDescent="0.2">
      <c r="A25" s="1059"/>
      <c r="B25" s="1060"/>
      <c r="C25" s="1061"/>
      <c r="D25" s="2625"/>
      <c r="E25" s="2625"/>
      <c r="F25" s="2625"/>
    </row>
    <row r="26" spans="1:6" ht="20.65" customHeight="1" x14ac:dyDescent="0.2">
      <c r="A26" s="1059"/>
      <c r="B26" s="1060"/>
      <c r="C26" s="1061"/>
      <c r="D26" s="2625"/>
      <c r="E26" s="2625"/>
      <c r="F26" s="2625"/>
    </row>
    <row r="27" spans="1:6" ht="20.65" customHeight="1" x14ac:dyDescent="0.2">
      <c r="A27" s="1059"/>
      <c r="B27" s="1060"/>
      <c r="C27" s="1061"/>
      <c r="D27" s="2625"/>
      <c r="E27" s="2625"/>
      <c r="F27" s="2625"/>
    </row>
    <row r="28" spans="1:6" ht="20.65" customHeight="1" x14ac:dyDescent="0.2">
      <c r="A28" s="1059"/>
      <c r="B28" s="1060"/>
      <c r="C28" s="1061"/>
      <c r="D28" s="2625"/>
      <c r="E28" s="2625"/>
      <c r="F28" s="2625"/>
    </row>
    <row r="29" spans="1:6" ht="20.65" customHeight="1" x14ac:dyDescent="0.2">
      <c r="A29" s="1059"/>
      <c r="B29" s="1060"/>
      <c r="C29" s="1061"/>
      <c r="D29" s="2625"/>
      <c r="E29" s="2625"/>
      <c r="F29" s="262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9" t="s">
        <v>1707</v>
      </c>
      <c r="B32" s="2629"/>
      <c r="C32" s="2629"/>
      <c r="D32" s="2629"/>
      <c r="E32" s="2629"/>
      <c r="F32" s="2629"/>
    </row>
    <row r="33" spans="1:6" ht="13.5" customHeight="1" x14ac:dyDescent="0.2">
      <c r="A33" s="306" t="s">
        <v>1417</v>
      </c>
      <c r="B33" s="306"/>
      <c r="C33" s="1064">
        <v>46251</v>
      </c>
      <c r="D33" s="1526"/>
      <c r="E33" s="1062"/>
    </row>
    <row r="34" spans="1:6" ht="13.5" customHeight="1" x14ac:dyDescent="0.2">
      <c r="A34" s="306" t="s">
        <v>1809</v>
      </c>
      <c r="B34" s="306"/>
      <c r="C34" s="1065">
        <v>19508</v>
      </c>
      <c r="D34" s="1526" t="s">
        <v>1572</v>
      </c>
      <c r="E34" s="2630">
        <f>+C33+C34</f>
        <v>65759</v>
      </c>
      <c r="F34" s="263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32" t="s">
        <v>1573</v>
      </c>
      <c r="C49" s="2632"/>
      <c r="D49" s="2632"/>
      <c r="E49" s="1168"/>
    </row>
    <row r="50" spans="1:5" s="1076" customFormat="1" ht="3.75" customHeight="1" x14ac:dyDescent="0.2">
      <c r="A50" s="1075"/>
      <c r="B50" s="1475"/>
      <c r="C50" s="1475"/>
      <c r="D50" s="1475"/>
      <c r="E50" s="1168"/>
    </row>
    <row r="51" spans="1:5" s="1076" customFormat="1" ht="20.25" customHeight="1" x14ac:dyDescent="0.2">
      <c r="A51" s="1077">
        <v>6</v>
      </c>
      <c r="B51" s="2628" t="s">
        <v>1534</v>
      </c>
      <c r="C51" s="2628"/>
      <c r="D51" s="2628"/>
    </row>
    <row r="52" spans="1:5" ht="14.25" customHeight="1" x14ac:dyDescent="0.2">
      <c r="A52" s="1077"/>
      <c r="B52" s="2628"/>
      <c r="C52" s="2628"/>
      <c r="D52" s="262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N12" sqref="N1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7" t="str">
        <f>'Single Audit Cover'!A7</f>
        <v xml:space="preserve"> CHSD 155</v>
      </c>
      <c r="C1" s="2638"/>
      <c r="D1" s="2638"/>
      <c r="E1" s="2638"/>
      <c r="F1" s="2638"/>
      <c r="G1" s="2638"/>
      <c r="H1" s="2638"/>
      <c r="I1" s="2638"/>
      <c r="J1" s="1178"/>
    </row>
    <row r="2" spans="2:10" s="295" customFormat="1" ht="12.75" customHeight="1" x14ac:dyDescent="0.2">
      <c r="B2" s="2639">
        <f>'Single Audit Cover'!E7</f>
        <v>44063155016</v>
      </c>
      <c r="C2" s="2640"/>
      <c r="D2" s="2640"/>
      <c r="E2" s="2640"/>
      <c r="F2" s="2640"/>
      <c r="G2" s="2640"/>
      <c r="H2" s="2640"/>
      <c r="I2" s="2640"/>
      <c r="J2" s="1178"/>
    </row>
    <row r="3" spans="2:10" s="295" customFormat="1" ht="12.75" customHeight="1" x14ac:dyDescent="0.2">
      <c r="B3" s="2641" t="s">
        <v>1274</v>
      </c>
      <c r="C3" s="2642"/>
      <c r="D3" s="2642"/>
      <c r="E3" s="2642"/>
      <c r="F3" s="2642"/>
      <c r="G3" s="2642"/>
      <c r="H3" s="2642"/>
      <c r="I3" s="2642"/>
      <c r="J3" s="1179"/>
    </row>
    <row r="4" spans="2:10" s="295" customFormat="1" ht="12.75" customHeight="1" x14ac:dyDescent="0.2">
      <c r="B4" s="2641" t="str">
        <f>'Single Audit Cover'!A4</f>
        <v>Year Ending June 30, 2020</v>
      </c>
      <c r="C4" s="2642"/>
      <c r="D4" s="2642"/>
      <c r="E4" s="2642"/>
      <c r="F4" s="2642"/>
      <c r="G4" s="2642"/>
      <c r="H4" s="2642"/>
      <c r="I4" s="264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1" t="s">
        <v>1273</v>
      </c>
      <c r="C7" s="2642"/>
      <c r="D7" s="2642"/>
      <c r="E7" s="2642"/>
      <c r="F7" s="2642"/>
      <c r="G7" s="2642"/>
      <c r="H7" s="2642"/>
      <c r="I7" s="264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3" t="s">
        <v>2143</v>
      </c>
      <c r="D11" s="264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2066</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2066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2066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4" t="s">
        <v>2143</v>
      </c>
      <c r="E29" s="2644"/>
      <c r="F29" s="2644"/>
      <c r="G29" s="2644"/>
      <c r="H29" s="2644"/>
      <c r="I29" s="2644"/>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2066</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45" t="s">
        <v>1726</v>
      </c>
      <c r="D37" s="2646"/>
      <c r="E37" s="2646"/>
      <c r="F37" s="2647"/>
      <c r="G37" s="2645" t="s">
        <v>1575</v>
      </c>
      <c r="H37" s="2646"/>
      <c r="I37" s="2647"/>
    </row>
    <row r="38" spans="2:9" ht="16.5" customHeight="1" x14ac:dyDescent="0.2">
      <c r="B38" s="1200">
        <v>10.555</v>
      </c>
      <c r="C38" s="2633" t="s">
        <v>2144</v>
      </c>
      <c r="D38" s="2634"/>
      <c r="E38" s="2634"/>
      <c r="F38" s="2635"/>
      <c r="G38" s="2648">
        <v>551569</v>
      </c>
      <c r="H38" s="2649"/>
      <c r="I38" s="2650"/>
    </row>
    <row r="39" spans="2:9" ht="16.5" customHeight="1" x14ac:dyDescent="0.2">
      <c r="B39" s="1200">
        <v>10.555</v>
      </c>
      <c r="C39" s="2633" t="s">
        <v>2145</v>
      </c>
      <c r="D39" s="2634"/>
      <c r="E39" s="2634"/>
      <c r="F39" s="2635"/>
      <c r="G39" s="2636">
        <v>19508</v>
      </c>
      <c r="H39" s="2636"/>
      <c r="I39" s="2636"/>
    </row>
    <row r="40" spans="2:9" ht="16.5" customHeight="1" x14ac:dyDescent="0.2">
      <c r="B40" s="1200">
        <v>10.555</v>
      </c>
      <c r="C40" s="2633" t="s">
        <v>2146</v>
      </c>
      <c r="D40" s="2634"/>
      <c r="E40" s="2634"/>
      <c r="F40" s="2635"/>
      <c r="G40" s="2636">
        <v>46251</v>
      </c>
      <c r="H40" s="2636"/>
      <c r="I40" s="2636"/>
    </row>
    <row r="41" spans="2:9" ht="16.5" customHeight="1" x14ac:dyDescent="0.2">
      <c r="B41" s="1200" t="s">
        <v>2105</v>
      </c>
      <c r="C41" s="2633" t="s">
        <v>2147</v>
      </c>
      <c r="D41" s="2634"/>
      <c r="E41" s="2634"/>
      <c r="F41" s="2635"/>
      <c r="G41" s="2636">
        <v>204274</v>
      </c>
      <c r="H41" s="2636"/>
      <c r="I41" s="2636"/>
    </row>
    <row r="42" spans="2:9" ht="16.5" customHeight="1" x14ac:dyDescent="0.2">
      <c r="B42" s="1200">
        <v>84.027000000000001</v>
      </c>
      <c r="C42" s="2633" t="s">
        <v>2148</v>
      </c>
      <c r="D42" s="2634"/>
      <c r="E42" s="2634"/>
      <c r="F42" s="2635"/>
      <c r="G42" s="2636">
        <v>1182278</v>
      </c>
      <c r="H42" s="2636"/>
      <c r="I42" s="2636"/>
    </row>
    <row r="43" spans="2:9" ht="16.5" customHeight="1" x14ac:dyDescent="0.2">
      <c r="B43" s="1200"/>
      <c r="C43" s="2651" t="s">
        <v>1576</v>
      </c>
      <c r="D43" s="2652"/>
      <c r="E43" s="2652"/>
      <c r="F43" s="2653"/>
      <c r="G43" s="2654">
        <f>SUM(G38:I42)</f>
        <v>2003880</v>
      </c>
      <c r="H43" s="2654"/>
      <c r="I43" s="2654"/>
    </row>
    <row r="44" spans="2:9" ht="12.75" customHeight="1" x14ac:dyDescent="0.2"/>
    <row r="45" spans="2:9" ht="12.75" customHeight="1" x14ac:dyDescent="0.2">
      <c r="B45" s="1916" t="str">
        <f>"Total Federal Expenditures for 7/1/"&amp;MID('AFR20'!E2,3,2)-1&amp;"-6/30/"&amp;MID('AFR20'!E2,3,2)</f>
        <v>Total Federal Expenditures for 7/1/19-6/30/20</v>
      </c>
      <c r="C45" s="1917"/>
      <c r="D45" s="2655">
        <v>3059400</v>
      </c>
      <c r="E45" s="2656"/>
    </row>
    <row r="46" spans="2:9" ht="5.25" customHeight="1" x14ac:dyDescent="0.2">
      <c r="B46" s="1201"/>
      <c r="D46" s="1202"/>
      <c r="E46" s="1203"/>
    </row>
    <row r="47" spans="2:9" ht="12.75" customHeight="1" x14ac:dyDescent="0.2">
      <c r="B47" s="1076" t="s">
        <v>1577</v>
      </c>
      <c r="C47" s="1076"/>
      <c r="D47" s="1204">
        <f>+G43/D45</f>
        <v>0.65499117474014512</v>
      </c>
      <c r="E47" s="1205"/>
      <c r="F47" s="1206"/>
      <c r="I47" s="1207"/>
    </row>
    <row r="48" spans="2:9" ht="9.9499999999999993" customHeight="1" x14ac:dyDescent="0.2"/>
    <row r="49" spans="1:9" x14ac:dyDescent="0.2">
      <c r="B49" s="1138" t="s">
        <v>1262</v>
      </c>
      <c r="C49" s="1058"/>
      <c r="D49" s="1058"/>
      <c r="E49" s="2657">
        <v>750000</v>
      </c>
      <c r="F49" s="2657"/>
      <c r="G49" s="2657"/>
      <c r="H49" s="300"/>
    </row>
    <row r="51" spans="1:9" ht="13.5" customHeight="1" x14ac:dyDescent="0.2">
      <c r="B51" s="1138" t="s">
        <v>1261</v>
      </c>
      <c r="C51" s="1058"/>
      <c r="E51" s="1194" t="s">
        <v>2066</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7" t="str">
        <f>'Single Audit Cover'!A7</f>
        <v xml:space="preserve"> CHSD 155</v>
      </c>
      <c r="C1" s="2637"/>
      <c r="D1" s="2637"/>
      <c r="E1" s="2637"/>
      <c r="F1" s="2637"/>
      <c r="G1" s="2637"/>
      <c r="H1" s="2637"/>
      <c r="I1" s="2637"/>
      <c r="J1" s="2637"/>
      <c r="K1" s="2637"/>
      <c r="L1" s="1144"/>
      <c r="M1" s="1144"/>
    </row>
    <row r="2" spans="1:13" ht="12" customHeight="1" x14ac:dyDescent="0.2">
      <c r="B2" s="2639">
        <f>'Single Audit Cover'!E7</f>
        <v>44063155016</v>
      </c>
      <c r="C2" s="2639"/>
      <c r="D2" s="2639"/>
      <c r="E2" s="2639"/>
      <c r="F2" s="2639"/>
      <c r="G2" s="2639"/>
      <c r="H2" s="2639"/>
      <c r="I2" s="2639"/>
      <c r="J2" s="2639"/>
      <c r="K2" s="2639"/>
      <c r="L2" s="1145"/>
      <c r="M2" s="1146"/>
    </row>
    <row r="3" spans="1:13" ht="10.35" customHeight="1" x14ac:dyDescent="0.2">
      <c r="B3" s="2660" t="s">
        <v>1274</v>
      </c>
      <c r="C3" s="2660"/>
      <c r="D3" s="2660"/>
      <c r="E3" s="2660"/>
      <c r="F3" s="2660"/>
      <c r="G3" s="2660"/>
      <c r="H3" s="2660"/>
      <c r="I3" s="2660"/>
      <c r="J3" s="2660"/>
      <c r="K3" s="2660"/>
      <c r="L3" s="1147"/>
      <c r="M3" s="1147"/>
    </row>
    <row r="4" spans="1:13" ht="14.25" customHeight="1" x14ac:dyDescent="0.2">
      <c r="B4" s="2661" t="str">
        <f>'Single Audit Cover'!A4</f>
        <v>Year Ending June 30, 2020</v>
      </c>
      <c r="C4" s="2661"/>
      <c r="D4" s="2661"/>
      <c r="E4" s="2661"/>
      <c r="F4" s="2661"/>
      <c r="G4" s="2661"/>
      <c r="H4" s="2661"/>
      <c r="I4" s="2661"/>
      <c r="J4" s="2661"/>
      <c r="K4" s="266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1" t="s">
        <v>1285</v>
      </c>
      <c r="C7" s="2661"/>
      <c r="D7" s="2662"/>
      <c r="E7" s="2662"/>
      <c r="F7" s="2662"/>
      <c r="G7" s="2662"/>
      <c r="H7" s="2662"/>
      <c r="I7" s="2662"/>
      <c r="J7" s="2662"/>
      <c r="K7" s="266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9"/>
      <c r="C14" s="2659"/>
      <c r="D14" s="2659"/>
      <c r="E14" s="2659"/>
      <c r="F14" s="2659"/>
      <c r="G14" s="2659"/>
      <c r="H14" s="2659"/>
      <c r="I14" s="2659"/>
      <c r="J14" s="2659"/>
      <c r="K14" s="265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9"/>
      <c r="C17" s="2659"/>
      <c r="D17" s="2659"/>
      <c r="E17" s="2659"/>
      <c r="F17" s="2659"/>
      <c r="G17" s="2659"/>
      <c r="H17" s="2659"/>
      <c r="I17" s="2659"/>
      <c r="J17" s="2659"/>
      <c r="K17" s="2659"/>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63"/>
      <c r="C20" s="2663"/>
      <c r="D20" s="2659"/>
      <c r="E20" s="2659"/>
      <c r="F20" s="2659"/>
      <c r="G20" s="2659"/>
      <c r="H20" s="2659"/>
      <c r="I20" s="2659"/>
      <c r="J20" s="2659"/>
      <c r="K20" s="265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9"/>
      <c r="C23" s="2659"/>
      <c r="D23" s="2659"/>
      <c r="E23" s="2659"/>
      <c r="F23" s="2659"/>
      <c r="G23" s="2659"/>
      <c r="H23" s="2659"/>
      <c r="I23" s="2659"/>
      <c r="J23" s="2659"/>
      <c r="K23" s="265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9"/>
      <c r="C26" s="2659"/>
      <c r="D26" s="2659"/>
      <c r="E26" s="2659"/>
      <c r="F26" s="2659"/>
      <c r="G26" s="2659"/>
      <c r="H26" s="2659"/>
      <c r="I26" s="2659"/>
      <c r="J26" s="2659"/>
      <c r="K26" s="265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8"/>
      <c r="C29" s="2658"/>
      <c r="D29" s="2659"/>
      <c r="E29" s="2659"/>
      <c r="F29" s="2659"/>
      <c r="G29" s="2659"/>
      <c r="H29" s="2659"/>
      <c r="I29" s="2659"/>
      <c r="J29" s="2659"/>
      <c r="K29" s="265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58"/>
      <c r="C32" s="2658"/>
      <c r="D32" s="2659"/>
      <c r="E32" s="2659"/>
      <c r="F32" s="2659"/>
      <c r="G32" s="2659"/>
      <c r="H32" s="2659"/>
      <c r="I32" s="2659"/>
      <c r="J32" s="2659"/>
      <c r="K32" s="265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4" t="str">
        <f>'Single Audit Cover'!A7</f>
        <v xml:space="preserve"> CHSD 155</v>
      </c>
      <c r="C1" s="2664"/>
      <c r="D1" s="2664"/>
      <c r="E1" s="2664"/>
      <c r="F1" s="2664"/>
      <c r="G1" s="2664"/>
      <c r="H1" s="2664"/>
      <c r="I1" s="2664"/>
      <c r="J1" s="2664"/>
      <c r="K1" s="2664"/>
      <c r="L1" s="1221"/>
    </row>
    <row r="2" spans="1:12" ht="12.75" customHeight="1" x14ac:dyDescent="0.2">
      <c r="B2" s="2665">
        <f>'Single Audit Cover'!E7</f>
        <v>44063155016</v>
      </c>
      <c r="C2" s="2665"/>
      <c r="D2" s="2665"/>
      <c r="E2" s="2665"/>
      <c r="F2" s="2665"/>
      <c r="G2" s="2665"/>
      <c r="H2" s="2665"/>
      <c r="I2" s="2665"/>
      <c r="J2" s="2665"/>
      <c r="K2" s="2665"/>
      <c r="L2" s="1222"/>
    </row>
    <row r="3" spans="1:12" ht="12.75" customHeight="1" x14ac:dyDescent="0.2">
      <c r="B3" s="2660" t="s">
        <v>1274</v>
      </c>
      <c r="C3" s="2660"/>
      <c r="D3" s="2660"/>
      <c r="E3" s="2660"/>
      <c r="F3" s="2660"/>
      <c r="G3" s="2660"/>
      <c r="H3" s="2660"/>
      <c r="I3" s="2660"/>
      <c r="J3" s="2660"/>
      <c r="K3" s="2660"/>
      <c r="L3" s="1147"/>
    </row>
    <row r="4" spans="1:12" ht="12.75" customHeight="1" x14ac:dyDescent="0.2">
      <c r="B4" s="2660" t="str">
        <f>'Single Audit Cover'!A4</f>
        <v>Year Ending June 30, 2020</v>
      </c>
      <c r="C4" s="2660"/>
      <c r="D4" s="2660"/>
      <c r="E4" s="2660"/>
      <c r="F4" s="2660"/>
      <c r="G4" s="2660"/>
      <c r="H4" s="2660"/>
      <c r="I4" s="2660"/>
      <c r="J4" s="2660"/>
      <c r="K4" s="2660"/>
      <c r="L4" s="1147"/>
    </row>
    <row r="5" spans="1:12" ht="5.25" customHeight="1" x14ac:dyDescent="0.2">
      <c r="B5" s="1036" t="s">
        <v>1159</v>
      </c>
      <c r="C5" s="1036"/>
      <c r="L5" s="300"/>
    </row>
    <row r="6" spans="1:12" ht="30.75" customHeight="1" x14ac:dyDescent="0.2">
      <c r="A6" s="300"/>
      <c r="B6" s="2666" t="s">
        <v>1297</v>
      </c>
      <c r="C6" s="2666"/>
      <c r="D6" s="2666"/>
      <c r="E6" s="2666"/>
      <c r="F6" s="2666"/>
      <c r="G6" s="2666"/>
      <c r="H6" s="2666"/>
      <c r="I6" s="2666"/>
      <c r="J6" s="2666"/>
      <c r="K6" s="2666"/>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4"/>
      <c r="G12" s="2644"/>
      <c r="H12" s="2644"/>
      <c r="I12" s="2644"/>
      <c r="J12" s="2644"/>
      <c r="K12" s="264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7"/>
      <c r="E14" s="2667"/>
      <c r="F14" s="2667"/>
      <c r="H14" s="1230" t="s">
        <v>1292</v>
      </c>
      <c r="I14" s="2668"/>
      <c r="J14" s="2668"/>
      <c r="K14" s="266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8"/>
      <c r="E16" s="2668"/>
      <c r="F16" s="2668"/>
      <c r="G16" s="2668"/>
      <c r="H16" s="2668"/>
      <c r="I16" s="2668"/>
      <c r="J16" s="2668"/>
      <c r="K16" s="2668"/>
      <c r="L16" s="300"/>
    </row>
    <row r="17" spans="2:12" ht="13.5" customHeight="1" x14ac:dyDescent="0.2">
      <c r="B17" s="1156" t="s">
        <v>1290</v>
      </c>
      <c r="C17" s="1156"/>
      <c r="D17" s="2669"/>
      <c r="E17" s="2669"/>
      <c r="F17" s="2669"/>
      <c r="G17" s="2669"/>
      <c r="H17" s="2669"/>
      <c r="I17" s="2669"/>
      <c r="J17" s="2669"/>
      <c r="K17" s="266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9"/>
      <c r="C20" s="2659"/>
      <c r="D20" s="2659"/>
      <c r="E20" s="2659"/>
      <c r="F20" s="2659"/>
      <c r="G20" s="2659"/>
      <c r="H20" s="2659"/>
      <c r="I20" s="2659"/>
      <c r="J20" s="2659"/>
      <c r="K20" s="265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59"/>
      <c r="C23" s="2659"/>
      <c r="D23" s="2659"/>
      <c r="E23" s="2659"/>
      <c r="F23" s="2659"/>
      <c r="G23" s="2659"/>
      <c r="H23" s="2659"/>
      <c r="I23" s="2659"/>
      <c r="J23" s="2659"/>
      <c r="K23" s="265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59"/>
      <c r="C26" s="2659"/>
      <c r="D26" s="2659"/>
      <c r="E26" s="2659"/>
      <c r="F26" s="2659"/>
      <c r="G26" s="2659"/>
      <c r="H26" s="2659"/>
      <c r="I26" s="2659"/>
      <c r="J26" s="2659"/>
      <c r="K26" s="265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59"/>
      <c r="C29" s="2659"/>
      <c r="D29" s="2659"/>
      <c r="E29" s="2659"/>
      <c r="F29" s="2659"/>
      <c r="G29" s="2659"/>
      <c r="H29" s="2659"/>
      <c r="I29" s="2659"/>
      <c r="J29" s="2659"/>
      <c r="K29" s="265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9"/>
      <c r="C32" s="2659"/>
      <c r="D32" s="2659"/>
      <c r="E32" s="2659"/>
      <c r="F32" s="2659"/>
      <c r="G32" s="2659"/>
      <c r="H32" s="2659"/>
      <c r="I32" s="2659"/>
      <c r="J32" s="2659"/>
      <c r="K32" s="265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9"/>
      <c r="C35" s="2659"/>
      <c r="D35" s="2659"/>
      <c r="E35" s="2659"/>
      <c r="F35" s="2659"/>
      <c r="G35" s="2659"/>
      <c r="H35" s="2659"/>
      <c r="I35" s="2659"/>
      <c r="J35" s="2659"/>
      <c r="K35" s="265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9"/>
      <c r="C38" s="2659"/>
      <c r="D38" s="2659"/>
      <c r="E38" s="2659"/>
      <c r="F38" s="2659"/>
      <c r="G38" s="2659"/>
      <c r="H38" s="2659"/>
      <c r="I38" s="2659"/>
      <c r="J38" s="2659"/>
      <c r="K38" s="265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59"/>
      <c r="C41" s="2659"/>
      <c r="D41" s="2659"/>
      <c r="E41" s="2659"/>
      <c r="F41" s="2659"/>
      <c r="G41" s="2659"/>
      <c r="H41" s="2659"/>
      <c r="I41" s="2659"/>
      <c r="J41" s="2659"/>
      <c r="K41" s="265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7" t="str">
        <f>'Single Audit Cover'!A7</f>
        <v xml:space="preserve"> CHSD 155</v>
      </c>
      <c r="C1" s="2637"/>
      <c r="D1" s="2637"/>
      <c r="E1" s="1240"/>
    </row>
    <row r="2" spans="2:5" s="1058" customFormat="1" ht="12.75" customHeight="1" x14ac:dyDescent="0.2">
      <c r="B2" s="2639">
        <f>'Single Audit Cover'!E7</f>
        <v>44063155016</v>
      </c>
      <c r="C2" s="2639"/>
      <c r="D2" s="2639"/>
      <c r="E2" s="1241"/>
    </row>
    <row r="3" spans="2:5" ht="12.75" customHeight="1" x14ac:dyDescent="0.2">
      <c r="B3" s="2660" t="s">
        <v>1741</v>
      </c>
      <c r="C3" s="2660"/>
      <c r="D3" s="2660"/>
      <c r="E3" s="1050"/>
    </row>
    <row r="4" spans="2:5" s="1058" customFormat="1" ht="12.75" customHeight="1" x14ac:dyDescent="0.2">
      <c r="B4" s="2670" t="str">
        <f>'Single Audit Cover'!A4</f>
        <v>Year Ending June 30, 2020</v>
      </c>
      <c r="C4" s="2670"/>
      <c r="D4" s="2670"/>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t="s">
        <v>2150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5" t="s">
        <v>383</v>
      </c>
      <c r="B1" s="2235"/>
      <c r="C1" s="2235"/>
      <c r="D1" s="2235"/>
      <c r="E1" s="2235"/>
      <c r="F1" s="2235"/>
      <c r="G1" s="2235"/>
      <c r="H1" s="2235"/>
      <c r="I1" s="2235"/>
      <c r="J1" s="2235"/>
      <c r="K1" s="2235"/>
      <c r="L1" s="2235"/>
      <c r="M1" s="223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2954321604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2.1784999999999999E-2</v>
      </c>
      <c r="E10" s="333" t="s">
        <v>998</v>
      </c>
      <c r="F10" s="332">
        <v>1.79867E-3</v>
      </c>
      <c r="G10" s="333" t="s">
        <v>998</v>
      </c>
      <c r="H10" s="332">
        <v>5.0352999999999997E-4</v>
      </c>
      <c r="I10" s="333" t="s">
        <v>999</v>
      </c>
      <c r="J10" s="1424">
        <f>ROUND(D10+F10+H10,5)</f>
        <v>2.409E-2</v>
      </c>
      <c r="K10" s="217"/>
      <c r="L10" s="332"/>
      <c r="M10" s="217"/>
    </row>
    <row r="11" spans="1:14" ht="7.5" customHeight="1" x14ac:dyDescent="0.2">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91509662</v>
      </c>
      <c r="E16" s="1547"/>
      <c r="F16" s="1546">
        <f>SUM('Acct Summary 7-8'!C17,'Acct Summary 7-8'!D17,'Acct Summary 7-8'!F17)</f>
        <v>90615805</v>
      </c>
      <c r="G16" s="1547"/>
      <c r="H16" s="1546">
        <f>SUM(D16-F16)</f>
        <v>893857</v>
      </c>
      <c r="I16" s="1548"/>
      <c r="J16" s="1546">
        <f>SUM('Acct Summary 7-8'!C81,'Acct Summary 7-8'!D81,'Acct Summary 7-8'!F81,'Acct Summary 7-8'!I81)</f>
        <v>41100534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425">
        <f>IF(B31="X",(J7*0.069),IF(B32="X",(J7*0.138),"Enter x in a.or b."))</f>
        <v>203848190.67600003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14835000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6"/>
      <c r="C54" s="2237"/>
      <c r="D54" s="2237"/>
      <c r="E54" s="2237"/>
      <c r="F54" s="2237"/>
      <c r="G54" s="2237"/>
      <c r="H54" s="2237"/>
      <c r="I54" s="2237"/>
      <c r="J54" s="2237"/>
      <c r="K54" s="2237"/>
      <c r="L54" s="2238"/>
      <c r="M54" s="357"/>
    </row>
    <row r="55" spans="1:13" ht="12.75" customHeight="1" x14ac:dyDescent="0.2">
      <c r="B55" s="2239"/>
      <c r="C55" s="2240"/>
      <c r="D55" s="2240"/>
      <c r="E55" s="2240"/>
      <c r="F55" s="2240"/>
      <c r="G55" s="2240"/>
      <c r="H55" s="2240"/>
      <c r="I55" s="2240"/>
      <c r="J55" s="2240"/>
      <c r="K55" s="2240"/>
      <c r="L55" s="2241"/>
      <c r="M55" s="357"/>
    </row>
    <row r="56" spans="1:13" ht="12.75" customHeight="1" x14ac:dyDescent="0.2">
      <c r="B56" s="2239"/>
      <c r="C56" s="2240"/>
      <c r="D56" s="2240"/>
      <c r="E56" s="2240"/>
      <c r="F56" s="2240"/>
      <c r="G56" s="2240"/>
      <c r="H56" s="2240"/>
      <c r="I56" s="2240"/>
      <c r="J56" s="2240"/>
      <c r="K56" s="2240"/>
      <c r="L56" s="2241"/>
      <c r="M56" s="217"/>
    </row>
    <row r="57" spans="1:13" ht="12.75" customHeight="1" x14ac:dyDescent="0.2">
      <c r="B57" s="2239"/>
      <c r="C57" s="2240"/>
      <c r="D57" s="2240"/>
      <c r="E57" s="2240"/>
      <c r="F57" s="2240"/>
      <c r="G57" s="2240"/>
      <c r="H57" s="2240"/>
      <c r="I57" s="2240"/>
      <c r="J57" s="2240"/>
      <c r="K57" s="2240"/>
      <c r="L57" s="2241"/>
      <c r="M57" s="217"/>
    </row>
    <row r="58" spans="1:13" x14ac:dyDescent="0.2">
      <c r="B58" s="2242"/>
      <c r="C58" s="2243"/>
      <c r="D58" s="2243"/>
      <c r="E58" s="2243"/>
      <c r="F58" s="2243"/>
      <c r="G58" s="2243"/>
      <c r="H58" s="2243"/>
      <c r="I58" s="2243"/>
      <c r="J58" s="2243"/>
      <c r="K58" s="2243"/>
      <c r="L58" s="224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7"/>
      <c r="D61" s="224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20" sqref="H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0"/>
      <c r="B1" s="2251"/>
      <c r="C1" s="2251"/>
      <c r="D1" s="361"/>
      <c r="E1" s="361"/>
      <c r="F1" s="361"/>
      <c r="G1" s="361"/>
      <c r="H1" s="361"/>
      <c r="I1" s="361"/>
      <c r="J1" s="361"/>
      <c r="K1" s="361"/>
      <c r="L1" s="361"/>
      <c r="M1" s="361"/>
      <c r="N1" s="361"/>
      <c r="O1" s="2250"/>
      <c r="P1" s="2251"/>
      <c r="Q1" s="2251"/>
    </row>
    <row r="2" spans="1:18" ht="15" x14ac:dyDescent="0.2">
      <c r="A2" s="2254" t="s">
        <v>552</v>
      </c>
      <c r="B2" s="2254"/>
      <c r="C2" s="2254"/>
      <c r="D2" s="2254"/>
      <c r="E2" s="2254"/>
      <c r="F2" s="2254"/>
      <c r="G2" s="2254"/>
      <c r="H2" s="2254"/>
      <c r="I2" s="2254"/>
      <c r="J2" s="2254"/>
      <c r="K2" s="2254"/>
      <c r="L2" s="2254"/>
      <c r="M2" s="2254"/>
      <c r="N2" s="2254"/>
      <c r="O2" s="2254"/>
      <c r="P2" s="2254"/>
      <c r="Q2" s="2254"/>
      <c r="R2" s="2254"/>
    </row>
    <row r="3" spans="1:18" ht="12.75" x14ac:dyDescent="0.2">
      <c r="A3" s="2255" t="s">
        <v>1396</v>
      </c>
      <c r="B3" s="2255"/>
      <c r="C3" s="2255"/>
      <c r="D3" s="2255"/>
      <c r="E3" s="2255"/>
      <c r="F3" s="2255"/>
      <c r="G3" s="2255"/>
      <c r="H3" s="2255"/>
      <c r="I3" s="2255"/>
      <c r="J3" s="2255"/>
      <c r="K3" s="2255"/>
      <c r="L3" s="2255"/>
      <c r="M3" s="2255"/>
      <c r="N3" s="2255"/>
      <c r="O3" s="2255"/>
      <c r="P3" s="2255"/>
      <c r="Q3" s="2255"/>
      <c r="R3" s="2255"/>
    </row>
    <row r="4" spans="1:18" x14ac:dyDescent="0.2">
      <c r="A4" s="2256" t="s">
        <v>1537</v>
      </c>
      <c r="B4" s="2256"/>
      <c r="C4" s="2256"/>
      <c r="D4" s="2256"/>
      <c r="E4" s="2256"/>
      <c r="F4" s="2256"/>
      <c r="G4" s="2256"/>
      <c r="H4" s="2256"/>
      <c r="I4" s="2256"/>
      <c r="J4" s="2256"/>
      <c r="K4" s="2256"/>
      <c r="L4" s="2256"/>
      <c r="M4" s="2256"/>
      <c r="N4" s="2256"/>
      <c r="O4" s="2256"/>
      <c r="P4" s="2256"/>
      <c r="Q4" s="2256"/>
      <c r="R4" s="225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CHSD 155</v>
      </c>
      <c r="E7" s="368"/>
      <c r="G7" s="247"/>
      <c r="H7" s="364"/>
      <c r="I7" s="364"/>
      <c r="J7" s="364"/>
      <c r="K7" s="364"/>
      <c r="L7" s="307"/>
      <c r="M7" s="307"/>
      <c r="N7" s="307"/>
      <c r="O7" s="307"/>
      <c r="P7" s="307"/>
    </row>
    <row r="8" spans="1:18" ht="12.75" x14ac:dyDescent="0.2">
      <c r="A8" s="307"/>
      <c r="B8" s="307"/>
      <c r="C8" s="366" t="s">
        <v>1115</v>
      </c>
      <c r="D8" s="369">
        <f>COVER!A13</f>
        <v>44063155016</v>
      </c>
      <c r="E8" s="370"/>
      <c r="G8" s="307"/>
      <c r="H8" s="307"/>
      <c r="I8" s="307"/>
      <c r="J8" s="307"/>
      <c r="K8" s="307"/>
      <c r="L8" s="307"/>
      <c r="M8" s="307"/>
      <c r="N8" s="307"/>
      <c r="O8" s="307"/>
      <c r="P8" s="307"/>
    </row>
    <row r="9" spans="1:18" ht="12.75" x14ac:dyDescent="0.2">
      <c r="A9" s="307"/>
      <c r="B9" s="307"/>
      <c r="C9" s="366" t="s">
        <v>708</v>
      </c>
      <c r="D9" s="371" t="str">
        <f>COVER!A15</f>
        <v>McHenry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41100534</v>
      </c>
      <c r="I12" s="380"/>
      <c r="J12" s="380"/>
      <c r="K12" s="1559">
        <f>TRUNC((H12/H13*100000),5)/100000</f>
        <v>0.44913873679999999</v>
      </c>
      <c r="L12" s="381"/>
      <c r="M12" s="337" t="s">
        <v>1134</v>
      </c>
      <c r="N12" s="337"/>
      <c r="O12" s="1562">
        <v>0.35</v>
      </c>
      <c r="P12" s="213"/>
      <c r="Q12" s="213"/>
    </row>
    <row r="13" spans="1:18" s="382" customFormat="1" ht="12.75" x14ac:dyDescent="0.2">
      <c r="A13" s="213"/>
      <c r="B13" s="377"/>
      <c r="C13" s="2252" t="s">
        <v>1313</v>
      </c>
      <c r="D13" s="2253"/>
      <c r="E13" s="213"/>
      <c r="F13" s="383" t="s">
        <v>788</v>
      </c>
      <c r="G13" s="378"/>
      <c r="H13" s="1551">
        <f>SUM('Acct Summary 7-8'!C8+'Acct Summary 7-8'!D8+'Acct Summary 7-8'!F8+'Acct Summary 7-8'!I8)+H14</f>
        <v>91509662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90615805</v>
      </c>
      <c r="I17" s="380"/>
      <c r="J17" s="389"/>
      <c r="K17" s="1559">
        <f>TRUNC((H17/H18*100000),5)/100000</f>
        <v>0.99023210240000004</v>
      </c>
      <c r="L17" s="381"/>
      <c r="M17" s="390" t="s">
        <v>1161</v>
      </c>
      <c r="O17" s="1565" t="str">
        <f>IF(AND(O16="2", J20 &gt; 2),"1",IF(AND(O16 = "1", J20 &gt; 2),"2",IF(AND(O16="1", J20 &gt;1),"1","0")))</f>
        <v>0</v>
      </c>
      <c r="P17" s="213"/>
    </row>
    <row r="18" spans="1:18" s="382" customFormat="1" ht="11.25" x14ac:dyDescent="0.2">
      <c r="A18" s="213"/>
      <c r="B18" s="377"/>
      <c r="C18" s="2252" t="s">
        <v>1306</v>
      </c>
      <c r="D18" s="2253"/>
      <c r="E18" s="213"/>
      <c r="F18" s="391" t="s">
        <v>789</v>
      </c>
      <c r="G18" s="378"/>
      <c r="H18" s="1551">
        <f>SUM('Acct Summary 7-8'!C8+'Acct Summary 7-8'!D8+'Acct Summary 7-8'!F8+'Acct Summary 7-8'!I8)+H19</f>
        <v>91509662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9" t="s">
        <v>1395</v>
      </c>
      <c r="D24" s="2249"/>
      <c r="E24" s="213"/>
      <c r="F24" s="213" t="s">
        <v>442</v>
      </c>
      <c r="G24" s="378"/>
      <c r="H24" s="1551">
        <f>SUM('Assets-Liab 5-6'!C4+'Assets-Liab 5-6'!D4+'Assets-Liab 5-6'!F4+'Assets-Liab 5-6'!I4+'Assets-Liab 5-6'!C5+'Assets-Liab 5-6'!D5+'Assets-Liab 5-6'!F5+'Assets-Liab 5-6'!I5)</f>
        <v>84228817</v>
      </c>
      <c r="I24" s="394"/>
      <c r="J24" s="394"/>
      <c r="K24" s="1555">
        <f>TRUNC(((H24/H25*100000)/100000),2)</f>
        <v>334.62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251710.56943999999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60494166.324309997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14835000</v>
      </c>
      <c r="I32" s="392"/>
      <c r="J32" s="392"/>
      <c r="K32" s="1555">
        <f>TRUNC(100-((((H32/H33*100))*100)/100),2)</f>
        <v>92.72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203848190.67600003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8"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9" t="s">
        <v>967</v>
      </c>
      <c r="B3" s="2260"/>
      <c r="C3" s="1306"/>
      <c r="D3" s="1307"/>
      <c r="E3" s="1307"/>
      <c r="F3" s="1307"/>
      <c r="G3" s="1307"/>
      <c r="H3" s="1307"/>
      <c r="I3" s="1307"/>
      <c r="J3" s="1307"/>
      <c r="K3" s="1307"/>
      <c r="L3" s="1307"/>
      <c r="M3" s="1308"/>
      <c r="N3" s="1309"/>
    </row>
    <row r="4" spans="1:14" ht="13.5" customHeight="1" x14ac:dyDescent="0.2">
      <c r="A4" s="427" t="s">
        <v>1632</v>
      </c>
      <c r="B4" s="428"/>
      <c r="C4" s="1572">
        <v>32841285</v>
      </c>
      <c r="D4" s="1573">
        <v>7777971</v>
      </c>
      <c r="E4" s="1573">
        <v>713150</v>
      </c>
      <c r="F4" s="1573">
        <v>3215882</v>
      </c>
      <c r="G4" s="1573">
        <v>3156837</v>
      </c>
      <c r="H4" s="1573">
        <v>5431708</v>
      </c>
      <c r="I4" s="1573">
        <v>2135610</v>
      </c>
      <c r="J4" s="1574"/>
      <c r="K4" s="1573"/>
      <c r="L4" s="1573">
        <v>908573</v>
      </c>
      <c r="M4" s="1575"/>
      <c r="N4" s="1576"/>
    </row>
    <row r="5" spans="1:14" x14ac:dyDescent="0.2">
      <c r="A5" s="427" t="s">
        <v>985</v>
      </c>
      <c r="B5" s="429">
        <v>120</v>
      </c>
      <c r="C5" s="1572">
        <v>38258069</v>
      </c>
      <c r="D5" s="1573"/>
      <c r="E5" s="1573"/>
      <c r="F5" s="1573"/>
      <c r="G5" s="1573"/>
      <c r="H5" s="1573"/>
      <c r="I5" s="1573"/>
      <c r="J5" s="1574"/>
      <c r="K5" s="1577"/>
      <c r="L5" s="1578"/>
      <c r="M5" s="1575"/>
      <c r="N5" s="1576"/>
    </row>
    <row r="6" spans="1:14" ht="13.5" customHeight="1" x14ac:dyDescent="0.2">
      <c r="A6" s="430" t="s">
        <v>414</v>
      </c>
      <c r="B6" s="429">
        <v>130</v>
      </c>
      <c r="C6" s="1572">
        <v>35679022</v>
      </c>
      <c r="D6" s="1573">
        <v>2848087</v>
      </c>
      <c r="E6" s="1573">
        <v>737992</v>
      </c>
      <c r="F6" s="1573">
        <v>797310</v>
      </c>
      <c r="G6" s="1577">
        <v>829753</v>
      </c>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738473</v>
      </c>
      <c r="D8" s="1574"/>
      <c r="E8" s="1574"/>
      <c r="F8" s="1574">
        <v>277238</v>
      </c>
      <c r="G8" s="1583"/>
      <c r="H8" s="1574"/>
      <c r="I8" s="1579"/>
      <c r="J8" s="1579"/>
      <c r="K8" s="1584"/>
      <c r="L8" s="1585"/>
      <c r="M8" s="1575"/>
      <c r="N8" s="1576"/>
    </row>
    <row r="9" spans="1:14" ht="13.5" customHeight="1" x14ac:dyDescent="0.2">
      <c r="A9" s="430" t="s">
        <v>268</v>
      </c>
      <c r="B9" s="429">
        <v>160</v>
      </c>
      <c r="C9" s="1581">
        <v>210476</v>
      </c>
      <c r="D9" s="1574">
        <v>2120</v>
      </c>
      <c r="E9" s="1574"/>
      <c r="F9" s="1574">
        <v>992</v>
      </c>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199267</v>
      </c>
      <c r="D11" s="1574">
        <v>2750</v>
      </c>
      <c r="E11" s="1574"/>
      <c r="F11" s="1574"/>
      <c r="G11" s="1574"/>
      <c r="H11" s="1574"/>
      <c r="I11" s="1583"/>
      <c r="J11" s="1583"/>
      <c r="K11" s="1574"/>
      <c r="L11" s="1574"/>
      <c r="M11" s="1576"/>
      <c r="N11" s="1576"/>
    </row>
    <row r="12" spans="1:14" ht="13.5" customHeight="1" x14ac:dyDescent="0.2">
      <c r="A12" s="430" t="s">
        <v>416</v>
      </c>
      <c r="B12" s="429">
        <v>190</v>
      </c>
      <c r="C12" s="1572">
        <v>40137</v>
      </c>
      <c r="D12" s="1573"/>
      <c r="E12" s="1573"/>
      <c r="F12" s="1573"/>
      <c r="G12" s="1573"/>
      <c r="H12" s="1573"/>
      <c r="I12" s="1573"/>
      <c r="J12" s="1574"/>
      <c r="K12" s="1573"/>
      <c r="L12" s="1573"/>
      <c r="M12" s="1576"/>
      <c r="N12" s="1576"/>
    </row>
    <row r="13" spans="1:14" ht="13.5" customHeight="1" thickBot="1" x14ac:dyDescent="0.25">
      <c r="A13" s="1426" t="s">
        <v>639</v>
      </c>
      <c r="B13" s="1407"/>
      <c r="C13" s="1587">
        <f>SUM(C4:C12)</f>
        <v>107966729</v>
      </c>
      <c r="D13" s="1587">
        <f t="shared" ref="D13:L13" si="0">SUM(D4:D12)</f>
        <v>10630928</v>
      </c>
      <c r="E13" s="1587">
        <f t="shared" si="0"/>
        <v>1451142</v>
      </c>
      <c r="F13" s="1587">
        <f t="shared" si="0"/>
        <v>4291422</v>
      </c>
      <c r="G13" s="1587">
        <f t="shared" si="0"/>
        <v>3986590</v>
      </c>
      <c r="H13" s="1587">
        <f t="shared" si="0"/>
        <v>5431708</v>
      </c>
      <c r="I13" s="1587">
        <f t="shared" si="0"/>
        <v>2135610</v>
      </c>
      <c r="J13" s="1587">
        <f t="shared" si="0"/>
        <v>0</v>
      </c>
      <c r="K13" s="1587">
        <f t="shared" si="0"/>
        <v>0</v>
      </c>
      <c r="L13" s="1587">
        <f t="shared" si="0"/>
        <v>908573</v>
      </c>
      <c r="M13" s="1575"/>
      <c r="N13" s="1576"/>
    </row>
    <row r="14" spans="1:14" ht="18" customHeight="1" thickTop="1" x14ac:dyDescent="0.2">
      <c r="A14" s="2261" t="s">
        <v>146</v>
      </c>
      <c r="B14" s="226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2330356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98404660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2014203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4981156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E38</f>
        <v>72937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14762063</v>
      </c>
    </row>
    <row r="23" spans="1:14" ht="13.5" customHeight="1" thickBot="1" x14ac:dyDescent="0.25">
      <c r="A23" s="1426" t="s">
        <v>638</v>
      </c>
      <c r="B23" s="1429"/>
      <c r="C23" s="1575"/>
      <c r="D23" s="1575"/>
      <c r="E23" s="1575"/>
      <c r="F23" s="1575"/>
      <c r="G23" s="1575"/>
      <c r="H23" s="1575"/>
      <c r="I23" s="1575"/>
      <c r="J23" s="1575"/>
      <c r="K23" s="1575"/>
      <c r="L23" s="1575"/>
      <c r="M23" s="1594">
        <f>SUM(M15:M22)</f>
        <v>107730375</v>
      </c>
      <c r="N23" s="1594">
        <f>SUM(N21:N22)</f>
        <v>14835000</v>
      </c>
    </row>
    <row r="24" spans="1:14" ht="18" customHeight="1" thickTop="1" x14ac:dyDescent="0.2">
      <c r="A24" s="2263" t="s">
        <v>594</v>
      </c>
      <c r="B24" s="2264"/>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1620293</v>
      </c>
      <c r="D27" s="1574">
        <v>611373</v>
      </c>
      <c r="E27" s="1574"/>
      <c r="F27" s="1574">
        <v>414542</v>
      </c>
      <c r="G27" s="1574"/>
      <c r="H27" s="1574">
        <v>2909969</v>
      </c>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7363528</v>
      </c>
      <c r="D30" s="1579">
        <f>3680+128</f>
        <v>3808</v>
      </c>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v>179484</v>
      </c>
      <c r="H31" s="1574"/>
      <c r="I31" s="1574"/>
      <c r="J31" s="1574"/>
      <c r="K31" s="1574"/>
      <c r="L31" s="1575"/>
      <c r="M31" s="1575"/>
      <c r="N31" s="1575"/>
    </row>
    <row r="32" spans="1:14" ht="13.5" customHeight="1" x14ac:dyDescent="0.2">
      <c r="A32" s="434" t="s">
        <v>647</v>
      </c>
      <c r="B32" s="435">
        <v>490</v>
      </c>
      <c r="C32" s="1599">
        <v>66775678</v>
      </c>
      <c r="D32" s="1599">
        <v>5368704</v>
      </c>
      <c r="E32" s="1579">
        <v>1378205</v>
      </c>
      <c r="F32" s="1579">
        <v>1766229</v>
      </c>
      <c r="G32" s="1579">
        <v>1549578</v>
      </c>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908573</v>
      </c>
      <c r="M33" s="1575"/>
      <c r="N33" s="1576"/>
    </row>
    <row r="34" spans="1:14" ht="13.5" customHeight="1" thickBot="1" x14ac:dyDescent="0.25">
      <c r="A34" s="1427" t="s">
        <v>649</v>
      </c>
      <c r="B34" s="1428"/>
      <c r="C34" s="1600">
        <f>SUM(C25:C33)</f>
        <v>75759499</v>
      </c>
      <c r="D34" s="1600">
        <f t="shared" ref="D34:K34" si="1">SUM(D25:D33)</f>
        <v>5983885</v>
      </c>
      <c r="E34" s="1600">
        <f t="shared" si="1"/>
        <v>1378205</v>
      </c>
      <c r="F34" s="1600">
        <f t="shared" si="1"/>
        <v>2180771</v>
      </c>
      <c r="G34" s="1600">
        <f t="shared" si="1"/>
        <v>1729062</v>
      </c>
      <c r="H34" s="1600">
        <f t="shared" si="1"/>
        <v>2909969</v>
      </c>
      <c r="I34" s="1600">
        <f t="shared" si="1"/>
        <v>0</v>
      </c>
      <c r="J34" s="1600">
        <f t="shared" si="1"/>
        <v>0</v>
      </c>
      <c r="K34" s="1600">
        <f t="shared" si="1"/>
        <v>0</v>
      </c>
      <c r="L34" s="1601">
        <f>SUM(L33)</f>
        <v>908573</v>
      </c>
      <c r="M34" s="1575"/>
      <c r="N34" s="1585"/>
    </row>
    <row r="35" spans="1:14" ht="18" customHeight="1" thickTop="1" x14ac:dyDescent="0.2">
      <c r="A35" s="2265" t="s">
        <v>526</v>
      </c>
      <c r="B35" s="226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14835000</v>
      </c>
    </row>
    <row r="37" spans="1:14" ht="13.5" thickBot="1" x14ac:dyDescent="0.25">
      <c r="A37" s="1426" t="s">
        <v>648</v>
      </c>
      <c r="B37" s="1429"/>
      <c r="C37" s="1582"/>
      <c r="D37" s="1582"/>
      <c r="E37" s="1582"/>
      <c r="F37" s="1582"/>
      <c r="G37" s="1582"/>
      <c r="H37" s="1582"/>
      <c r="I37" s="1582"/>
      <c r="J37" s="1582"/>
      <c r="K37" s="1582"/>
      <c r="L37" s="1585"/>
      <c r="M37" s="1575"/>
      <c r="N37" s="1594">
        <f>SUM(N36:N36)</f>
        <v>14835000</v>
      </c>
    </row>
    <row r="38" spans="1:14" s="307" customFormat="1" ht="13.5" customHeight="1" thickTop="1" x14ac:dyDescent="0.2">
      <c r="A38" s="438" t="s">
        <v>417</v>
      </c>
      <c r="B38" s="432">
        <v>714</v>
      </c>
      <c r="C38" s="1573">
        <v>10486021</v>
      </c>
      <c r="D38" s="1573"/>
      <c r="E38" s="1573">
        <v>72937</v>
      </c>
      <c r="F38" s="1573"/>
      <c r="G38" s="1573">
        <v>2257528</v>
      </c>
      <c r="H38" s="1573">
        <v>272315</v>
      </c>
      <c r="I38" s="1573"/>
      <c r="J38" s="1574"/>
      <c r="K38" s="1573"/>
      <c r="L38" s="1586"/>
      <c r="M38" s="1604"/>
      <c r="N38" s="1604"/>
    </row>
    <row r="39" spans="1:14" s="307" customFormat="1" ht="13.5" customHeight="1" x14ac:dyDescent="0.2">
      <c r="A39" s="438" t="s">
        <v>339</v>
      </c>
      <c r="B39" s="432">
        <v>730</v>
      </c>
      <c r="C39" s="1573">
        <f>32207230-C38</f>
        <v>21721209</v>
      </c>
      <c r="D39" s="1573">
        <v>4647043</v>
      </c>
      <c r="E39" s="1573"/>
      <c r="F39" s="1573">
        <v>2110651</v>
      </c>
      <c r="G39" s="1573"/>
      <c r="H39" s="1573">
        <f>2521739-H38</f>
        <v>2249424</v>
      </c>
      <c r="I39" s="1573">
        <v>2135610</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107730375</v>
      </c>
      <c r="N40" s="1604"/>
    </row>
    <row r="41" spans="1:14" ht="13.5" customHeight="1" thickBot="1" x14ac:dyDescent="0.25">
      <c r="A41" s="1426" t="s">
        <v>650</v>
      </c>
      <c r="B41" s="1405"/>
      <c r="C41" s="1594">
        <f>(SUM(C34,C37,C38,C39))</f>
        <v>107966729</v>
      </c>
      <c r="D41" s="1594">
        <f t="shared" ref="D41:L41" si="2">SUM(D34,D37,D38:D39)</f>
        <v>10630928</v>
      </c>
      <c r="E41" s="1594">
        <f t="shared" si="2"/>
        <v>1451142</v>
      </c>
      <c r="F41" s="1594">
        <f t="shared" si="2"/>
        <v>4291422</v>
      </c>
      <c r="G41" s="1594">
        <f t="shared" si="2"/>
        <v>3986590</v>
      </c>
      <c r="H41" s="1594">
        <f t="shared" si="2"/>
        <v>5431708</v>
      </c>
      <c r="I41" s="1594">
        <f t="shared" si="2"/>
        <v>2135610</v>
      </c>
      <c r="J41" s="1594">
        <f t="shared" si="2"/>
        <v>0</v>
      </c>
      <c r="K41" s="1594">
        <f t="shared" si="2"/>
        <v>0</v>
      </c>
      <c r="L41" s="1594">
        <f t="shared" si="2"/>
        <v>908573</v>
      </c>
      <c r="M41" s="1594">
        <f>SUM(M40)</f>
        <v>107730375</v>
      </c>
      <c r="N41" s="1594">
        <f>SUM(N37)</f>
        <v>14835000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57" sqref="C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7" t="s">
        <v>1165</v>
      </c>
      <c r="B3" s="2288"/>
      <c r="C3" s="1311"/>
      <c r="D3" s="1312"/>
      <c r="E3" s="1312"/>
      <c r="F3" s="1312"/>
      <c r="G3" s="1312"/>
      <c r="H3" s="1312"/>
      <c r="I3" s="1312"/>
      <c r="J3" s="1312"/>
      <c r="K3" s="1313"/>
      <c r="L3" s="446"/>
    </row>
    <row r="4" spans="1:13" ht="15.75" customHeight="1" x14ac:dyDescent="0.2">
      <c r="A4" s="1537" t="s">
        <v>1482</v>
      </c>
      <c r="B4" s="1538">
        <v>1000</v>
      </c>
      <c r="C4" s="1606">
        <f>'Revenues 9-14'!C109</f>
        <v>73254010</v>
      </c>
      <c r="D4" s="1606">
        <f>'Revenues 9-14'!D109</f>
        <v>5501491</v>
      </c>
      <c r="E4" s="1606">
        <f>'Revenues 9-14'!E109</f>
        <v>1387530</v>
      </c>
      <c r="F4" s="1606">
        <f>'Revenues 9-14'!F109</f>
        <v>1558111</v>
      </c>
      <c r="G4" s="1606">
        <f>'Revenues 9-14'!G109</f>
        <v>1954135</v>
      </c>
      <c r="H4" s="1606">
        <f>'Revenues 9-14'!H109</f>
        <v>256792</v>
      </c>
      <c r="I4" s="1606">
        <f>'Revenues 9-14'!I109</f>
        <v>34702</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6829660</v>
      </c>
      <c r="D6" s="1607">
        <f>'Revenues 9-14'!D170</f>
        <v>50000</v>
      </c>
      <c r="E6" s="1607">
        <f>'Revenues 9-14'!E170</f>
        <v>0</v>
      </c>
      <c r="F6" s="1607">
        <f>'Revenues 9-14'!F170</f>
        <v>1143551</v>
      </c>
      <c r="G6" s="1607">
        <f>'Revenues 9-14'!G170</f>
        <v>0</v>
      </c>
      <c r="H6" s="1607">
        <f>'Revenues 9-14'!H170</f>
        <v>9140000</v>
      </c>
      <c r="I6" s="1607">
        <f>'Revenues 9-14'!I170</f>
        <v>0</v>
      </c>
      <c r="J6" s="1607">
        <f>'Revenues 9-14'!J170</f>
        <v>0</v>
      </c>
      <c r="K6" s="1607">
        <f>'Revenues 9-14'!K170</f>
        <v>0</v>
      </c>
      <c r="L6" s="325"/>
      <c r="M6" s="448"/>
    </row>
    <row r="7" spans="1:13" ht="15.75" customHeight="1" x14ac:dyDescent="0.2">
      <c r="A7" s="1314" t="s">
        <v>1485</v>
      </c>
      <c r="B7" s="1316">
        <v>4000</v>
      </c>
      <c r="C7" s="1607">
        <f>'Revenues 9-14'!C267</f>
        <v>3138137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83221807</v>
      </c>
      <c r="D8" s="1594">
        <f t="shared" ref="D8:K8" si="0">SUM(D4:D7)</f>
        <v>5551491</v>
      </c>
      <c r="E8" s="1594">
        <f t="shared" si="0"/>
        <v>1387530</v>
      </c>
      <c r="F8" s="1594">
        <f t="shared" si="0"/>
        <v>2701662</v>
      </c>
      <c r="G8" s="1594">
        <f t="shared" si="0"/>
        <v>1954135</v>
      </c>
      <c r="H8" s="1594">
        <f t="shared" si="0"/>
        <v>9396792</v>
      </c>
      <c r="I8" s="1594">
        <f t="shared" si="0"/>
        <v>34702</v>
      </c>
      <c r="J8" s="1594">
        <f t="shared" si="0"/>
        <v>0</v>
      </c>
      <c r="K8" s="1594">
        <f t="shared" si="0"/>
        <v>0</v>
      </c>
      <c r="L8" s="325"/>
    </row>
    <row r="9" spans="1:13" ht="15.75" thickTop="1" x14ac:dyDescent="0.2">
      <c r="A9" s="449" t="s">
        <v>1634</v>
      </c>
      <c r="B9" s="450">
        <v>3998</v>
      </c>
      <c r="C9" s="1586">
        <v>40377549</v>
      </c>
      <c r="D9" s="1613"/>
      <c r="E9" s="1586"/>
      <c r="F9" s="1586"/>
      <c r="G9" s="1614"/>
      <c r="H9" s="1586"/>
      <c r="I9" s="1609" t="s">
        <v>1159</v>
      </c>
      <c r="J9" s="1583"/>
      <c r="K9" s="1586"/>
      <c r="L9" s="325"/>
    </row>
    <row r="10" spans="1:13" s="452" customFormat="1" ht="13.5" thickBot="1" x14ac:dyDescent="0.25">
      <c r="A10" s="1426" t="s">
        <v>1163</v>
      </c>
      <c r="B10" s="1407"/>
      <c r="C10" s="1594">
        <f>SUM(C8:C9)</f>
        <v>123599356</v>
      </c>
      <c r="D10" s="1594">
        <f t="shared" ref="D10:K10" si="1">SUM(D8:D9)</f>
        <v>5551491</v>
      </c>
      <c r="E10" s="1594">
        <f t="shared" si="1"/>
        <v>1387530</v>
      </c>
      <c r="F10" s="1594">
        <f t="shared" si="1"/>
        <v>2701662</v>
      </c>
      <c r="G10" s="1594">
        <f t="shared" si="1"/>
        <v>1954135</v>
      </c>
      <c r="H10" s="1594">
        <f t="shared" si="1"/>
        <v>9396792</v>
      </c>
      <c r="I10" s="1594">
        <f t="shared" si="1"/>
        <v>34702</v>
      </c>
      <c r="J10" s="1594">
        <f t="shared" si="1"/>
        <v>0</v>
      </c>
      <c r="K10" s="1594">
        <f t="shared" si="1"/>
        <v>0</v>
      </c>
      <c r="L10" s="451"/>
    </row>
    <row r="11" spans="1:13" s="452" customFormat="1" ht="16.7" customHeight="1" thickTop="1" x14ac:dyDescent="0.2">
      <c r="A11" s="2261" t="s">
        <v>1166</v>
      </c>
      <c r="B11" s="2262"/>
      <c r="C11" s="1602"/>
      <c r="D11" s="1603"/>
      <c r="E11" s="1603"/>
      <c r="F11" s="1603"/>
      <c r="G11" s="1603"/>
      <c r="H11" s="1603"/>
      <c r="I11" s="1603"/>
      <c r="J11" s="1603"/>
      <c r="K11" s="1615"/>
      <c r="L11" s="451"/>
    </row>
    <row r="12" spans="1:13" ht="15.75" customHeight="1" x14ac:dyDescent="0.2">
      <c r="A12" s="1314" t="s">
        <v>453</v>
      </c>
      <c r="B12" s="1316">
        <v>1000</v>
      </c>
      <c r="C12" s="1606">
        <f>'Expenditures 15-22'!K33</f>
        <v>54037524</v>
      </c>
      <c r="D12" s="1616" t="s">
        <v>1159</v>
      </c>
      <c r="E12" s="1575" t="s">
        <v>1159</v>
      </c>
      <c r="F12" s="1575" t="s">
        <v>1159</v>
      </c>
      <c r="G12" s="1606">
        <f>'Expenditures 15-22'!K229</f>
        <v>1182186</v>
      </c>
      <c r="H12" s="1617"/>
      <c r="I12" s="1575" t="s">
        <v>1159</v>
      </c>
      <c r="J12" s="1575" t="s">
        <v>1159</v>
      </c>
      <c r="K12" s="1617" t="s">
        <v>1159</v>
      </c>
      <c r="L12" s="325"/>
    </row>
    <row r="13" spans="1:13" ht="15.75" customHeight="1" x14ac:dyDescent="0.2">
      <c r="A13" s="1314" t="s">
        <v>454</v>
      </c>
      <c r="B13" s="1316">
        <v>2000</v>
      </c>
      <c r="C13" s="1607">
        <f>'Expenditures 15-22'!K74</f>
        <v>25156287</v>
      </c>
      <c r="D13" s="1607">
        <f>'Expenditures 15-22'!K129</f>
        <v>7140547</v>
      </c>
      <c r="E13" s="1576" t="s">
        <v>1159</v>
      </c>
      <c r="F13" s="1607">
        <f>'Expenditures 15-22'!K184</f>
        <v>4152747</v>
      </c>
      <c r="G13" s="1607">
        <f>'Expenditures 15-22'!K279</f>
        <v>1170321</v>
      </c>
      <c r="H13" s="1607">
        <f>'Expenditures 15-22'!K303</f>
        <v>16709141</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128700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1370339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79322511</v>
      </c>
      <c r="D17" s="1594">
        <f t="shared" si="2"/>
        <v>7140547</v>
      </c>
      <c r="E17" s="1594">
        <f t="shared" si="2"/>
        <v>1370339</v>
      </c>
      <c r="F17" s="1594">
        <f t="shared" si="2"/>
        <v>4152747</v>
      </c>
      <c r="G17" s="1594">
        <f t="shared" si="2"/>
        <v>2352507</v>
      </c>
      <c r="H17" s="1594">
        <f t="shared" si="2"/>
        <v>16709141</v>
      </c>
      <c r="I17" s="1575"/>
      <c r="J17" s="1594">
        <f>SUM(J12:J16)</f>
        <v>0</v>
      </c>
      <c r="K17" s="1594">
        <f>SUM(K12:K16)</f>
        <v>0</v>
      </c>
      <c r="L17" s="325"/>
    </row>
    <row r="18" spans="1:12" ht="15" customHeight="1" thickTop="1" x14ac:dyDescent="0.2">
      <c r="A18" s="1430" t="s">
        <v>1635</v>
      </c>
      <c r="B18" s="1431">
        <v>4180</v>
      </c>
      <c r="C18" s="1606">
        <f t="shared" ref="C18:H18" si="3">C9</f>
        <v>40377549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119700060</v>
      </c>
      <c r="D19" s="1594">
        <f t="shared" si="4"/>
        <v>7140547</v>
      </c>
      <c r="E19" s="1594">
        <f t="shared" si="4"/>
        <v>1370339</v>
      </c>
      <c r="F19" s="1594">
        <f t="shared" si="4"/>
        <v>4152747</v>
      </c>
      <c r="G19" s="1594">
        <f t="shared" si="4"/>
        <v>2352507</v>
      </c>
      <c r="H19" s="1594">
        <f t="shared" si="4"/>
        <v>16709141</v>
      </c>
      <c r="I19" s="1575"/>
      <c r="J19" s="1594">
        <f>SUM(J17:J18)</f>
        <v>0</v>
      </c>
      <c r="K19" s="1594">
        <f>SUM(K17:K18)</f>
        <v>0</v>
      </c>
      <c r="L19" s="325"/>
    </row>
    <row r="20" spans="1:12" ht="16.5" thickTop="1" thickBot="1" x14ac:dyDescent="0.25">
      <c r="A20" s="2277" t="s">
        <v>1636</v>
      </c>
      <c r="B20" s="2278"/>
      <c r="C20" s="1622">
        <f>C8-C17</f>
        <v>3899296</v>
      </c>
      <c r="D20" s="1622">
        <f t="shared" ref="D20:K20" si="5">D8-D17</f>
        <v>-1589056</v>
      </c>
      <c r="E20" s="1622">
        <f t="shared" si="5"/>
        <v>17191</v>
      </c>
      <c r="F20" s="1622">
        <f t="shared" si="5"/>
        <v>-1451085</v>
      </c>
      <c r="G20" s="1622">
        <f t="shared" si="5"/>
        <v>-398372</v>
      </c>
      <c r="H20" s="1622">
        <f t="shared" si="5"/>
        <v>-7312349</v>
      </c>
      <c r="I20" s="1622">
        <f t="shared" si="5"/>
        <v>34702</v>
      </c>
      <c r="J20" s="1622">
        <f t="shared" si="5"/>
        <v>0</v>
      </c>
      <c r="K20" s="1622">
        <f t="shared" si="5"/>
        <v>0</v>
      </c>
      <c r="L20" s="325"/>
    </row>
    <row r="21" spans="1:12" ht="16.7" customHeight="1" thickTop="1" x14ac:dyDescent="0.2">
      <c r="A21" s="2289" t="s">
        <v>591</v>
      </c>
      <c r="B21" s="2290"/>
      <c r="C21" s="1602"/>
      <c r="D21" s="1603"/>
      <c r="E21" s="1603"/>
      <c r="F21" s="1603"/>
      <c r="G21" s="1603"/>
      <c r="H21" s="1603"/>
      <c r="I21" s="1603"/>
      <c r="J21" s="1603"/>
      <c r="K21" s="1615"/>
      <c r="L21" s="453"/>
    </row>
    <row r="22" spans="1:12" ht="15.75" customHeight="1" collapsed="1" x14ac:dyDescent="0.2">
      <c r="A22" s="2285" t="s">
        <v>592</v>
      </c>
      <c r="B22" s="2286"/>
      <c r="C22" s="1582"/>
      <c r="D22" s="1582"/>
      <c r="E22" s="1582"/>
      <c r="F22" s="1582"/>
      <c r="G22" s="1582"/>
      <c r="H22" s="1582"/>
      <c r="I22" s="1582"/>
      <c r="J22" s="1582"/>
      <c r="K22" s="1582"/>
      <c r="L22" s="325"/>
    </row>
    <row r="23" spans="1:12" s="433" customFormat="1" ht="15.75" customHeight="1" x14ac:dyDescent="0.2">
      <c r="A23" s="2281" t="s">
        <v>290</v>
      </c>
      <c r="B23" s="228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v>8300000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83" t="s">
        <v>974</v>
      </c>
      <c r="B32" s="2284"/>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3000000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91" t="s">
        <v>371</v>
      </c>
      <c r="B44" s="2292"/>
      <c r="C44" s="1624">
        <f>SUM(C24:C43)</f>
        <v>0</v>
      </c>
      <c r="D44" s="1624">
        <f t="shared" ref="D44:K44" si="6">SUM(D24:D43)</f>
        <v>8300000</v>
      </c>
      <c r="E44" s="1624">
        <f t="shared" si="6"/>
        <v>0</v>
      </c>
      <c r="F44" s="1624">
        <f t="shared" si="6"/>
        <v>0</v>
      </c>
      <c r="G44" s="1624">
        <f t="shared" si="6"/>
        <v>0</v>
      </c>
      <c r="H44" s="1624">
        <f t="shared" si="6"/>
        <v>3000000</v>
      </c>
      <c r="I44" s="1624">
        <f t="shared" si="6"/>
        <v>0</v>
      </c>
      <c r="J44" s="1624">
        <f t="shared" si="6"/>
        <v>0</v>
      </c>
      <c r="K44" s="1624">
        <f t="shared" si="6"/>
        <v>0</v>
      </c>
      <c r="L44" s="453"/>
    </row>
    <row r="45" spans="1:12" ht="15.75" customHeight="1" thickTop="1" x14ac:dyDescent="0.2">
      <c r="A45" s="2285" t="s">
        <v>108</v>
      </c>
      <c r="B45" s="2286"/>
      <c r="C45" s="1625"/>
      <c r="D45" s="1625"/>
      <c r="E45" s="1625"/>
      <c r="F45" s="1625"/>
      <c r="G45" s="1625"/>
      <c r="H45" s="1625"/>
      <c r="I45" s="1625"/>
      <c r="J45" s="1625"/>
      <c r="K45" s="1625"/>
      <c r="L45" s="325"/>
    </row>
    <row r="46" spans="1:12" s="433" customFormat="1" ht="15.75" customHeight="1" x14ac:dyDescent="0.2">
      <c r="A46" s="2293" t="s">
        <v>109</v>
      </c>
      <c r="B46" s="229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8300000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v>3000000</v>
      </c>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67" t="s">
        <v>437</v>
      </c>
      <c r="B76" s="2268"/>
      <c r="C76" s="1624">
        <f t="shared" ref="C76:K76" si="7">SUM(C47:C75)</f>
        <v>8300000</v>
      </c>
      <c r="D76" s="1624">
        <f t="shared" si="7"/>
        <v>3000000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9" t="s">
        <v>1167</v>
      </c>
      <c r="B77" s="2270"/>
      <c r="C77" s="1624">
        <f t="shared" ref="C77:K77" si="8">C44-C76</f>
        <v>-8300000</v>
      </c>
      <c r="D77" s="1624">
        <f t="shared" si="8"/>
        <v>5300000</v>
      </c>
      <c r="E77" s="1624">
        <f t="shared" si="8"/>
        <v>0</v>
      </c>
      <c r="F77" s="1624">
        <f t="shared" si="8"/>
        <v>0</v>
      </c>
      <c r="G77" s="1624">
        <f t="shared" si="8"/>
        <v>0</v>
      </c>
      <c r="H77" s="1624">
        <f t="shared" si="8"/>
        <v>3000000</v>
      </c>
      <c r="I77" s="1624">
        <f t="shared" si="8"/>
        <v>0</v>
      </c>
      <c r="J77" s="1624">
        <f t="shared" si="8"/>
        <v>0</v>
      </c>
      <c r="K77" s="1624">
        <f t="shared" si="8"/>
        <v>0</v>
      </c>
      <c r="L77" s="325"/>
    </row>
    <row r="78" spans="1:12" ht="21.75" customHeight="1" thickTop="1" thickBot="1" x14ac:dyDescent="0.25">
      <c r="A78" s="2273" t="s">
        <v>593</v>
      </c>
      <c r="B78" s="2274"/>
      <c r="C78" s="1629">
        <f t="shared" ref="C78:K78" si="9">C20+C77</f>
        <v>-4400704</v>
      </c>
      <c r="D78" s="1629">
        <f t="shared" si="9"/>
        <v>3710944</v>
      </c>
      <c r="E78" s="1629">
        <f t="shared" si="9"/>
        <v>17191</v>
      </c>
      <c r="F78" s="1629">
        <f t="shared" si="9"/>
        <v>-1451085</v>
      </c>
      <c r="G78" s="1629">
        <f t="shared" si="9"/>
        <v>-398372</v>
      </c>
      <c r="H78" s="1629">
        <f t="shared" si="9"/>
        <v>-4312349</v>
      </c>
      <c r="I78" s="1629">
        <f t="shared" si="9"/>
        <v>34702</v>
      </c>
      <c r="J78" s="1629">
        <f t="shared" si="9"/>
        <v>0</v>
      </c>
      <c r="K78" s="1629">
        <f t="shared" si="9"/>
        <v>0</v>
      </c>
      <c r="L78" s="457"/>
    </row>
    <row r="79" spans="1:12" ht="13.5" thickTop="1" x14ac:dyDescent="0.2">
      <c r="A79" s="1844" t="str">
        <f>"Fund Balances - July 1, "&amp;'AFR20'!E2-1</f>
        <v>Fund Balances - July 1, 2019</v>
      </c>
      <c r="B79" s="458"/>
      <c r="C79" s="1583">
        <v>36607934</v>
      </c>
      <c r="D79" s="1630">
        <v>936099</v>
      </c>
      <c r="E79" s="1630">
        <v>55746</v>
      </c>
      <c r="F79" s="1630">
        <v>3561736</v>
      </c>
      <c r="G79" s="1630">
        <v>2655900</v>
      </c>
      <c r="H79" s="1630">
        <v>6834088</v>
      </c>
      <c r="I79" s="1630">
        <v>2100908</v>
      </c>
      <c r="J79" s="1630"/>
      <c r="K79" s="1630"/>
      <c r="L79" s="325"/>
    </row>
    <row r="80" spans="1:12" x14ac:dyDescent="0.2">
      <c r="A80" s="2279" t="s">
        <v>1770</v>
      </c>
      <c r="B80" s="2280"/>
      <c r="C80" s="1574"/>
      <c r="D80" s="1574"/>
      <c r="E80" s="1574"/>
      <c r="F80" s="1574"/>
      <c r="G80" s="1574"/>
      <c r="H80" s="1574"/>
      <c r="I80" s="1574"/>
      <c r="J80" s="1574"/>
      <c r="K80" s="1574"/>
      <c r="L80" s="325"/>
    </row>
    <row r="81" spans="1:12" ht="13.5" thickBot="1" x14ac:dyDescent="0.25">
      <c r="A81" s="2271" t="str">
        <f>"Fund Balances - June 30, "&amp;'AFR20'!E2</f>
        <v>Fund Balances - June 30, 2020</v>
      </c>
      <c r="B81" s="2272"/>
      <c r="C81" s="1594">
        <f>(SUM(C78:C80))</f>
        <v>32207230</v>
      </c>
      <c r="D81" s="1594">
        <f>SUM(D78:D80)</f>
        <v>4647043</v>
      </c>
      <c r="E81" s="1594">
        <f t="shared" ref="E81:K81" si="10">SUM(E78:E80)</f>
        <v>72937</v>
      </c>
      <c r="F81" s="1594">
        <f t="shared" si="10"/>
        <v>2110651</v>
      </c>
      <c r="G81" s="1594">
        <f t="shared" si="10"/>
        <v>2257528</v>
      </c>
      <c r="H81" s="1594">
        <f t="shared" si="10"/>
        <v>2521739</v>
      </c>
      <c r="I81" s="1594">
        <f t="shared" si="10"/>
        <v>2135610</v>
      </c>
      <c r="J81" s="1594">
        <f t="shared" si="10"/>
        <v>0</v>
      </c>
      <c r="K81" s="1594">
        <f t="shared" si="10"/>
        <v>0</v>
      </c>
      <c r="L81" s="325"/>
    </row>
    <row r="82" spans="1:12" ht="0.75" customHeight="1" thickTop="1" thickBot="1" x14ac:dyDescent="0.25">
      <c r="A82" s="459" t="s">
        <v>340</v>
      </c>
      <c r="B82" s="460"/>
      <c r="C82" s="461">
        <f>(C81-C79)</f>
        <v>-4400704</v>
      </c>
      <c r="D82" s="461">
        <f t="shared" ref="D82:K82" si="11">(D81-D79)</f>
        <v>3710944</v>
      </c>
      <c r="E82" s="461">
        <f t="shared" si="11"/>
        <v>17191</v>
      </c>
      <c r="F82" s="461">
        <f t="shared" si="11"/>
        <v>-1451085</v>
      </c>
      <c r="G82" s="461">
        <f t="shared" si="11"/>
        <v>-398372</v>
      </c>
      <c r="H82" s="461">
        <f t="shared" si="11"/>
        <v>-4312349</v>
      </c>
      <c r="I82" s="461">
        <f t="shared" si="11"/>
        <v>34702</v>
      </c>
      <c r="J82" s="461">
        <f t="shared" si="11"/>
        <v>0</v>
      </c>
      <c r="K82" s="461">
        <f t="shared" si="11"/>
        <v>0</v>
      </c>
    </row>
    <row r="83" spans="1:12" ht="14.25" hidden="1" thickTop="1" thickBot="1" x14ac:dyDescent="0.25">
      <c r="A83" s="462" t="s">
        <v>341</v>
      </c>
      <c r="B83" s="428"/>
      <c r="C83" s="463">
        <f>C82/C81</f>
        <v>-0.13663714637986563</v>
      </c>
      <c r="D83" s="463">
        <f t="shared" ref="D83:K83" si="12">D82/D81</f>
        <v>0.79856028876857821</v>
      </c>
      <c r="E83" s="463">
        <f t="shared" si="12"/>
        <v>0.2356965600449703</v>
      </c>
      <c r="F83" s="463">
        <f t="shared" si="12"/>
        <v>-0.68750589273167373</v>
      </c>
      <c r="G83" s="463">
        <f t="shared" si="12"/>
        <v>-0.17646381351637722</v>
      </c>
      <c r="H83" s="463">
        <f t="shared" si="12"/>
        <v>-1.7100695194863544</v>
      </c>
      <c r="I83" s="463">
        <f t="shared" si="12"/>
        <v>1.6249221533894298E-2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8" activePane="bottomLeft" state="frozen"/>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5" t="s">
        <v>1777</v>
      </c>
      <c r="B1" s="416"/>
      <c r="C1" s="417" t="s">
        <v>422</v>
      </c>
      <c r="D1" s="417" t="s">
        <v>423</v>
      </c>
      <c r="E1" s="417" t="s">
        <v>424</v>
      </c>
      <c r="F1" s="417" t="s">
        <v>425</v>
      </c>
      <c r="G1" s="417" t="s">
        <v>426</v>
      </c>
      <c r="H1" s="417" t="s">
        <v>427</v>
      </c>
      <c r="I1" s="417" t="s">
        <v>428</v>
      </c>
      <c r="J1" s="417" t="s">
        <v>429</v>
      </c>
      <c r="K1" s="417" t="s">
        <v>751</v>
      </c>
    </row>
    <row r="2" spans="1:12" ht="36" x14ac:dyDescent="0.2">
      <c r="A2" s="227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62518182</v>
      </c>
      <c r="D5" s="1586">
        <v>5185971</v>
      </c>
      <c r="E5" s="1573">
        <v>1374849</v>
      </c>
      <c r="F5" s="1631">
        <v>1451787</v>
      </c>
      <c r="G5" s="1573">
        <v>465494</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1801038</v>
      </c>
      <c r="D7" s="1573"/>
      <c r="E7" s="1575"/>
      <c r="F7" s="1574"/>
      <c r="G7" s="1574"/>
      <c r="H7" s="1574"/>
      <c r="I7" s="1575"/>
      <c r="J7" s="1575"/>
      <c r="K7" s="1575"/>
    </row>
    <row r="8" spans="1:12" x14ac:dyDescent="0.2">
      <c r="A8" s="427" t="s">
        <v>410</v>
      </c>
      <c r="B8" s="429">
        <v>1150</v>
      </c>
      <c r="C8" s="1580"/>
      <c r="D8" s="1580"/>
      <c r="E8" s="1582"/>
      <c r="F8" s="1582"/>
      <c r="G8" s="1586">
        <v>1337916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64319220</v>
      </c>
      <c r="D12" s="1633">
        <f t="shared" si="0"/>
        <v>5185971</v>
      </c>
      <c r="E12" s="1633">
        <f t="shared" si="0"/>
        <v>1374849</v>
      </c>
      <c r="F12" s="1633">
        <f t="shared" si="0"/>
        <v>1451787</v>
      </c>
      <c r="G12" s="1633">
        <f t="shared" si="0"/>
        <v>1803410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1270932</v>
      </c>
      <c r="D16" s="1573"/>
      <c r="E16" s="1573"/>
      <c r="F16" s="1573"/>
      <c r="G16" s="1573">
        <v>94000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1270932</v>
      </c>
      <c r="D18" s="1635">
        <f t="shared" ref="D18:K18" si="1">SUM(D14:D17)</f>
        <v>0</v>
      </c>
      <c r="E18" s="1635">
        <f t="shared" si="1"/>
        <v>0</v>
      </c>
      <c r="F18" s="1635">
        <f t="shared" si="1"/>
        <v>0</v>
      </c>
      <c r="G18" s="1635">
        <f t="shared" si="1"/>
        <v>94000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31900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44000</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75900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45690</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45690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1228447</v>
      </c>
      <c r="D65" s="1573">
        <v>56817</v>
      </c>
      <c r="E65" s="1573">
        <v>12681</v>
      </c>
      <c r="F65" s="1574">
        <v>60634</v>
      </c>
      <c r="G65" s="1573">
        <v>56725</v>
      </c>
      <c r="H65" s="1573">
        <v>35118</v>
      </c>
      <c r="I65" s="1573">
        <v>34702</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1228447</v>
      </c>
      <c r="D67" s="1594">
        <f t="shared" ref="D67:K67" si="2">SUM(D65:D66)</f>
        <v>56817</v>
      </c>
      <c r="E67" s="1594">
        <f t="shared" si="2"/>
        <v>12681</v>
      </c>
      <c r="F67" s="1594">
        <f t="shared" si="2"/>
        <v>60634</v>
      </c>
      <c r="G67" s="1594">
        <f t="shared" si="2"/>
        <v>56725</v>
      </c>
      <c r="H67" s="1594">
        <f t="shared" si="2"/>
        <v>35118</v>
      </c>
      <c r="I67" s="1594">
        <f t="shared" si="2"/>
        <v>34702</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371571</v>
      </c>
      <c r="D69" s="1575"/>
      <c r="E69" s="1575"/>
      <c r="F69" s="1575"/>
      <c r="G69" s="1575"/>
      <c r="H69" s="1575"/>
      <c r="I69" s="1575"/>
      <c r="J69" s="1575"/>
      <c r="K69" s="1575"/>
    </row>
    <row r="70" spans="1:11" ht="12.75" customHeight="1" x14ac:dyDescent="0.2">
      <c r="A70" s="427" t="s">
        <v>990</v>
      </c>
      <c r="B70" s="429">
        <v>1612</v>
      </c>
      <c r="C70" s="1632">
        <v>29249</v>
      </c>
      <c r="D70" s="1575"/>
      <c r="E70" s="1575"/>
      <c r="F70" s="1575"/>
      <c r="G70" s="1575"/>
      <c r="H70" s="1575"/>
      <c r="I70" s="1575"/>
      <c r="J70" s="1575"/>
      <c r="K70" s="1575"/>
    </row>
    <row r="71" spans="1:11" ht="12.75" customHeight="1" x14ac:dyDescent="0.2">
      <c r="A71" s="427" t="s">
        <v>271</v>
      </c>
      <c r="B71" s="429">
        <v>1613</v>
      </c>
      <c r="C71" s="1632">
        <v>534144</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9550</v>
      </c>
      <c r="D73" s="1575"/>
      <c r="E73" s="1575"/>
      <c r="F73" s="1575"/>
      <c r="G73" s="1575"/>
      <c r="H73" s="1575"/>
      <c r="I73" s="1575"/>
      <c r="J73" s="1575"/>
      <c r="K73" s="1575"/>
    </row>
    <row r="74" spans="1:11" ht="12.75" customHeight="1" x14ac:dyDescent="0.2">
      <c r="A74" s="427" t="s">
        <v>25</v>
      </c>
      <c r="B74" s="429">
        <v>1690</v>
      </c>
      <c r="C74" s="1632">
        <v>32</v>
      </c>
      <c r="D74" s="1575"/>
      <c r="E74" s="1575"/>
      <c r="F74" s="1575"/>
      <c r="G74" s="1575"/>
      <c r="H74" s="1575"/>
      <c r="I74" s="1575"/>
      <c r="J74" s="1575"/>
      <c r="K74" s="1575"/>
    </row>
    <row r="75" spans="1:11" ht="12.75" customHeight="1" thickBot="1" x14ac:dyDescent="0.25">
      <c r="A75" s="1406" t="s">
        <v>544</v>
      </c>
      <c r="B75" s="1407"/>
      <c r="C75" s="1594">
        <f>SUM(C69:C74)</f>
        <v>944546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227948</v>
      </c>
      <c r="D77" s="1573"/>
      <c r="E77" s="1575"/>
      <c r="F77" s="1575"/>
      <c r="G77" s="1575"/>
      <c r="H77" s="1575"/>
      <c r="I77" s="1575"/>
      <c r="J77" s="1575"/>
      <c r="K77" s="1575"/>
    </row>
    <row r="78" spans="1:11" ht="12.75" customHeight="1" x14ac:dyDescent="0.2">
      <c r="A78" s="427" t="s">
        <v>76</v>
      </c>
      <c r="B78" s="429">
        <v>1719</v>
      </c>
      <c r="C78" s="1632">
        <v>124002</v>
      </c>
      <c r="D78" s="1573"/>
      <c r="E78" s="1575"/>
      <c r="F78" s="1575"/>
      <c r="G78" s="1575"/>
      <c r="H78" s="1575"/>
      <c r="I78" s="1575"/>
      <c r="J78" s="1575"/>
      <c r="K78" s="1575"/>
    </row>
    <row r="79" spans="1:11" ht="12.75" customHeight="1" x14ac:dyDescent="0.2">
      <c r="A79" s="427" t="s">
        <v>546</v>
      </c>
      <c r="B79" s="429">
        <v>1720</v>
      </c>
      <c r="C79" s="1632">
        <v>490862</v>
      </c>
      <c r="D79" s="1573">
        <v>163190</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662320</v>
      </c>
      <c r="D81" s="1573">
        <v>28671</v>
      </c>
      <c r="E81" s="1575"/>
      <c r="F81" s="1575"/>
      <c r="G81" s="1575"/>
      <c r="H81" s="1575"/>
      <c r="I81" s="1575"/>
      <c r="J81" s="1575"/>
      <c r="K81" s="1575"/>
    </row>
    <row r="82" spans="1:11" ht="12.75" customHeight="1" thickBot="1" x14ac:dyDescent="0.25">
      <c r="A82" s="1406" t="s">
        <v>239</v>
      </c>
      <c r="B82" s="1407"/>
      <c r="C82" s="1633">
        <f>SUM(C77:C81)</f>
        <v>1505132</v>
      </c>
      <c r="D82" s="1594">
        <f>SUM(D77:D81)</f>
        <v>191861</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1090068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440</v>
      </c>
      <c r="D92" s="1575"/>
      <c r="E92" s="1575"/>
      <c r="F92" s="1575"/>
      <c r="G92" s="1575"/>
      <c r="H92" s="1575"/>
      <c r="I92" s="1575"/>
      <c r="J92" s="1575"/>
      <c r="K92" s="1575"/>
    </row>
    <row r="93" spans="1:11" ht="12.75" customHeight="1" thickBot="1" x14ac:dyDescent="0.25">
      <c r="A93" s="1406" t="s">
        <v>241</v>
      </c>
      <c r="B93" s="1407"/>
      <c r="C93" s="1594">
        <f>SUM(C84:C92)</f>
        <v>1090508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64664</v>
      </c>
      <c r="E95" s="1617"/>
      <c r="F95" s="1617"/>
      <c r="G95" s="1617"/>
      <c r="H95" s="1617"/>
      <c r="I95" s="1617"/>
      <c r="J95" s="1617"/>
      <c r="K95" s="1617"/>
    </row>
    <row r="96" spans="1:11" ht="12.75" customHeight="1" x14ac:dyDescent="0.2">
      <c r="A96" s="427" t="s">
        <v>388</v>
      </c>
      <c r="B96" s="429">
        <v>1920</v>
      </c>
      <c r="C96" s="1632">
        <v>4715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v>17942</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16208</v>
      </c>
      <c r="D99" s="1573">
        <v>275</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50814</v>
      </c>
      <c r="D101" s="1623"/>
      <c r="E101" s="1585"/>
      <c r="F101" s="1623"/>
      <c r="G101" s="1580"/>
      <c r="H101" s="1623"/>
      <c r="I101" s="1575"/>
      <c r="J101" s="1580"/>
      <c r="K101" s="1580"/>
    </row>
    <row r="102" spans="1:12" ht="12.75" customHeight="1" x14ac:dyDescent="0.2">
      <c r="A102" s="427" t="s">
        <v>245</v>
      </c>
      <c r="B102" s="429">
        <v>1980</v>
      </c>
      <c r="C102" s="1598">
        <v>72285</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573</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34300</v>
      </c>
      <c r="D106" s="1598"/>
      <c r="E106" s="1574"/>
      <c r="F106" s="1574"/>
      <c r="G106" s="1574"/>
      <c r="H106" s="1574">
        <v>1000</v>
      </c>
      <c r="I106" s="1617"/>
      <c r="J106" s="1574"/>
      <c r="K106" s="1574"/>
    </row>
    <row r="107" spans="1:12" ht="12.75" customHeight="1" x14ac:dyDescent="0.2">
      <c r="A107" s="427" t="s">
        <v>78</v>
      </c>
      <c r="B107" s="429">
        <v>1999</v>
      </c>
      <c r="C107" s="1632">
        <f>2645013-4583</f>
        <v>2640430</v>
      </c>
      <c r="D107" s="1573">
        <v>1903</v>
      </c>
      <c r="E107" s="1573"/>
      <c r="F107" s="1573"/>
      <c r="G107" s="1573"/>
      <c r="H107" s="1573">
        <v>202732</v>
      </c>
      <c r="I107" s="1573"/>
      <c r="J107" s="1574"/>
      <c r="K107" s="1573"/>
    </row>
    <row r="108" spans="1:12" ht="12.75" customHeight="1" thickBot="1" x14ac:dyDescent="0.25">
      <c r="A108" s="1406" t="s">
        <v>484</v>
      </c>
      <c r="B108" s="1408"/>
      <c r="C108" s="1633">
        <f>SUM(C95:C107)</f>
        <v>2819325</v>
      </c>
      <c r="D108" s="1633">
        <f t="shared" ref="D108:K108" si="3">SUM(D95:D107)</f>
        <v>66842</v>
      </c>
      <c r="E108" s="1633">
        <f t="shared" si="3"/>
        <v>0</v>
      </c>
      <c r="F108" s="1633">
        <f t="shared" si="3"/>
        <v>0</v>
      </c>
      <c r="G108" s="1633">
        <f t="shared" si="3"/>
        <v>0</v>
      </c>
      <c r="H108" s="1633">
        <f t="shared" si="3"/>
        <v>221674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73254010</v>
      </c>
      <c r="D109" s="1641">
        <f t="shared" si="4"/>
        <v>5501491</v>
      </c>
      <c r="E109" s="1641">
        <f t="shared" si="4"/>
        <v>1387530</v>
      </c>
      <c r="F109" s="1641">
        <f t="shared" si="4"/>
        <v>1558111</v>
      </c>
      <c r="G109" s="1641">
        <f t="shared" si="4"/>
        <v>1954135</v>
      </c>
      <c r="H109" s="1641">
        <f t="shared" si="4"/>
        <v>256792</v>
      </c>
      <c r="I109" s="1641">
        <f t="shared" si="4"/>
        <v>34702</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6232100</v>
      </c>
      <c r="D117" s="1586"/>
      <c r="E117" s="1573"/>
      <c r="F117" s="1586"/>
      <c r="G117" s="1586"/>
      <c r="H117" s="1573">
        <v>8900000</v>
      </c>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6232100</v>
      </c>
      <c r="D122" s="1633">
        <f t="shared" si="5"/>
        <v>0</v>
      </c>
      <c r="E122" s="1633">
        <f t="shared" si="5"/>
        <v>0</v>
      </c>
      <c r="F122" s="1633">
        <f t="shared" si="5"/>
        <v>0</v>
      </c>
      <c r="G122" s="1633">
        <f t="shared" si="5"/>
        <v>0</v>
      </c>
      <c r="H122" s="1633">
        <f t="shared" si="5"/>
        <v>8900000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275918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48971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324889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140660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140660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4930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122498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55452</v>
      </c>
      <c r="G152" s="1574"/>
      <c r="H152" s="1575"/>
      <c r="I152" s="1575"/>
      <c r="J152" s="1575"/>
      <c r="K152" s="1575"/>
    </row>
    <row r="153" spans="1:11" ht="12.75" customHeight="1" x14ac:dyDescent="0.2">
      <c r="A153" s="427" t="s">
        <v>1048</v>
      </c>
      <c r="B153" s="478">
        <v>3510</v>
      </c>
      <c r="C153" s="1632"/>
      <c r="D153" s="1573"/>
      <c r="E153" s="1640"/>
      <c r="F153" s="1573">
        <v>1088099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1143551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4583</v>
      </c>
      <c r="D168" s="1655"/>
      <c r="E168" s="1655"/>
      <c r="F168" s="1655"/>
      <c r="G168" s="1656"/>
      <c r="H168" s="1657">
        <v>240000</v>
      </c>
      <c r="I168" s="1656"/>
      <c r="J168" s="1656"/>
      <c r="K168" s="1657"/>
    </row>
    <row r="169" spans="1:11" ht="12.75" customHeight="1" thickTop="1" thickBot="1" x14ac:dyDescent="0.25">
      <c r="A169" s="2295" t="s">
        <v>395</v>
      </c>
      <c r="B169" s="2296"/>
      <c r="C169" s="1658">
        <f t="shared" ref="C169:K169" si="6">SUM(C132,C141,C145,C146:C150,C155,C156:C167,C168)</f>
        <v>597560</v>
      </c>
      <c r="D169" s="1658">
        <f t="shared" si="6"/>
        <v>50000</v>
      </c>
      <c r="E169" s="1658">
        <f t="shared" si="6"/>
        <v>0</v>
      </c>
      <c r="F169" s="1658">
        <f t="shared" si="6"/>
        <v>1143551</v>
      </c>
      <c r="G169" s="1658">
        <f t="shared" si="6"/>
        <v>0</v>
      </c>
      <c r="H169" s="1658">
        <f t="shared" si="6"/>
        <v>240000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6829660</v>
      </c>
      <c r="D170" s="1641">
        <f t="shared" si="7"/>
        <v>50000</v>
      </c>
      <c r="E170" s="1641">
        <f t="shared" si="7"/>
        <v>0</v>
      </c>
      <c r="F170" s="1641">
        <f t="shared" si="7"/>
        <v>1143551</v>
      </c>
      <c r="G170" s="1641">
        <f t="shared" si="7"/>
        <v>0</v>
      </c>
      <c r="H170" s="1641">
        <f t="shared" si="7"/>
        <v>9140000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7" t="s">
        <v>1475</v>
      </c>
      <c r="B172" s="229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301" t="s">
        <v>1646</v>
      </c>
      <c r="B175" s="230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5" t="s">
        <v>1645</v>
      </c>
      <c r="B176" s="230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303" t="s">
        <v>780</v>
      </c>
      <c r="B181" s="230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9" t="s">
        <v>1778</v>
      </c>
      <c r="B182" s="230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327483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73846</v>
      </c>
      <c r="D193" s="1575"/>
      <c r="E193" s="1640"/>
      <c r="F193" s="1575"/>
      <c r="G193" s="1664"/>
      <c r="H193" s="1575"/>
      <c r="I193" s="1575"/>
      <c r="J193" s="1575"/>
      <c r="K193" s="1575"/>
    </row>
    <row r="194" spans="1:11" ht="12.75" customHeight="1" x14ac:dyDescent="0.2">
      <c r="A194" s="427" t="s">
        <v>1434</v>
      </c>
      <c r="B194" s="429">
        <v>4225</v>
      </c>
      <c r="C194" s="1632">
        <v>150240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65759</v>
      </c>
      <c r="D197" s="1575"/>
      <c r="E197" s="1640"/>
      <c r="F197" s="1575"/>
      <c r="G197" s="1664"/>
      <c r="H197" s="1575"/>
      <c r="I197" s="1575"/>
      <c r="J197" s="1575"/>
      <c r="K197" s="1575"/>
    </row>
    <row r="198" spans="1:11" ht="12.75" customHeight="1" thickBot="1" x14ac:dyDescent="0.25">
      <c r="A198" s="1406" t="s">
        <v>544</v>
      </c>
      <c r="B198" s="1407"/>
      <c r="C198" s="1594">
        <f>SUM(C190:C197)</f>
        <v>617328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488495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488495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24390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24390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1182278</v>
      </c>
      <c r="D213" s="1573"/>
      <c r="E213" s="1575"/>
      <c r="F213" s="1573"/>
      <c r="G213" s="1573"/>
      <c r="H213" s="1575"/>
      <c r="I213" s="1575"/>
      <c r="J213" s="1575"/>
      <c r="K213" s="1575"/>
    </row>
    <row r="214" spans="1:11" ht="12.75" customHeight="1" x14ac:dyDescent="0.2">
      <c r="A214" s="427" t="s">
        <v>1045</v>
      </c>
      <c r="B214" s="429">
        <v>4625</v>
      </c>
      <c r="C214" s="1632">
        <v>204274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1386552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88836</v>
      </c>
      <c r="D220" s="1573"/>
      <c r="E220" s="1575"/>
      <c r="F220" s="1575"/>
      <c r="G220" s="1573"/>
      <c r="H220" s="1575"/>
      <c r="I220" s="1575"/>
      <c r="J220" s="1575"/>
      <c r="K220" s="1575"/>
    </row>
    <row r="221" spans="1:11" ht="12.75" customHeight="1" thickBot="1" x14ac:dyDescent="0.25">
      <c r="A221" s="1415" t="s">
        <v>1076</v>
      </c>
      <c r="B221" s="1416"/>
      <c r="C221" s="1633">
        <f>SUM(C219:C220)</f>
        <v>88836</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65173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67828</v>
      </c>
      <c r="D263" s="1651"/>
      <c r="E263" s="1575"/>
      <c r="F263" s="1651"/>
      <c r="G263" s="1651"/>
      <c r="H263" s="1575"/>
      <c r="I263" s="1575"/>
      <c r="J263" s="1575"/>
      <c r="K263" s="1575"/>
    </row>
    <row r="264" spans="1:11" ht="12.75" customHeight="1" thickTop="1" thickBot="1" x14ac:dyDescent="0.25">
      <c r="A264" s="427" t="s">
        <v>374</v>
      </c>
      <c r="B264" s="429">
        <v>4992</v>
      </c>
      <c r="C264" s="1650">
        <v>78737</v>
      </c>
      <c r="D264" s="1651"/>
      <c r="E264" s="1575"/>
      <c r="F264" s="1651"/>
      <c r="G264" s="1651"/>
      <c r="H264" s="1575"/>
      <c r="I264" s="1575"/>
      <c r="J264" s="1575"/>
      <c r="K264" s="1575"/>
    </row>
    <row r="265" spans="1:11" s="489" customFormat="1" ht="12.75" customHeight="1" thickTop="1" thickBot="1" x14ac:dyDescent="0.25">
      <c r="A265" s="479" t="s">
        <v>75</v>
      </c>
      <c r="B265" s="475">
        <v>4998</v>
      </c>
      <c r="C265" s="1650">
        <v>320798</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3138137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3138137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83221807</v>
      </c>
      <c r="D268" s="1641">
        <f t="shared" si="12"/>
        <v>5551491</v>
      </c>
      <c r="E268" s="1641">
        <f t="shared" si="12"/>
        <v>1387530</v>
      </c>
      <c r="F268" s="1641">
        <f t="shared" si="12"/>
        <v>2701662</v>
      </c>
      <c r="G268" s="1641">
        <f t="shared" si="12"/>
        <v>1954135</v>
      </c>
      <c r="H268" s="1641">
        <f t="shared" si="12"/>
        <v>9396792</v>
      </c>
      <c r="I268" s="1641">
        <f t="shared" si="12"/>
        <v>34702</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5" activePane="bottomLeft" state="frozen"/>
      <selection pane="bottomLeft" activeCell="D224" sqref="D2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5"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5" t="s">
        <v>294</v>
      </c>
      <c r="B3" s="231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26954948</v>
      </c>
      <c r="D5" s="1573">
        <v>6216675</v>
      </c>
      <c r="E5" s="1573">
        <v>525966</v>
      </c>
      <c r="F5" s="1573">
        <v>843447</v>
      </c>
      <c r="G5" s="1573">
        <v>11830</v>
      </c>
      <c r="H5" s="1573">
        <v>11291</v>
      </c>
      <c r="I5" s="1574">
        <v>69032</v>
      </c>
      <c r="J5" s="1574">
        <v>45504</v>
      </c>
      <c r="K5" s="1672">
        <f>SUM(C5:J5)</f>
        <v>34678693</v>
      </c>
      <c r="L5" s="1573">
        <v>38169722</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7466286</v>
      </c>
      <c r="D8" s="1573">
        <v>1906170</v>
      </c>
      <c r="E8" s="1573">
        <v>220991</v>
      </c>
      <c r="F8" s="1573">
        <v>189213</v>
      </c>
      <c r="G8" s="1573"/>
      <c r="H8" s="1573">
        <v>1718</v>
      </c>
      <c r="I8" s="1574">
        <v>26773</v>
      </c>
      <c r="J8" s="1574"/>
      <c r="K8" s="1672">
        <f t="shared" si="0"/>
        <v>9811151</v>
      </c>
      <c r="L8" s="1573">
        <v>9769660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2636154</v>
      </c>
      <c r="D13" s="1573">
        <v>625669</v>
      </c>
      <c r="E13" s="1573">
        <v>28386</v>
      </c>
      <c r="F13" s="1573">
        <v>42732</v>
      </c>
      <c r="G13" s="1573">
        <v>57073</v>
      </c>
      <c r="H13" s="1573"/>
      <c r="I13" s="1574">
        <v>104450</v>
      </c>
      <c r="J13" s="1574"/>
      <c r="K13" s="1672">
        <f t="shared" si="0"/>
        <v>3494464</v>
      </c>
      <c r="L13" s="1573">
        <v>3274338</v>
      </c>
    </row>
    <row r="14" spans="1:14" x14ac:dyDescent="0.2">
      <c r="A14" s="1274" t="s">
        <v>957</v>
      </c>
      <c r="B14" s="503">
        <v>1500</v>
      </c>
      <c r="C14" s="1573">
        <v>3032597</v>
      </c>
      <c r="D14" s="1573">
        <v>214013</v>
      </c>
      <c r="E14" s="1573">
        <v>551271</v>
      </c>
      <c r="F14" s="1573">
        <v>456497</v>
      </c>
      <c r="G14" s="1573">
        <v>12615</v>
      </c>
      <c r="H14" s="1573">
        <v>310742</v>
      </c>
      <c r="I14" s="1574">
        <v>11463</v>
      </c>
      <c r="J14" s="1574"/>
      <c r="K14" s="1672">
        <f t="shared" si="0"/>
        <v>4589198</v>
      </c>
      <c r="L14" s="1573">
        <v>6924500</v>
      </c>
    </row>
    <row r="15" spans="1:14" x14ac:dyDescent="0.2">
      <c r="A15" s="1274" t="s">
        <v>958</v>
      </c>
      <c r="B15" s="503">
        <v>1600</v>
      </c>
      <c r="C15" s="1573">
        <v>92514</v>
      </c>
      <c r="D15" s="1573">
        <v>7492</v>
      </c>
      <c r="E15" s="1573"/>
      <c r="F15" s="1573"/>
      <c r="G15" s="1573"/>
      <c r="H15" s="1573"/>
      <c r="I15" s="1574"/>
      <c r="J15" s="1574"/>
      <c r="K15" s="1672">
        <f t="shared" si="0"/>
        <v>100006</v>
      </c>
      <c r="L15" s="1573">
        <v>296101</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347766</v>
      </c>
      <c r="D17" s="1574">
        <v>91169</v>
      </c>
      <c r="E17" s="1574">
        <v>22382</v>
      </c>
      <c r="F17" s="1574">
        <v>3918</v>
      </c>
      <c r="G17" s="1574"/>
      <c r="H17" s="1574"/>
      <c r="I17" s="1574">
        <v>5249</v>
      </c>
      <c r="J17" s="1574"/>
      <c r="K17" s="1672">
        <f t="shared" si="0"/>
        <v>470484</v>
      </c>
      <c r="L17" s="1573">
        <v>471940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25000</v>
      </c>
    </row>
    <row r="22" spans="1:12" x14ac:dyDescent="0.2">
      <c r="A22" s="1275" t="s">
        <v>735</v>
      </c>
      <c r="B22" s="494" t="s">
        <v>722</v>
      </c>
      <c r="C22" s="1582"/>
      <c r="D22" s="1582"/>
      <c r="E22" s="1582"/>
      <c r="F22" s="1582"/>
      <c r="G22" s="1582"/>
      <c r="H22" s="1579">
        <v>893528</v>
      </c>
      <c r="I22" s="1673"/>
      <c r="J22" s="1582"/>
      <c r="K22" s="1672">
        <f t="shared" si="0"/>
        <v>893528</v>
      </c>
      <c r="L22" s="1577">
        <v>800000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40530265</v>
      </c>
      <c r="D33" s="1674">
        <f t="shared" ref="D33:L33" si="1">SUM(D5:D32)</f>
        <v>9061188</v>
      </c>
      <c r="E33" s="1674">
        <f t="shared" si="1"/>
        <v>1348996</v>
      </c>
      <c r="F33" s="1674">
        <f t="shared" si="1"/>
        <v>1535807</v>
      </c>
      <c r="G33" s="1674">
        <f t="shared" si="1"/>
        <v>81518</v>
      </c>
      <c r="H33" s="1674">
        <f t="shared" si="1"/>
        <v>1217279</v>
      </c>
      <c r="I33" s="1674">
        <f t="shared" si="1"/>
        <v>216967</v>
      </c>
      <c r="J33" s="1674">
        <f t="shared" si="1"/>
        <v>45504</v>
      </c>
      <c r="K33" s="1674">
        <f t="shared" si="1"/>
        <v>54037524</v>
      </c>
      <c r="L33" s="1674">
        <f t="shared" si="1"/>
        <v>59731261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1368584</v>
      </c>
      <c r="D36" s="1586">
        <v>307821</v>
      </c>
      <c r="E36" s="1586"/>
      <c r="F36" s="1586"/>
      <c r="G36" s="1586"/>
      <c r="H36" s="1586"/>
      <c r="I36" s="1574"/>
      <c r="J36" s="1574"/>
      <c r="K36" s="1672">
        <f t="shared" ref="K36:K41" si="2">SUM(C36:J36)</f>
        <v>1676405</v>
      </c>
      <c r="L36" s="1573">
        <v>1614487</v>
      </c>
    </row>
    <row r="37" spans="1:14" x14ac:dyDescent="0.2">
      <c r="A37" s="1274" t="s">
        <v>1081</v>
      </c>
      <c r="B37" s="503">
        <v>2120</v>
      </c>
      <c r="C37" s="1573">
        <v>2934902</v>
      </c>
      <c r="D37" s="1573">
        <v>783956</v>
      </c>
      <c r="E37" s="1573">
        <v>9642</v>
      </c>
      <c r="F37" s="1573">
        <v>40892</v>
      </c>
      <c r="G37" s="1573"/>
      <c r="H37" s="1573">
        <v>1508</v>
      </c>
      <c r="I37" s="1574"/>
      <c r="J37" s="1574"/>
      <c r="K37" s="1672">
        <f t="shared" si="2"/>
        <v>3770900</v>
      </c>
      <c r="L37" s="1573">
        <v>3638563</v>
      </c>
    </row>
    <row r="38" spans="1:14" x14ac:dyDescent="0.2">
      <c r="A38" s="1274" t="s">
        <v>196</v>
      </c>
      <c r="B38" s="503">
        <v>2130</v>
      </c>
      <c r="C38" s="1573">
        <v>540804</v>
      </c>
      <c r="D38" s="1573">
        <v>124152</v>
      </c>
      <c r="E38" s="1573">
        <v>39266</v>
      </c>
      <c r="F38" s="1573">
        <v>31001</v>
      </c>
      <c r="G38" s="1573"/>
      <c r="H38" s="1573"/>
      <c r="I38" s="1574"/>
      <c r="J38" s="1574"/>
      <c r="K38" s="1672">
        <f t="shared" si="2"/>
        <v>735223</v>
      </c>
      <c r="L38" s="1573">
        <v>739455</v>
      </c>
    </row>
    <row r="39" spans="1:14" x14ac:dyDescent="0.2">
      <c r="A39" s="1274" t="s">
        <v>197</v>
      </c>
      <c r="B39" s="503">
        <v>2140</v>
      </c>
      <c r="C39" s="1573">
        <v>468810</v>
      </c>
      <c r="D39" s="1573">
        <v>79010</v>
      </c>
      <c r="E39" s="1573"/>
      <c r="F39" s="1573"/>
      <c r="G39" s="1573"/>
      <c r="H39" s="1573"/>
      <c r="I39" s="1574"/>
      <c r="J39" s="1574"/>
      <c r="K39" s="1672">
        <f t="shared" si="2"/>
        <v>547820</v>
      </c>
      <c r="L39" s="1573">
        <v>526969</v>
      </c>
    </row>
    <row r="40" spans="1:14" x14ac:dyDescent="0.2">
      <c r="A40" s="1274" t="s">
        <v>198</v>
      </c>
      <c r="B40" s="503">
        <v>2150</v>
      </c>
      <c r="C40" s="1573">
        <v>388989</v>
      </c>
      <c r="D40" s="1573">
        <v>68205</v>
      </c>
      <c r="E40" s="1573"/>
      <c r="F40" s="1573"/>
      <c r="G40" s="1573"/>
      <c r="H40" s="1573"/>
      <c r="I40" s="1574"/>
      <c r="J40" s="1574"/>
      <c r="K40" s="1672">
        <f t="shared" si="2"/>
        <v>457194</v>
      </c>
      <c r="L40" s="1573">
        <v>448155</v>
      </c>
    </row>
    <row r="41" spans="1:14" x14ac:dyDescent="0.2">
      <c r="A41" s="1274" t="s">
        <v>1650</v>
      </c>
      <c r="B41" s="503">
        <v>2190</v>
      </c>
      <c r="C41" s="1573"/>
      <c r="D41" s="1573"/>
      <c r="E41" s="1573"/>
      <c r="F41" s="1573"/>
      <c r="G41" s="1573"/>
      <c r="H41" s="1573"/>
      <c r="I41" s="1574"/>
      <c r="J41" s="1574"/>
      <c r="K41" s="1672">
        <f t="shared" si="2"/>
        <v>0</v>
      </c>
      <c r="L41" s="1573">
        <v>2632</v>
      </c>
    </row>
    <row r="42" spans="1:14" ht="12.75" customHeight="1" thickBot="1" x14ac:dyDescent="0.25">
      <c r="A42" s="1380" t="s">
        <v>556</v>
      </c>
      <c r="B42" s="1381" t="s">
        <v>711</v>
      </c>
      <c r="C42" s="1674">
        <f>SUM(C36:C41)</f>
        <v>5702089</v>
      </c>
      <c r="D42" s="1674">
        <f t="shared" ref="D42:L42" si="3">SUM(D36:D41)</f>
        <v>1363144</v>
      </c>
      <c r="E42" s="1674">
        <f t="shared" si="3"/>
        <v>48908</v>
      </c>
      <c r="F42" s="1674">
        <f t="shared" si="3"/>
        <v>71893</v>
      </c>
      <c r="G42" s="1674">
        <f t="shared" si="3"/>
        <v>0</v>
      </c>
      <c r="H42" s="1674">
        <f t="shared" si="3"/>
        <v>1508</v>
      </c>
      <c r="I42" s="1674">
        <f t="shared" si="3"/>
        <v>0</v>
      </c>
      <c r="J42" s="1674">
        <f t="shared" si="3"/>
        <v>0</v>
      </c>
      <c r="K42" s="1674">
        <f t="shared" si="3"/>
        <v>7187542</v>
      </c>
      <c r="L42" s="1674">
        <f t="shared" si="3"/>
        <v>6970261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3299299</v>
      </c>
      <c r="D44" s="1586">
        <v>1085979</v>
      </c>
      <c r="E44" s="1586">
        <v>345371</v>
      </c>
      <c r="F44" s="1586">
        <v>4691</v>
      </c>
      <c r="G44" s="1586"/>
      <c r="H44" s="1586">
        <v>200</v>
      </c>
      <c r="I44" s="1574"/>
      <c r="J44" s="1574"/>
      <c r="K44" s="1678">
        <f>SUM(C44:J44)</f>
        <v>4735540</v>
      </c>
      <c r="L44" s="1586">
        <v>4845899</v>
      </c>
    </row>
    <row r="45" spans="1:14" x14ac:dyDescent="0.2">
      <c r="A45" s="1274" t="s">
        <v>810</v>
      </c>
      <c r="B45" s="503">
        <v>2220</v>
      </c>
      <c r="C45" s="1573">
        <v>619894</v>
      </c>
      <c r="D45" s="1573">
        <v>150072</v>
      </c>
      <c r="E45" s="1573">
        <v>156277</v>
      </c>
      <c r="F45" s="1573">
        <v>93342</v>
      </c>
      <c r="G45" s="1573"/>
      <c r="H45" s="1573">
        <v>65</v>
      </c>
      <c r="I45" s="1574">
        <v>4974</v>
      </c>
      <c r="J45" s="1574"/>
      <c r="K45" s="1678">
        <f>SUM(C45:J45)</f>
        <v>1024624</v>
      </c>
      <c r="L45" s="1573">
        <v>948517</v>
      </c>
    </row>
    <row r="46" spans="1:14" x14ac:dyDescent="0.2">
      <c r="A46" s="1274" t="s">
        <v>811</v>
      </c>
      <c r="B46" s="503">
        <v>2230</v>
      </c>
      <c r="C46" s="1573"/>
      <c r="D46" s="1573"/>
      <c r="E46" s="1573">
        <v>77662</v>
      </c>
      <c r="F46" s="1573">
        <v>266679</v>
      </c>
      <c r="G46" s="1573"/>
      <c r="H46" s="1573"/>
      <c r="I46" s="1574"/>
      <c r="J46" s="1574"/>
      <c r="K46" s="1678">
        <f>SUM(C46:J46)</f>
        <v>344341</v>
      </c>
      <c r="L46" s="1573">
        <v>518800</v>
      </c>
    </row>
    <row r="47" spans="1:14" ht="12.75" customHeight="1" thickBot="1" x14ac:dyDescent="0.25">
      <c r="A47" s="1380" t="s">
        <v>557</v>
      </c>
      <c r="B47" s="1381" t="s">
        <v>32</v>
      </c>
      <c r="C47" s="1674">
        <f>SUM(C44:C46)</f>
        <v>3919193</v>
      </c>
      <c r="D47" s="1674">
        <f t="shared" ref="D47:K47" si="4">SUM(D44:D46)</f>
        <v>1236051</v>
      </c>
      <c r="E47" s="1674">
        <f t="shared" si="4"/>
        <v>579310</v>
      </c>
      <c r="F47" s="1674">
        <f t="shared" si="4"/>
        <v>364712</v>
      </c>
      <c r="G47" s="1674">
        <f t="shared" si="4"/>
        <v>0</v>
      </c>
      <c r="H47" s="1674">
        <f t="shared" si="4"/>
        <v>265</v>
      </c>
      <c r="I47" s="1674">
        <f t="shared" si="4"/>
        <v>4974</v>
      </c>
      <c r="J47" s="1674">
        <f t="shared" si="4"/>
        <v>0</v>
      </c>
      <c r="K47" s="1674">
        <f t="shared" si="4"/>
        <v>6104505</v>
      </c>
      <c r="L47" s="1674">
        <f>SUM(L44:L46)</f>
        <v>6313216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84908</v>
      </c>
      <c r="D49" s="1586">
        <v>23446</v>
      </c>
      <c r="E49" s="1586">
        <v>342706</v>
      </c>
      <c r="F49" s="1586">
        <v>33262</v>
      </c>
      <c r="G49" s="1586"/>
      <c r="H49" s="1586">
        <v>15939</v>
      </c>
      <c r="I49" s="1574"/>
      <c r="J49" s="1574"/>
      <c r="K49" s="1678">
        <f>SUM(C49:J49)</f>
        <v>500261</v>
      </c>
      <c r="L49" s="1586">
        <v>769861</v>
      </c>
    </row>
    <row r="50" spans="1:14" x14ac:dyDescent="0.2">
      <c r="A50" s="1274" t="s">
        <v>813</v>
      </c>
      <c r="B50" s="503">
        <v>2320</v>
      </c>
      <c r="C50" s="1573">
        <v>384197</v>
      </c>
      <c r="D50" s="1573">
        <v>110324</v>
      </c>
      <c r="E50" s="1573">
        <v>5267</v>
      </c>
      <c r="F50" s="1573">
        <v>10347</v>
      </c>
      <c r="G50" s="1573"/>
      <c r="H50" s="1573">
        <v>4642</v>
      </c>
      <c r="I50" s="1574"/>
      <c r="J50" s="1574"/>
      <c r="K50" s="1678">
        <f>SUM(C50:J50)</f>
        <v>514777</v>
      </c>
      <c r="L50" s="1573">
        <v>534454</v>
      </c>
    </row>
    <row r="51" spans="1:14" x14ac:dyDescent="0.2">
      <c r="A51" s="1274" t="s">
        <v>42</v>
      </c>
      <c r="B51" s="503">
        <v>2330</v>
      </c>
      <c r="C51" s="1573"/>
      <c r="D51" s="1573"/>
      <c r="E51" s="1573"/>
      <c r="F51" s="1573"/>
      <c r="G51" s="1573"/>
      <c r="H51" s="1573"/>
      <c r="I51" s="1574"/>
      <c r="J51" s="1574"/>
      <c r="K51" s="1678">
        <f>SUM(C51:J51)</f>
        <v>0</v>
      </c>
      <c r="L51" s="1573">
        <v>273</v>
      </c>
    </row>
    <row r="52" spans="1:14" ht="22.5" x14ac:dyDescent="0.2">
      <c r="A52" s="1275" t="s">
        <v>295</v>
      </c>
      <c r="B52" s="511" t="s">
        <v>363</v>
      </c>
      <c r="C52" s="1579"/>
      <c r="D52" s="1579"/>
      <c r="E52" s="1579">
        <v>739938</v>
      </c>
      <c r="F52" s="1579"/>
      <c r="G52" s="1579"/>
      <c r="H52" s="1579"/>
      <c r="I52" s="1579"/>
      <c r="J52" s="1579"/>
      <c r="K52" s="1678">
        <f>SUM(C52:J52)</f>
        <v>739938</v>
      </c>
      <c r="L52" s="1579">
        <v>748000</v>
      </c>
    </row>
    <row r="53" spans="1:14" ht="12.75" customHeight="1" thickBot="1" x14ac:dyDescent="0.25">
      <c r="A53" s="1380" t="s">
        <v>712</v>
      </c>
      <c r="B53" s="1381" t="s">
        <v>33</v>
      </c>
      <c r="C53" s="1674">
        <f>SUM(C49:C52)</f>
        <v>469105</v>
      </c>
      <c r="D53" s="1674">
        <f t="shared" ref="D53:L53" si="5">SUM(D49:D52)</f>
        <v>133770</v>
      </c>
      <c r="E53" s="1674">
        <f t="shared" si="5"/>
        <v>1087911</v>
      </c>
      <c r="F53" s="1674">
        <f t="shared" si="5"/>
        <v>43609</v>
      </c>
      <c r="G53" s="1674">
        <f t="shared" si="5"/>
        <v>0</v>
      </c>
      <c r="H53" s="1674">
        <f t="shared" si="5"/>
        <v>20581</v>
      </c>
      <c r="I53" s="1674">
        <f t="shared" si="5"/>
        <v>0</v>
      </c>
      <c r="J53" s="1674">
        <f t="shared" si="5"/>
        <v>0</v>
      </c>
      <c r="K53" s="1674">
        <f t="shared" si="5"/>
        <v>1754976</v>
      </c>
      <c r="L53" s="1674">
        <f t="shared" si="5"/>
        <v>2052588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1570861</v>
      </c>
      <c r="D55" s="1586">
        <v>487839</v>
      </c>
      <c r="E55" s="1586">
        <v>63369</v>
      </c>
      <c r="F55" s="1586">
        <v>112191</v>
      </c>
      <c r="G55" s="1586"/>
      <c r="H55" s="1586">
        <v>6544</v>
      </c>
      <c r="I55" s="1574">
        <v>13578</v>
      </c>
      <c r="J55" s="1574"/>
      <c r="K55" s="1678">
        <f>SUM(C55:J55)</f>
        <v>2254382</v>
      </c>
      <c r="L55" s="1586">
        <v>2415953</v>
      </c>
    </row>
    <row r="56" spans="1:14" ht="12.75" customHeight="1" x14ac:dyDescent="0.2">
      <c r="A56" s="1278" t="s">
        <v>373</v>
      </c>
      <c r="B56" s="512">
        <v>2490</v>
      </c>
      <c r="C56" s="1573">
        <v>731685</v>
      </c>
      <c r="D56" s="1573">
        <v>215698</v>
      </c>
      <c r="E56" s="1573"/>
      <c r="F56" s="1573">
        <v>910</v>
      </c>
      <c r="G56" s="1573"/>
      <c r="H56" s="1573"/>
      <c r="I56" s="1574"/>
      <c r="J56" s="1574"/>
      <c r="K56" s="1678">
        <f>SUM(C56:J56)</f>
        <v>948293</v>
      </c>
      <c r="L56" s="1573">
        <v>986240</v>
      </c>
    </row>
    <row r="57" spans="1:14" s="321" customFormat="1" ht="12.75" customHeight="1" thickBot="1" x14ac:dyDescent="0.25">
      <c r="A57" s="1380" t="s">
        <v>261</v>
      </c>
      <c r="B57" s="1382" t="s">
        <v>34</v>
      </c>
      <c r="C57" s="1679">
        <f>SUM(C55:C56)</f>
        <v>2302546</v>
      </c>
      <c r="D57" s="1679">
        <f t="shared" ref="D57:K57" si="6">SUM(D55:D56)</f>
        <v>703537</v>
      </c>
      <c r="E57" s="1679">
        <f t="shared" si="6"/>
        <v>63369</v>
      </c>
      <c r="F57" s="1679">
        <f t="shared" si="6"/>
        <v>113101</v>
      </c>
      <c r="G57" s="1679">
        <f t="shared" si="6"/>
        <v>0</v>
      </c>
      <c r="H57" s="1679">
        <f t="shared" si="6"/>
        <v>6544</v>
      </c>
      <c r="I57" s="1679">
        <f t="shared" si="6"/>
        <v>13578</v>
      </c>
      <c r="J57" s="1679">
        <f t="shared" si="6"/>
        <v>0</v>
      </c>
      <c r="K57" s="1679">
        <f t="shared" si="6"/>
        <v>3202675</v>
      </c>
      <c r="L57" s="1674">
        <f>SUM(L55:L56)</f>
        <v>3402193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159457</v>
      </c>
      <c r="D59" s="1586">
        <v>52785</v>
      </c>
      <c r="E59" s="1586"/>
      <c r="F59" s="1586"/>
      <c r="G59" s="1586"/>
      <c r="H59" s="1586"/>
      <c r="I59" s="1574"/>
      <c r="J59" s="1574"/>
      <c r="K59" s="1678">
        <f t="shared" ref="K59:K64" si="7">SUM(C59:J59)</f>
        <v>212242</v>
      </c>
      <c r="L59" s="1586">
        <v>210472</v>
      </c>
      <c r="M59" s="501"/>
      <c r="N59" s="501"/>
    </row>
    <row r="60" spans="1:14" s="321" customFormat="1" x14ac:dyDescent="0.2">
      <c r="A60" s="1274" t="s">
        <v>460</v>
      </c>
      <c r="B60" s="503">
        <v>2520</v>
      </c>
      <c r="C60" s="1573">
        <v>398676</v>
      </c>
      <c r="D60" s="1573">
        <v>83765</v>
      </c>
      <c r="E60" s="1573">
        <v>123108</v>
      </c>
      <c r="F60" s="1573">
        <v>91347</v>
      </c>
      <c r="G60" s="1573"/>
      <c r="H60" s="1573">
        <v>2104</v>
      </c>
      <c r="I60" s="1574"/>
      <c r="J60" s="1574"/>
      <c r="K60" s="1678">
        <f t="shared" si="7"/>
        <v>699000</v>
      </c>
      <c r="L60" s="1573">
        <v>770587</v>
      </c>
      <c r="M60" s="501"/>
      <c r="N60" s="501"/>
    </row>
    <row r="61" spans="1:14" s="321" customFormat="1" x14ac:dyDescent="0.2">
      <c r="A61" s="1274" t="s">
        <v>195</v>
      </c>
      <c r="B61" s="503">
        <v>2540</v>
      </c>
      <c r="C61" s="1573"/>
      <c r="D61" s="1573"/>
      <c r="E61" s="1573">
        <v>10000</v>
      </c>
      <c r="F61" s="1573"/>
      <c r="G61" s="1573"/>
      <c r="H61" s="1573"/>
      <c r="I61" s="1574"/>
      <c r="J61" s="1574"/>
      <c r="K61" s="1678">
        <f t="shared" si="7"/>
        <v>10000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270818</v>
      </c>
      <c r="D63" s="1573">
        <v>137549</v>
      </c>
      <c r="E63" s="1573">
        <v>1146677</v>
      </c>
      <c r="F63" s="1573">
        <v>66218</v>
      </c>
      <c r="G63" s="1573">
        <v>18852</v>
      </c>
      <c r="H63" s="1573">
        <v>620</v>
      </c>
      <c r="I63" s="1574">
        <v>5427</v>
      </c>
      <c r="J63" s="1574"/>
      <c r="K63" s="1678">
        <f t="shared" si="7"/>
        <v>1646161</v>
      </c>
      <c r="L63" s="1573">
        <v>1677388</v>
      </c>
    </row>
    <row r="64" spans="1:14" s="501" customFormat="1" x14ac:dyDescent="0.2">
      <c r="A64" s="1279" t="s">
        <v>101</v>
      </c>
      <c r="B64" s="513">
        <v>2570</v>
      </c>
      <c r="C64" s="1586">
        <v>40570</v>
      </c>
      <c r="D64" s="1586">
        <v>1467</v>
      </c>
      <c r="E64" s="1586">
        <v>460</v>
      </c>
      <c r="F64" s="1586">
        <v>23506</v>
      </c>
      <c r="G64" s="1586"/>
      <c r="H64" s="1586"/>
      <c r="I64" s="1574"/>
      <c r="J64" s="1574"/>
      <c r="K64" s="1678">
        <f t="shared" si="7"/>
        <v>66003</v>
      </c>
      <c r="L64" s="1586">
        <v>67538</v>
      </c>
    </row>
    <row r="65" spans="1:14" s="321" customFormat="1" ht="12.75" customHeight="1" thickBot="1" x14ac:dyDescent="0.25">
      <c r="A65" s="1380" t="s">
        <v>714</v>
      </c>
      <c r="B65" s="1381" t="s">
        <v>35</v>
      </c>
      <c r="C65" s="1674">
        <f>SUM(C59:C64)</f>
        <v>869521</v>
      </c>
      <c r="D65" s="1674">
        <f t="shared" ref="D65:L65" si="8">SUM(D59:D64)</f>
        <v>275566</v>
      </c>
      <c r="E65" s="1674">
        <f t="shared" si="8"/>
        <v>1280245</v>
      </c>
      <c r="F65" s="1674">
        <f t="shared" si="8"/>
        <v>181071</v>
      </c>
      <c r="G65" s="1674">
        <f t="shared" si="8"/>
        <v>18852</v>
      </c>
      <c r="H65" s="1674">
        <f t="shared" si="8"/>
        <v>2724</v>
      </c>
      <c r="I65" s="1674">
        <f t="shared" si="8"/>
        <v>5427</v>
      </c>
      <c r="J65" s="1674">
        <f t="shared" si="8"/>
        <v>0</v>
      </c>
      <c r="K65" s="1674">
        <f t="shared" si="8"/>
        <v>2633406</v>
      </c>
      <c r="L65" s="1674">
        <f t="shared" si="8"/>
        <v>2725985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v>147566</v>
      </c>
      <c r="D69" s="1573">
        <v>29371</v>
      </c>
      <c r="E69" s="1573">
        <v>29971</v>
      </c>
      <c r="F69" s="1573">
        <v>723</v>
      </c>
      <c r="G69" s="1573"/>
      <c r="H69" s="1573">
        <v>707</v>
      </c>
      <c r="I69" s="1574"/>
      <c r="J69" s="1574"/>
      <c r="K69" s="1678">
        <f>SUM(C69:J69)</f>
        <v>208338</v>
      </c>
      <c r="L69" s="1573">
        <v>180797</v>
      </c>
      <c r="M69" s="501"/>
      <c r="N69" s="501"/>
    </row>
    <row r="70" spans="1:14" s="321" customFormat="1" x14ac:dyDescent="0.2">
      <c r="A70" s="1274" t="s">
        <v>400</v>
      </c>
      <c r="B70" s="503">
        <v>2640</v>
      </c>
      <c r="C70" s="1573">
        <v>359334</v>
      </c>
      <c r="D70" s="1573">
        <v>110497</v>
      </c>
      <c r="E70" s="1573">
        <v>44708</v>
      </c>
      <c r="F70" s="1573">
        <v>32853</v>
      </c>
      <c r="G70" s="1573"/>
      <c r="H70" s="1573">
        <v>787</v>
      </c>
      <c r="I70" s="1574"/>
      <c r="J70" s="1574"/>
      <c r="K70" s="1678">
        <f>SUM(C70:J70)</f>
        <v>548179</v>
      </c>
      <c r="L70" s="1573">
        <v>581492</v>
      </c>
      <c r="M70" s="501"/>
      <c r="N70" s="501"/>
    </row>
    <row r="71" spans="1:14" s="321" customFormat="1" x14ac:dyDescent="0.2">
      <c r="A71" s="1274" t="s">
        <v>401</v>
      </c>
      <c r="B71" s="503">
        <v>2660</v>
      </c>
      <c r="C71" s="1573">
        <v>1052957</v>
      </c>
      <c r="D71" s="1573">
        <v>145781</v>
      </c>
      <c r="E71" s="1573">
        <v>576696</v>
      </c>
      <c r="F71" s="1573">
        <v>215127</v>
      </c>
      <c r="G71" s="1573">
        <v>110325</v>
      </c>
      <c r="H71" s="1573">
        <v>200</v>
      </c>
      <c r="I71" s="1574">
        <v>1415580</v>
      </c>
      <c r="J71" s="1574"/>
      <c r="K71" s="1678">
        <f>SUM(C71:J71)</f>
        <v>3516666</v>
      </c>
      <c r="L71" s="1573">
        <v>2605098</v>
      </c>
      <c r="M71" s="501"/>
      <c r="N71" s="501"/>
    </row>
    <row r="72" spans="1:14" s="321" customFormat="1" ht="12.75" customHeight="1" thickBot="1" x14ac:dyDescent="0.25">
      <c r="A72" s="1380" t="s">
        <v>37</v>
      </c>
      <c r="B72" s="1383" t="s">
        <v>36</v>
      </c>
      <c r="C72" s="1674">
        <f>SUM(C67:C71)</f>
        <v>1559857</v>
      </c>
      <c r="D72" s="1674">
        <f t="shared" ref="D72:K72" si="9">SUM(D67:D71)</f>
        <v>285649</v>
      </c>
      <c r="E72" s="1674">
        <f t="shared" si="9"/>
        <v>651375</v>
      </c>
      <c r="F72" s="1674">
        <f t="shared" si="9"/>
        <v>248703</v>
      </c>
      <c r="G72" s="1674">
        <f t="shared" si="9"/>
        <v>110325</v>
      </c>
      <c r="H72" s="1674">
        <f t="shared" si="9"/>
        <v>1694</v>
      </c>
      <c r="I72" s="1674">
        <f t="shared" si="9"/>
        <v>1415580</v>
      </c>
      <c r="J72" s="1674">
        <f t="shared" si="9"/>
        <v>0</v>
      </c>
      <c r="K72" s="1674">
        <f t="shared" si="9"/>
        <v>4273183</v>
      </c>
      <c r="L72" s="1674">
        <f>SUM(L67:L71)</f>
        <v>3367387</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200</v>
      </c>
      <c r="M73" s="501"/>
      <c r="N73" s="501"/>
    </row>
    <row r="74" spans="1:14" ht="12.75" customHeight="1" thickTop="1" thickBot="1" x14ac:dyDescent="0.25">
      <c r="A74" s="1380" t="s">
        <v>806</v>
      </c>
      <c r="B74" s="1384">
        <v>2000</v>
      </c>
      <c r="C74" s="1681">
        <f>SUM(C42,C47,C53,C57,C65,C72,C73)</f>
        <v>14822311</v>
      </c>
      <c r="D74" s="1681">
        <f t="shared" ref="D74:K74" si="10">SUM(D42,D47,D53,D57,D65,D72,D73)</f>
        <v>3997717</v>
      </c>
      <c r="E74" s="1681">
        <f t="shared" si="10"/>
        <v>3711118</v>
      </c>
      <c r="F74" s="1681">
        <f t="shared" si="10"/>
        <v>1023089</v>
      </c>
      <c r="G74" s="1681">
        <f t="shared" si="10"/>
        <v>129177</v>
      </c>
      <c r="H74" s="1681">
        <f t="shared" si="10"/>
        <v>33316</v>
      </c>
      <c r="I74" s="1681">
        <f t="shared" si="10"/>
        <v>1439559</v>
      </c>
      <c r="J74" s="1681">
        <f t="shared" si="10"/>
        <v>0</v>
      </c>
      <c r="K74" s="1681">
        <f t="shared" si="10"/>
        <v>25156287</v>
      </c>
      <c r="L74" s="1681">
        <f>SUM(L42,L47,L53,L57,L65,L72,L73)</f>
        <v>24831830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1766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14575</v>
      </c>
      <c r="F79" s="1673"/>
      <c r="G79" s="1673"/>
      <c r="H79" s="1573"/>
      <c r="I79" s="1582"/>
      <c r="J79" s="1582"/>
      <c r="K79" s="1672">
        <f t="shared" si="11"/>
        <v>14575</v>
      </c>
      <c r="L79" s="1573">
        <v>70000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109632</v>
      </c>
      <c r="F83" s="1673"/>
      <c r="G83" s="1673"/>
      <c r="H83" s="1573"/>
      <c r="I83" s="1582"/>
      <c r="J83" s="1582"/>
      <c r="K83" s="1672">
        <f t="shared" si="11"/>
        <v>109632</v>
      </c>
      <c r="L83" s="1573">
        <v>137000</v>
      </c>
    </row>
    <row r="84" spans="1:12" ht="13.5" thickBot="1" x14ac:dyDescent="0.25">
      <c r="A84" s="1380" t="s">
        <v>1468</v>
      </c>
      <c r="B84" s="1385">
        <v>4100</v>
      </c>
      <c r="C84" s="1673"/>
      <c r="D84" s="1673"/>
      <c r="E84" s="1674">
        <f>SUM(E78:E83)</f>
        <v>124207</v>
      </c>
      <c r="F84" s="1673"/>
      <c r="G84" s="1673"/>
      <c r="H84" s="1674">
        <f>SUM(H78:H83)</f>
        <v>0</v>
      </c>
      <c r="I84" s="1582"/>
      <c r="J84" s="1582"/>
      <c r="K84" s="1674">
        <f>SUM(K78:K83)</f>
        <v>124207</v>
      </c>
      <c r="L84" s="1674">
        <f>SUM(L78:L83)</f>
        <v>207000</v>
      </c>
    </row>
    <row r="85" spans="1:12" ht="12.75" customHeight="1" thickTop="1" thickBot="1" x14ac:dyDescent="0.25">
      <c r="A85" s="1281" t="s">
        <v>253</v>
      </c>
      <c r="B85" s="517">
        <v>4210</v>
      </c>
      <c r="C85" s="1673"/>
      <c r="D85" s="1673"/>
      <c r="E85" s="1683"/>
      <c r="F85" s="1673"/>
      <c r="G85" s="1673"/>
      <c r="H85" s="1630"/>
      <c r="I85" s="1582"/>
      <c r="J85" s="1582"/>
      <c r="K85" s="1681">
        <f>H85</f>
        <v>0</v>
      </c>
      <c r="L85" s="1626">
        <v>10000</v>
      </c>
    </row>
    <row r="86" spans="1:12" ht="12.75" customHeight="1" thickTop="1" thickBot="1" x14ac:dyDescent="0.25">
      <c r="A86" s="1282" t="s">
        <v>694</v>
      </c>
      <c r="B86" s="518">
        <v>4220</v>
      </c>
      <c r="C86" s="1673"/>
      <c r="D86" s="1673"/>
      <c r="E86" s="1684"/>
      <c r="F86" s="1673"/>
      <c r="G86" s="1673"/>
      <c r="H86" s="1574">
        <v>4493</v>
      </c>
      <c r="I86" s="1582"/>
      <c r="J86" s="1582"/>
      <c r="K86" s="1681">
        <f t="shared" ref="K86:K98" si="12">H86</f>
        <v>4493</v>
      </c>
      <c r="L86" s="1626">
        <v>20000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2000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4493</v>
      </c>
      <c r="I92" s="1582"/>
      <c r="J92" s="1582"/>
      <c r="K92" s="1681">
        <f t="shared" si="12"/>
        <v>4493</v>
      </c>
      <c r="L92" s="1674">
        <f>SUM(L85:L91)</f>
        <v>32000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124207</v>
      </c>
      <c r="F102" s="1673"/>
      <c r="G102" s="1673"/>
      <c r="H102" s="1681">
        <f>SUM(H84,H92,H100,H101)</f>
        <v>4493</v>
      </c>
      <c r="I102" s="1582"/>
      <c r="J102" s="1582"/>
      <c r="K102" s="1681">
        <f>SUM(K84,K92,K100,K101)</f>
        <v>128700</v>
      </c>
      <c r="L102" s="1681">
        <f>SUM(L84,L92,L100,L101)</f>
        <v>239000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400000</v>
      </c>
      <c r="M113" s="502"/>
      <c r="N113" s="502"/>
    </row>
    <row r="114" spans="1:14" ht="12.75" customHeight="1" thickTop="1" thickBot="1" x14ac:dyDescent="0.25">
      <c r="A114" s="1380" t="s">
        <v>48</v>
      </c>
      <c r="B114" s="1388"/>
      <c r="C114" s="1674">
        <f>SUM(C33,C74,C75,C102,C112,C113)</f>
        <v>55352576</v>
      </c>
      <c r="D114" s="1674">
        <f t="shared" ref="D114:K114" si="13">SUM(D33,D74,D75,D102,D112,D113)</f>
        <v>13058905</v>
      </c>
      <c r="E114" s="1674">
        <f t="shared" si="13"/>
        <v>5184321</v>
      </c>
      <c r="F114" s="1674">
        <f t="shared" si="13"/>
        <v>2558896</v>
      </c>
      <c r="G114" s="1674">
        <f t="shared" si="13"/>
        <v>210695</v>
      </c>
      <c r="H114" s="1674">
        <f>SUM(H33,H74,H75,H102,H112,H113)</f>
        <v>1255088</v>
      </c>
      <c r="I114" s="1674">
        <f t="shared" si="13"/>
        <v>1656526</v>
      </c>
      <c r="J114" s="1674">
        <f t="shared" si="13"/>
        <v>45504</v>
      </c>
      <c r="K114" s="1674">
        <f t="shared" si="13"/>
        <v>79322511</v>
      </c>
      <c r="L114" s="1674">
        <f>SUM(L33,L74,L75,L102,L112,L113)</f>
        <v>85203857</v>
      </c>
    </row>
    <row r="115" spans="1:14" ht="13.5" thickTop="1" x14ac:dyDescent="0.2">
      <c r="A115" s="2307" t="s">
        <v>989</v>
      </c>
      <c r="B115" s="2308"/>
      <c r="C115" s="1675"/>
      <c r="D115" s="1675"/>
      <c r="E115" s="1675"/>
      <c r="F115" s="1675"/>
      <c r="G115" s="1675"/>
      <c r="H115" s="1675"/>
      <c r="I115" s="1675"/>
      <c r="J115" s="1675"/>
      <c r="K115" s="1689">
        <f>'Revenues 9-14'!C268-'Expenditures 15-22'!K114</f>
        <v>3899296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2" t="s">
        <v>293</v>
      </c>
      <c r="B117" s="231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v>3260</v>
      </c>
      <c r="F123" s="1573"/>
      <c r="G123" s="1573">
        <v>217141</v>
      </c>
      <c r="H123" s="1573"/>
      <c r="I123" s="1574">
        <v>17694</v>
      </c>
      <c r="J123" s="1574"/>
      <c r="K123" s="1674">
        <f>SUM(C123:J123)</f>
        <v>238095</v>
      </c>
      <c r="L123" s="1573">
        <v>65000</v>
      </c>
    </row>
    <row r="124" spans="1:14" ht="14.25" thickTop="1" thickBot="1" x14ac:dyDescent="0.25">
      <c r="A124" s="1274" t="s">
        <v>195</v>
      </c>
      <c r="B124" s="503">
        <v>2540</v>
      </c>
      <c r="C124" s="1573">
        <v>2548281</v>
      </c>
      <c r="D124" s="1573">
        <v>593206</v>
      </c>
      <c r="E124" s="1573">
        <v>1664299</v>
      </c>
      <c r="F124" s="1573">
        <v>1771321</v>
      </c>
      <c r="G124" s="1573">
        <v>233539</v>
      </c>
      <c r="H124" s="1573"/>
      <c r="I124" s="1574">
        <v>91806</v>
      </c>
      <c r="J124" s="1574"/>
      <c r="K124" s="1674">
        <f>SUM(C124:J124)</f>
        <v>6902452</v>
      </c>
      <c r="L124" s="1573">
        <v>7212212</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2548281</v>
      </c>
      <c r="D127" s="1674">
        <f t="shared" ref="D127:L127" si="14">SUM(D122:D126)</f>
        <v>593206</v>
      </c>
      <c r="E127" s="1674">
        <f t="shared" si="14"/>
        <v>1667559</v>
      </c>
      <c r="F127" s="1674">
        <f t="shared" si="14"/>
        <v>1771321</v>
      </c>
      <c r="G127" s="1674">
        <f t="shared" si="14"/>
        <v>450680</v>
      </c>
      <c r="H127" s="1674">
        <f t="shared" si="14"/>
        <v>0</v>
      </c>
      <c r="I127" s="1674">
        <f t="shared" si="14"/>
        <v>109500</v>
      </c>
      <c r="J127" s="1674">
        <f t="shared" si="14"/>
        <v>0</v>
      </c>
      <c r="K127" s="1674">
        <f t="shared" si="14"/>
        <v>7140547</v>
      </c>
      <c r="L127" s="1674">
        <f t="shared" si="14"/>
        <v>7277212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2548281</v>
      </c>
      <c r="D129" s="1681">
        <f t="shared" ref="D129:L129" si="15">SUM(D120,D127,D128)</f>
        <v>593206</v>
      </c>
      <c r="E129" s="1681">
        <f t="shared" si="15"/>
        <v>1667559</v>
      </c>
      <c r="F129" s="1681">
        <f t="shared" si="15"/>
        <v>1771321</v>
      </c>
      <c r="G129" s="1681">
        <f t="shared" si="15"/>
        <v>450680</v>
      </c>
      <c r="H129" s="1681">
        <f t="shared" si="15"/>
        <v>0</v>
      </c>
      <c r="I129" s="1681">
        <f t="shared" si="15"/>
        <v>109500</v>
      </c>
      <c r="J129" s="1681">
        <f t="shared" si="15"/>
        <v>0</v>
      </c>
      <c r="K129" s="1681">
        <f t="shared" si="15"/>
        <v>7140547</v>
      </c>
      <c r="L129" s="1681">
        <f t="shared" si="15"/>
        <v>7277212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500000</v>
      </c>
    </row>
    <row r="151" spans="1:14" ht="12.75" customHeight="1" thickTop="1" thickBot="1" x14ac:dyDescent="0.25">
      <c r="A151" s="2324" t="s">
        <v>616</v>
      </c>
      <c r="B151" s="2304"/>
      <c r="C151" s="1674">
        <f>SUM(C129,C130,C139,C149,C150)</f>
        <v>2548281</v>
      </c>
      <c r="D151" s="1674">
        <f t="shared" ref="D151:K151" si="16">SUM(D129,D130,D139,D149,D150)</f>
        <v>593206</v>
      </c>
      <c r="E151" s="1674">
        <f t="shared" si="16"/>
        <v>1667559</v>
      </c>
      <c r="F151" s="1674">
        <f t="shared" si="16"/>
        <v>1771321</v>
      </c>
      <c r="G151" s="1674">
        <f t="shared" si="16"/>
        <v>450680</v>
      </c>
      <c r="H151" s="1674">
        <f t="shared" si="16"/>
        <v>0</v>
      </c>
      <c r="I151" s="1674">
        <f t="shared" si="16"/>
        <v>109500</v>
      </c>
      <c r="J151" s="1674">
        <f t="shared" si="16"/>
        <v>0</v>
      </c>
      <c r="K151" s="1674">
        <f t="shared" si="16"/>
        <v>7140547</v>
      </c>
      <c r="L151" s="1674">
        <f>SUM(L129,L130,L139,L149,L150)</f>
        <v>7777212</v>
      </c>
    </row>
    <row r="152" spans="1:14" ht="12.75" customHeight="1" thickTop="1" x14ac:dyDescent="0.2">
      <c r="A152" s="2327" t="s">
        <v>1168</v>
      </c>
      <c r="B152" s="2328"/>
      <c r="C152" s="1675"/>
      <c r="D152" s="1675"/>
      <c r="E152" s="1675"/>
      <c r="F152" s="1675"/>
      <c r="G152" s="1675"/>
      <c r="H152" s="1675"/>
      <c r="I152" s="1675"/>
      <c r="J152" s="1673"/>
      <c r="K152" s="1689">
        <f>'Revenues 9-14'!D268-'Expenditures 15-22'!K151</f>
        <v>-1589056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2" t="s">
        <v>617</v>
      </c>
      <c r="B154" s="231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1816</v>
      </c>
      <c r="C158" s="1673"/>
      <c r="D158" s="1673"/>
      <c r="E158" s="1673"/>
      <c r="F158" s="1673"/>
      <c r="G158" s="1673"/>
      <c r="H158" s="1574"/>
      <c r="I158" s="1673"/>
      <c r="J158" s="1673"/>
      <c r="K158" s="1672">
        <f>H158</f>
        <v>0</v>
      </c>
      <c r="L158" s="1574">
        <v>0</v>
      </c>
      <c r="M158" s="505"/>
      <c r="N158" s="505"/>
    </row>
    <row r="159" spans="1:14" s="506" customFormat="1" ht="12" x14ac:dyDescent="0.2">
      <c r="A159" s="1462" t="s">
        <v>1817</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574650</v>
      </c>
      <c r="I169" s="1673"/>
      <c r="J169" s="1673"/>
      <c r="K169" s="1672">
        <f>SUM(C169:H169)</f>
        <v>574650</v>
      </c>
      <c r="L169" s="1695">
        <v>574650</v>
      </c>
    </row>
    <row r="170" spans="1:14" ht="33.75" customHeight="1" x14ac:dyDescent="0.2">
      <c r="A170" s="543" t="s">
        <v>1651</v>
      </c>
      <c r="B170" s="545" t="s">
        <v>31</v>
      </c>
      <c r="C170" s="1673"/>
      <c r="D170" s="1673"/>
      <c r="E170" s="1673"/>
      <c r="F170" s="1673"/>
      <c r="G170" s="1673"/>
      <c r="H170" s="1646">
        <v>795000</v>
      </c>
      <c r="I170" s="1673"/>
      <c r="J170" s="1673"/>
      <c r="K170" s="1672">
        <f>SUM(C170:J170)</f>
        <v>795000</v>
      </c>
      <c r="L170" s="1646">
        <v>795000</v>
      </c>
    </row>
    <row r="171" spans="1:14" ht="15.75" customHeight="1" x14ac:dyDescent="0.2">
      <c r="A171" s="507" t="s">
        <v>761</v>
      </c>
      <c r="B171" s="546" t="s">
        <v>84</v>
      </c>
      <c r="C171" s="1673"/>
      <c r="D171" s="1673"/>
      <c r="E171" s="1573"/>
      <c r="F171" s="1673"/>
      <c r="G171" s="1673"/>
      <c r="H171" s="1646">
        <v>689</v>
      </c>
      <c r="I171" s="1582"/>
      <c r="J171" s="1673"/>
      <c r="K171" s="1672">
        <f>SUM(C171:J171)</f>
        <v>689</v>
      </c>
      <c r="L171" s="1646">
        <v>1100</v>
      </c>
    </row>
    <row r="172" spans="1:14" ht="12.75" customHeight="1" thickBot="1" x14ac:dyDescent="0.25">
      <c r="A172" s="1380" t="s">
        <v>633</v>
      </c>
      <c r="B172" s="1381" t="s">
        <v>489</v>
      </c>
      <c r="C172" s="1673"/>
      <c r="D172" s="1673"/>
      <c r="E172" s="1681">
        <f>SUM(E168,E169,E170,E171)</f>
        <v>0</v>
      </c>
      <c r="F172" s="1673"/>
      <c r="G172" s="1673"/>
      <c r="H172" s="1681">
        <f>SUM(H168,H169,H170,H171)</f>
        <v>1370339</v>
      </c>
      <c r="I172" s="1684"/>
      <c r="J172" s="1673"/>
      <c r="K172" s="1681">
        <f>SUM(K168,K169,K170,K171)</f>
        <v>1370339</v>
      </c>
      <c r="L172" s="1681">
        <f>SUM(L168,L169,L170,L171)</f>
        <v>1370750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1370339</v>
      </c>
      <c r="I174" s="1684"/>
      <c r="J174" s="1673"/>
      <c r="K174" s="1681">
        <f>SUM(K160,K172,K173)</f>
        <v>1370339</v>
      </c>
      <c r="L174" s="1681">
        <f>SUM(L160,L172,L173)</f>
        <v>1370750</v>
      </c>
    </row>
    <row r="175" spans="1:14" ht="13.5" thickTop="1" x14ac:dyDescent="0.2">
      <c r="A175" s="2307" t="s">
        <v>989</v>
      </c>
      <c r="B175" s="2308"/>
      <c r="C175" s="1673"/>
      <c r="D175" s="1673"/>
      <c r="E175" s="1673"/>
      <c r="F175" s="1673"/>
      <c r="G175" s="1673"/>
      <c r="H175" s="1675"/>
      <c r="I175" s="1673"/>
      <c r="J175" s="1673"/>
      <c r="K175" s="1689">
        <f>'Revenues 9-14'!E268-'Expenditures 15-22'!K174</f>
        <v>17191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3650778</v>
      </c>
      <c r="F182" s="1573">
        <v>2877</v>
      </c>
      <c r="G182" s="1573">
        <v>499092</v>
      </c>
      <c r="H182" s="1573"/>
      <c r="I182" s="1574"/>
      <c r="J182" s="1574"/>
      <c r="K182" s="1672">
        <f>SUM(C182:J182)</f>
        <v>4152747</v>
      </c>
      <c r="L182" s="1573">
        <v>4590597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3650778</v>
      </c>
      <c r="F184" s="1681">
        <f t="shared" si="17"/>
        <v>2877</v>
      </c>
      <c r="G184" s="1681">
        <f t="shared" si="17"/>
        <v>499092</v>
      </c>
      <c r="H184" s="1681">
        <f t="shared" si="17"/>
        <v>0</v>
      </c>
      <c r="I184" s="1681">
        <f t="shared" si="17"/>
        <v>0</v>
      </c>
      <c r="J184" s="1681">
        <f t="shared" si="17"/>
        <v>0</v>
      </c>
      <c r="K184" s="1681">
        <f>SUM(K180,K182,K183)</f>
        <v>4152747</v>
      </c>
      <c r="L184" s="1681">
        <f>SUM(L180, L182:L183)</f>
        <v>4590597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100000</v>
      </c>
    </row>
    <row r="210" spans="1:14" ht="12.75" customHeight="1" thickTop="1" thickBot="1" x14ac:dyDescent="0.25">
      <c r="A210" s="1394" t="s">
        <v>275</v>
      </c>
      <c r="B210" s="1395"/>
      <c r="C210" s="1674">
        <f>SUM(C184,C185)</f>
        <v>0</v>
      </c>
      <c r="D210" s="1674">
        <f>SUM(D184,D185)</f>
        <v>0</v>
      </c>
      <c r="E210" s="1674">
        <f>SUM(E184,E185,E196)</f>
        <v>3650778</v>
      </c>
      <c r="F210" s="1674">
        <f>SUM(F184,F185)</f>
        <v>2877</v>
      </c>
      <c r="G210" s="1674">
        <f>SUM(G184,G185)</f>
        <v>499092</v>
      </c>
      <c r="H210" s="1674">
        <f>SUM(H184,H185,H196,H208,H209)</f>
        <v>0</v>
      </c>
      <c r="I210" s="1674">
        <f>SUM(I184,I185)</f>
        <v>0</v>
      </c>
      <c r="J210" s="1674">
        <f>SUM(J184,J185)</f>
        <v>0</v>
      </c>
      <c r="K210" s="1672">
        <f>SUM(K184,K185,K196,K208,K209)</f>
        <v>4152747</v>
      </c>
      <c r="L210" s="1674">
        <f>SUM(L184,L185,L196,L208,L209)</f>
        <v>4690597</v>
      </c>
    </row>
    <row r="211" spans="1:14" ht="13.5" thickTop="1" x14ac:dyDescent="0.2">
      <c r="A211" s="2307" t="s">
        <v>989</v>
      </c>
      <c r="B211" s="2308"/>
      <c r="C211" s="1675"/>
      <c r="D211" s="1675"/>
      <c r="E211" s="1675"/>
      <c r="F211" s="1675"/>
      <c r="G211" s="1675"/>
      <c r="H211" s="1675"/>
      <c r="I211" s="1673"/>
      <c r="J211" s="1673"/>
      <c r="K211" s="1689">
        <f>'Revenues 9-14'!F268-'Expenditures 15-22'!K210</f>
        <v>-1451085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9" t="s">
        <v>959</v>
      </c>
      <c r="B213" s="233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483284</v>
      </c>
      <c r="E215" s="1673"/>
      <c r="F215" s="1673"/>
      <c r="G215" s="1673"/>
      <c r="H215" s="1673"/>
      <c r="I215" s="1673"/>
      <c r="J215" s="1673"/>
      <c r="K215" s="1672">
        <f>D215</f>
        <v>483284</v>
      </c>
      <c r="L215" s="1573">
        <v>489420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509075</v>
      </c>
      <c r="E217" s="1673"/>
      <c r="F217" s="1673"/>
      <c r="G217" s="1673"/>
      <c r="H217" s="1673"/>
      <c r="I217" s="1673"/>
      <c r="J217" s="1673"/>
      <c r="K217" s="1672">
        <f t="shared" si="19"/>
        <v>509075</v>
      </c>
      <c r="L217" s="1573">
        <v>535043</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36416</v>
      </c>
      <c r="E222" s="1673"/>
      <c r="F222" s="1673"/>
      <c r="G222" s="1673"/>
      <c r="H222" s="1673"/>
      <c r="I222" s="1673"/>
      <c r="J222" s="1673"/>
      <c r="K222" s="1672">
        <f t="shared" si="19"/>
        <v>36416</v>
      </c>
      <c r="L222" s="1573">
        <v>34251</v>
      </c>
    </row>
    <row r="223" spans="1:14" x14ac:dyDescent="0.2">
      <c r="A223" s="1274" t="s">
        <v>957</v>
      </c>
      <c r="B223" s="503">
        <v>1500</v>
      </c>
      <c r="C223" s="1673"/>
      <c r="D223" s="1573">
        <v>146582</v>
      </c>
      <c r="E223" s="1673"/>
      <c r="F223" s="1673"/>
      <c r="G223" s="1673"/>
      <c r="H223" s="1673"/>
      <c r="I223" s="1673"/>
      <c r="J223" s="1673"/>
      <c r="K223" s="1672">
        <f t="shared" si="19"/>
        <v>146582</v>
      </c>
      <c r="L223" s="1573">
        <v>140768</v>
      </c>
    </row>
    <row r="224" spans="1:14" x14ac:dyDescent="0.2">
      <c r="A224" s="1274" t="s">
        <v>958</v>
      </c>
      <c r="B224" s="503">
        <v>1600</v>
      </c>
      <c r="C224" s="1673"/>
      <c r="D224" s="1573">
        <v>1988</v>
      </c>
      <c r="E224" s="1673"/>
      <c r="F224" s="1673"/>
      <c r="G224" s="1673"/>
      <c r="H224" s="1673"/>
      <c r="I224" s="1673"/>
      <c r="J224" s="1673"/>
      <c r="K224" s="1672">
        <f t="shared" si="19"/>
        <v>1988</v>
      </c>
      <c r="L224" s="1573">
        <v>4937</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4841</v>
      </c>
      <c r="E226" s="1673"/>
      <c r="F226" s="1673"/>
      <c r="G226" s="1673"/>
      <c r="H226" s="1673"/>
      <c r="I226" s="1673"/>
      <c r="J226" s="1673"/>
      <c r="K226" s="1672">
        <f t="shared" si="19"/>
        <v>4841</v>
      </c>
      <c r="L226" s="1573">
        <v>4376</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1182186</v>
      </c>
      <c r="E229" s="1673"/>
      <c r="F229" s="1673"/>
      <c r="G229" s="1673"/>
      <c r="H229" s="1673"/>
      <c r="I229" s="1673"/>
      <c r="J229" s="1673"/>
      <c r="K229" s="1674">
        <f>SUM(K215:K228)</f>
        <v>1182186</v>
      </c>
      <c r="L229" s="1674">
        <f>SUM(L215:L228)</f>
        <v>1208795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71410</v>
      </c>
      <c r="E232" s="1673"/>
      <c r="F232" s="1673"/>
      <c r="G232" s="1673"/>
      <c r="H232" s="1673"/>
      <c r="I232" s="1673"/>
      <c r="J232" s="1673"/>
      <c r="K232" s="1672">
        <f t="shared" ref="K232:K237" si="20">D232</f>
        <v>71410</v>
      </c>
      <c r="L232" s="1573">
        <v>64092</v>
      </c>
    </row>
    <row r="233" spans="1:12" x14ac:dyDescent="0.2">
      <c r="A233" s="1274" t="s">
        <v>1081</v>
      </c>
      <c r="B233" s="503">
        <v>2120</v>
      </c>
      <c r="C233" s="1673"/>
      <c r="D233" s="1573">
        <v>104862</v>
      </c>
      <c r="E233" s="1673"/>
      <c r="F233" s="1673"/>
      <c r="G233" s="1673"/>
      <c r="H233" s="1673"/>
      <c r="I233" s="1673"/>
      <c r="J233" s="1673"/>
      <c r="K233" s="1672">
        <f t="shared" si="20"/>
        <v>104862</v>
      </c>
      <c r="L233" s="1573">
        <v>99833</v>
      </c>
    </row>
    <row r="234" spans="1:12" x14ac:dyDescent="0.2">
      <c r="A234" s="1274" t="s">
        <v>196</v>
      </c>
      <c r="B234" s="503">
        <v>2130</v>
      </c>
      <c r="C234" s="1673"/>
      <c r="D234" s="1573">
        <v>15975</v>
      </c>
      <c r="E234" s="1673"/>
      <c r="F234" s="1673"/>
      <c r="G234" s="1673"/>
      <c r="H234" s="1673"/>
      <c r="I234" s="1673"/>
      <c r="J234" s="1673"/>
      <c r="K234" s="1672">
        <f t="shared" si="20"/>
        <v>15975</v>
      </c>
      <c r="L234" s="1573">
        <v>16489</v>
      </c>
    </row>
    <row r="235" spans="1:12" x14ac:dyDescent="0.2">
      <c r="A235" s="1274" t="s">
        <v>197</v>
      </c>
      <c r="B235" s="503">
        <v>2140</v>
      </c>
      <c r="C235" s="1673"/>
      <c r="D235" s="1573">
        <v>6639</v>
      </c>
      <c r="E235" s="1673"/>
      <c r="F235" s="1673"/>
      <c r="G235" s="1673"/>
      <c r="H235" s="1673"/>
      <c r="I235" s="1673"/>
      <c r="J235" s="1673"/>
      <c r="K235" s="1672">
        <f t="shared" si="20"/>
        <v>6639</v>
      </c>
      <c r="L235" s="1573">
        <v>6553</v>
      </c>
    </row>
    <row r="236" spans="1:12" x14ac:dyDescent="0.2">
      <c r="A236" s="1274" t="s">
        <v>198</v>
      </c>
      <c r="B236" s="503">
        <v>2150</v>
      </c>
      <c r="C236" s="1673"/>
      <c r="D236" s="1573">
        <v>5403</v>
      </c>
      <c r="E236" s="1673"/>
      <c r="F236" s="1673"/>
      <c r="G236" s="1673"/>
      <c r="H236" s="1673"/>
      <c r="I236" s="1673"/>
      <c r="J236" s="1673"/>
      <c r="K236" s="1672">
        <f t="shared" si="20"/>
        <v>5403</v>
      </c>
      <c r="L236" s="1573">
        <v>5361</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204289</v>
      </c>
      <c r="E238" s="1673"/>
      <c r="F238" s="1673"/>
      <c r="G238" s="1673"/>
      <c r="H238" s="1673"/>
      <c r="I238" s="1673"/>
      <c r="J238" s="1673"/>
      <c r="K238" s="1674">
        <f>SUM(K232:K237)</f>
        <v>204289</v>
      </c>
      <c r="L238" s="1674">
        <f>SUM(L232:L237)</f>
        <v>192328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52272</v>
      </c>
      <c r="E240" s="1673"/>
      <c r="F240" s="1673"/>
      <c r="G240" s="1673"/>
      <c r="H240" s="1673"/>
      <c r="I240" s="1673"/>
      <c r="J240" s="1673"/>
      <c r="K240" s="1678">
        <f>D240</f>
        <v>52272</v>
      </c>
      <c r="L240" s="1586">
        <v>52635</v>
      </c>
    </row>
    <row r="241" spans="1:12" x14ac:dyDescent="0.2">
      <c r="A241" s="1274" t="s">
        <v>810</v>
      </c>
      <c r="B241" s="503">
        <v>2220</v>
      </c>
      <c r="C241" s="1673"/>
      <c r="D241" s="1573">
        <v>42692</v>
      </c>
      <c r="E241" s="1673"/>
      <c r="F241" s="1673"/>
      <c r="G241" s="1673"/>
      <c r="H241" s="1673"/>
      <c r="I241" s="1673"/>
      <c r="J241" s="1673"/>
      <c r="K241" s="1678">
        <f>D241</f>
        <v>42692</v>
      </c>
      <c r="L241" s="1573">
        <v>44912</v>
      </c>
    </row>
    <row r="242" spans="1:12" x14ac:dyDescent="0.2">
      <c r="A242" s="1274" t="s">
        <v>811</v>
      </c>
      <c r="B242" s="503">
        <v>2230</v>
      </c>
      <c r="C242" s="1673"/>
      <c r="D242" s="1573"/>
      <c r="E242" s="1673"/>
      <c r="F242" s="1673"/>
      <c r="G242" s="1673"/>
      <c r="H242" s="1673"/>
      <c r="I242" s="1673"/>
      <c r="J242" s="1673"/>
      <c r="K242" s="1678">
        <f>D242</f>
        <v>0</v>
      </c>
      <c r="L242" s="1573">
        <v>1148</v>
      </c>
    </row>
    <row r="243" spans="1:12" ht="12.75" customHeight="1" thickBot="1" x14ac:dyDescent="0.25">
      <c r="A243" s="1396" t="s">
        <v>557</v>
      </c>
      <c r="B243" s="1397">
        <v>2200</v>
      </c>
      <c r="C243" s="1673"/>
      <c r="D243" s="1674">
        <f>SUM(D240:D242)</f>
        <v>94964</v>
      </c>
      <c r="E243" s="1673"/>
      <c r="F243" s="1673"/>
      <c r="G243" s="1673"/>
      <c r="H243" s="1673"/>
      <c r="I243" s="1673"/>
      <c r="J243" s="1673"/>
      <c r="K243" s="1674">
        <f>SUM(K240:K242)</f>
        <v>94964</v>
      </c>
      <c r="L243" s="1674">
        <f>SUM(L240:L242)</f>
        <v>98695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14875</v>
      </c>
      <c r="E245" s="1673"/>
      <c r="F245" s="1673"/>
      <c r="G245" s="1673"/>
      <c r="H245" s="1673"/>
      <c r="I245" s="1673"/>
      <c r="J245" s="1673"/>
      <c r="K245" s="1678">
        <f>D245</f>
        <v>14875</v>
      </c>
      <c r="L245" s="1586">
        <v>11798</v>
      </c>
    </row>
    <row r="246" spans="1:12" x14ac:dyDescent="0.2">
      <c r="A246" s="1274" t="s">
        <v>813</v>
      </c>
      <c r="B246" s="503">
        <v>2320</v>
      </c>
      <c r="C246" s="1673"/>
      <c r="D246" s="1573">
        <v>2426</v>
      </c>
      <c r="E246" s="1673"/>
      <c r="F246" s="1673"/>
      <c r="G246" s="1673"/>
      <c r="H246" s="1673"/>
      <c r="I246" s="1673"/>
      <c r="J246" s="1673"/>
      <c r="K246" s="1678">
        <f t="shared" ref="K246:K256" si="21">D246</f>
        <v>2426</v>
      </c>
      <c r="L246" s="1573">
        <v>2407</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1780</v>
      </c>
      <c r="B249" s="557" t="s">
        <v>280</v>
      </c>
      <c r="C249" s="1673"/>
      <c r="D249" s="1579"/>
      <c r="E249" s="1673"/>
      <c r="F249" s="1673"/>
      <c r="G249" s="1673"/>
      <c r="H249" s="1673"/>
      <c r="I249" s="1673"/>
      <c r="J249" s="1673"/>
      <c r="K249" s="1678">
        <f t="shared" si="21"/>
        <v>0</v>
      </c>
      <c r="L249" s="1573">
        <v>0</v>
      </c>
    </row>
    <row r="250" spans="1:12" x14ac:dyDescent="0.2">
      <c r="A250" s="1275" t="s">
        <v>1781</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17301</v>
      </c>
      <c r="E257" s="1673"/>
      <c r="F257" s="1673"/>
      <c r="G257" s="1673"/>
      <c r="H257" s="1673"/>
      <c r="I257" s="1673"/>
      <c r="J257" s="1673"/>
      <c r="K257" s="1674">
        <f>SUM(K245:K256)</f>
        <v>17301</v>
      </c>
      <c r="L257" s="1674">
        <f>SUM(L245:L256)</f>
        <v>14205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81230</v>
      </c>
      <c r="E259" s="1673"/>
      <c r="F259" s="1673"/>
      <c r="G259" s="1673"/>
      <c r="H259" s="1673"/>
      <c r="I259" s="1673"/>
      <c r="J259" s="1673"/>
      <c r="K259" s="1678">
        <f>D259</f>
        <v>81230</v>
      </c>
      <c r="L259" s="1586">
        <v>89637</v>
      </c>
    </row>
    <row r="260" spans="1:14" s="493" customFormat="1" x14ac:dyDescent="0.2">
      <c r="A260" s="1292" t="s">
        <v>1779</v>
      </c>
      <c r="B260" s="512">
        <v>2490</v>
      </c>
      <c r="C260" s="1673"/>
      <c r="D260" s="1573">
        <v>29312</v>
      </c>
      <c r="E260" s="1673"/>
      <c r="F260" s="1673"/>
      <c r="G260" s="1673"/>
      <c r="H260" s="1673"/>
      <c r="I260" s="1673"/>
      <c r="J260" s="1673"/>
      <c r="K260" s="1678">
        <f>D260</f>
        <v>29312</v>
      </c>
      <c r="L260" s="1573">
        <v>30462</v>
      </c>
      <c r="M260" s="205"/>
      <c r="N260" s="205"/>
    </row>
    <row r="261" spans="1:14" ht="12.75" customHeight="1" thickBot="1" x14ac:dyDescent="0.25">
      <c r="A261" s="1394" t="s">
        <v>261</v>
      </c>
      <c r="B261" s="1399" t="s">
        <v>34</v>
      </c>
      <c r="C261" s="1673"/>
      <c r="D261" s="1674">
        <f>SUM(D259:D260)</f>
        <v>110542</v>
      </c>
      <c r="E261" s="1673"/>
      <c r="F261" s="1673"/>
      <c r="G261" s="1673"/>
      <c r="H261" s="1673"/>
      <c r="I261" s="1673"/>
      <c r="J261" s="1673"/>
      <c r="K261" s="1674">
        <f>SUM(K259:K260)</f>
        <v>110542</v>
      </c>
      <c r="L261" s="1674">
        <f>SUM(L259:L260)</f>
        <v>120099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2220</v>
      </c>
      <c r="E263" s="1673"/>
      <c r="F263" s="1673"/>
      <c r="G263" s="1673"/>
      <c r="H263" s="1673"/>
      <c r="I263" s="1673"/>
      <c r="J263" s="1673"/>
      <c r="K263" s="1678">
        <f>D263</f>
        <v>2220</v>
      </c>
      <c r="L263" s="1586">
        <v>2211</v>
      </c>
    </row>
    <row r="264" spans="1:14" x14ac:dyDescent="0.2">
      <c r="A264" s="1274" t="s">
        <v>460</v>
      </c>
      <c r="B264" s="559">
        <v>2520</v>
      </c>
      <c r="C264" s="1673"/>
      <c r="D264" s="1573">
        <v>47859</v>
      </c>
      <c r="E264" s="1673"/>
      <c r="F264" s="1673"/>
      <c r="G264" s="1673"/>
      <c r="H264" s="1673"/>
      <c r="I264" s="1673"/>
      <c r="J264" s="1673"/>
      <c r="K264" s="1678">
        <f t="shared" ref="K264:K269" si="22">D264</f>
        <v>47859</v>
      </c>
      <c r="L264" s="1573">
        <v>55296</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439937</v>
      </c>
      <c r="E266" s="1673"/>
      <c r="F266" s="1673"/>
      <c r="G266" s="1673"/>
      <c r="H266" s="1673"/>
      <c r="I266" s="1673"/>
      <c r="J266" s="1673"/>
      <c r="K266" s="1678">
        <f t="shared" si="22"/>
        <v>439937</v>
      </c>
      <c r="L266" s="1573">
        <v>453553</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v>7193</v>
      </c>
      <c r="E269" s="1673"/>
      <c r="F269" s="1673"/>
      <c r="G269" s="1673"/>
      <c r="H269" s="1673"/>
      <c r="I269" s="1673"/>
      <c r="J269" s="1673"/>
      <c r="K269" s="1678">
        <f t="shared" si="22"/>
        <v>7193</v>
      </c>
      <c r="L269" s="1573">
        <v>7326</v>
      </c>
    </row>
    <row r="270" spans="1:14" ht="12.75" customHeight="1" thickBot="1" x14ac:dyDescent="0.25">
      <c r="A270" s="1380" t="s">
        <v>714</v>
      </c>
      <c r="B270" s="1383" t="s">
        <v>35</v>
      </c>
      <c r="C270" s="1673"/>
      <c r="D270" s="1674">
        <f>SUM(D263:D269)</f>
        <v>497209</v>
      </c>
      <c r="E270" s="1673"/>
      <c r="F270" s="1673"/>
      <c r="G270" s="1673"/>
      <c r="H270" s="1673"/>
      <c r="I270" s="1673"/>
      <c r="J270" s="1673"/>
      <c r="K270" s="1674">
        <f>SUM(K263:K269)</f>
        <v>497209</v>
      </c>
      <c r="L270" s="1674">
        <f>SUM(L263:L269)</f>
        <v>518386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v>26595</v>
      </c>
      <c r="E274" s="1673"/>
      <c r="F274" s="1673"/>
      <c r="G274" s="1673"/>
      <c r="H274" s="1673"/>
      <c r="I274" s="1673"/>
      <c r="J274" s="1673"/>
      <c r="K274" s="1678">
        <f>D274</f>
        <v>26595</v>
      </c>
      <c r="L274" s="1573">
        <v>27543</v>
      </c>
    </row>
    <row r="275" spans="1:12" x14ac:dyDescent="0.2">
      <c r="A275" s="1274" t="s">
        <v>400</v>
      </c>
      <c r="B275" s="503">
        <v>2640</v>
      </c>
      <c r="C275" s="1673"/>
      <c r="D275" s="1573">
        <v>35437</v>
      </c>
      <c r="E275" s="1673"/>
      <c r="F275" s="1673"/>
      <c r="G275" s="1673"/>
      <c r="H275" s="1673"/>
      <c r="I275" s="1673"/>
      <c r="J275" s="1673"/>
      <c r="K275" s="1678">
        <f>D275</f>
        <v>35437</v>
      </c>
      <c r="L275" s="1573">
        <v>36493</v>
      </c>
    </row>
    <row r="276" spans="1:12" x14ac:dyDescent="0.2">
      <c r="A276" s="1274" t="s">
        <v>401</v>
      </c>
      <c r="B276" s="503">
        <v>2660</v>
      </c>
      <c r="C276" s="1673"/>
      <c r="D276" s="1573">
        <v>183984</v>
      </c>
      <c r="E276" s="1673"/>
      <c r="F276" s="1673"/>
      <c r="G276" s="1673"/>
      <c r="H276" s="1673"/>
      <c r="I276" s="1673"/>
      <c r="J276" s="1673"/>
      <c r="K276" s="1678">
        <f>D276</f>
        <v>183984</v>
      </c>
      <c r="L276" s="1573">
        <v>185532</v>
      </c>
    </row>
    <row r="277" spans="1:12" ht="12.75" customHeight="1" thickBot="1" x14ac:dyDescent="0.25">
      <c r="A277" s="1393" t="s">
        <v>37</v>
      </c>
      <c r="B277" s="1381" t="s">
        <v>36</v>
      </c>
      <c r="C277" s="1673"/>
      <c r="D277" s="1674">
        <f>SUM(D272:D276)</f>
        <v>246016</v>
      </c>
      <c r="E277" s="1673"/>
      <c r="F277" s="1673"/>
      <c r="G277" s="1673"/>
      <c r="H277" s="1673"/>
      <c r="I277" s="1673"/>
      <c r="J277" s="1673"/>
      <c r="K277" s="1674">
        <f>SUM(K272:K276)</f>
        <v>246016</v>
      </c>
      <c r="L277" s="1674">
        <f>SUM(L272:L276)</f>
        <v>249568</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1170321</v>
      </c>
      <c r="E279" s="1673"/>
      <c r="F279" s="1673"/>
      <c r="G279" s="1673"/>
      <c r="H279" s="1673"/>
      <c r="I279" s="1673"/>
      <c r="J279" s="1673"/>
      <c r="K279" s="1681">
        <f>SUM(K238,K243,K257,K261,K270,K277,K278)</f>
        <v>1170321</v>
      </c>
      <c r="L279" s="1681">
        <f>SUM(L238,L243,L257,L261,L270,L277,L278)</f>
        <v>1193281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1814</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5" t="s">
        <v>502</v>
      </c>
      <c r="B295" s="2326"/>
      <c r="C295" s="1673"/>
      <c r="D295" s="1674">
        <f>SUM(D229,D279,D280,D285)</f>
        <v>2352507</v>
      </c>
      <c r="E295" s="1673"/>
      <c r="F295" s="1673"/>
      <c r="G295" s="1673"/>
      <c r="H295" s="1674">
        <f>H293</f>
        <v>0</v>
      </c>
      <c r="I295" s="1673"/>
      <c r="J295" s="1673"/>
      <c r="K295" s="1674">
        <f>SUM(K229,K279,K280,K285,K293,K294)</f>
        <v>2352507</v>
      </c>
      <c r="L295" s="1674">
        <f>SUM(L229,L279,L280,L285,L293,L294)</f>
        <v>2402076</v>
      </c>
    </row>
    <row r="296" spans="1:14" ht="13.5" thickTop="1" x14ac:dyDescent="0.2">
      <c r="A296" s="2307" t="s">
        <v>989</v>
      </c>
      <c r="B296" s="2308"/>
      <c r="C296" s="1673"/>
      <c r="D296" s="1675"/>
      <c r="E296" s="1673"/>
      <c r="F296" s="1673"/>
      <c r="G296" s="1673"/>
      <c r="H296" s="1707"/>
      <c r="I296" s="1673"/>
      <c r="J296" s="1673"/>
      <c r="K296" s="1689">
        <f>'Revenues 9-14'!G268-'Expenditures 15-22'!K295</f>
        <v>-398372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7" t="s">
        <v>142</v>
      </c>
      <c r="B298" s="231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905915</v>
      </c>
      <c r="F301" s="1573"/>
      <c r="G301" s="1573">
        <v>15709249</v>
      </c>
      <c r="H301" s="1573"/>
      <c r="I301" s="1574">
        <v>93977</v>
      </c>
      <c r="J301" s="1574"/>
      <c r="K301" s="1672">
        <f>SUM(C301:J301)</f>
        <v>16709141</v>
      </c>
      <c r="L301" s="1574">
        <v>13000000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905915</v>
      </c>
      <c r="F303" s="1681">
        <f t="shared" si="23"/>
        <v>0</v>
      </c>
      <c r="G303" s="1681">
        <f t="shared" si="23"/>
        <v>15709249</v>
      </c>
      <c r="H303" s="1681">
        <f t="shared" si="23"/>
        <v>0</v>
      </c>
      <c r="I303" s="1681">
        <f t="shared" si="23"/>
        <v>93977</v>
      </c>
      <c r="J303" s="1681">
        <f t="shared" si="23"/>
        <v>0</v>
      </c>
      <c r="K303" s="1681">
        <f t="shared" si="23"/>
        <v>16709141</v>
      </c>
      <c r="L303" s="1681">
        <f t="shared" si="23"/>
        <v>13000000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2" t="s">
        <v>275</v>
      </c>
      <c r="B312" s="2323"/>
      <c r="C312" s="1674">
        <f>SUM(C303)</f>
        <v>0</v>
      </c>
      <c r="D312" s="1674">
        <f>SUM(D303)</f>
        <v>0</v>
      </c>
      <c r="E312" s="1674">
        <f>SUM(E303,E310)</f>
        <v>905915</v>
      </c>
      <c r="F312" s="1674">
        <f>SUM(F303)</f>
        <v>0</v>
      </c>
      <c r="G312" s="1674">
        <f>SUM(G303)</f>
        <v>15709249</v>
      </c>
      <c r="H312" s="1674">
        <f>SUM(H303,H310)</f>
        <v>0</v>
      </c>
      <c r="I312" s="1674">
        <f>SUM(I303)</f>
        <v>93977</v>
      </c>
      <c r="J312" s="1674">
        <f>SUM(J303)</f>
        <v>0</v>
      </c>
      <c r="K312" s="1674">
        <f>SUM(K303,K310,K311)</f>
        <v>16709141</v>
      </c>
      <c r="L312" s="1674">
        <f>SUM(L303,L310,L311)</f>
        <v>13000000</v>
      </c>
      <c r="M312" s="539"/>
      <c r="N312" s="539"/>
    </row>
    <row r="313" spans="1:14" ht="13.5" thickTop="1" x14ac:dyDescent="0.2">
      <c r="A313" s="2318" t="s">
        <v>989</v>
      </c>
      <c r="B313" s="2319"/>
      <c r="C313" s="1677"/>
      <c r="D313" s="1677"/>
      <c r="E313" s="1677"/>
      <c r="F313" s="1677"/>
      <c r="G313" s="1677"/>
      <c r="H313" s="1677"/>
      <c r="I313" s="1677"/>
      <c r="J313" s="1677"/>
      <c r="K313" s="1696">
        <f>'Revenues 9-14'!H268-'Expenditures 15-22'!K312</f>
        <v>-7312349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1" t="s">
        <v>148</v>
      </c>
      <c r="B315" s="233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3" t="s">
        <v>892</v>
      </c>
      <c r="B317" s="233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1780</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1816</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320" t="s">
        <v>989</v>
      </c>
      <c r="B343" s="232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0" t="s">
        <v>960</v>
      </c>
      <c r="B345" s="231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v>0</v>
      </c>
    </row>
    <row r="355" spans="1:14" ht="12.75" customHeight="1" x14ac:dyDescent="0.2">
      <c r="A355" s="1283" t="s">
        <v>1823</v>
      </c>
      <c r="B355" s="562" t="s">
        <v>1816</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07" t="s">
        <v>989</v>
      </c>
      <c r="B368" s="230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6ce3111e-7420-4802-b50a-75d4e9a0b980"/>
    <ds:schemaRef ds:uri="http://schemas.microsoft.com/office/2006/documentManagement/types"/>
    <ds:schemaRef ds:uri="d21dc803-237d-4c68-8692-8d731fd29118"/>
    <ds:schemaRef ds:uri="http://purl.org/dc/dcmitype/"/>
    <ds:schemaRef ds:uri="http://schemas.openxmlformats.org/package/2006/metadata/core-properties"/>
    <ds:schemaRef ds:uri="http://purl.org/dc/terms/"/>
    <ds:schemaRef ds:uri="http://purl.org/dc/elements/1.1/"/>
    <ds:schemaRef ds:uri="http://www.w3.org/XML/1998/namespace"/>
    <ds:schemaRef ds:uri="http://schemas.microsoft.com/office/infopath/2007/PartnerControls"/>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SEFA-1</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2020-12-03T00:09:03Z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