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0523151-50BB-4B61-A7E9-63B3A7F9233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L357" i="29" l="1"/>
  <c r="L137" i="29"/>
  <c r="L334" i="29"/>
  <c r="L160" i="29"/>
  <c r="L285" i="29"/>
  <c r="D14"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L127" i="29"/>
  <c r="L129" i="29" s="1"/>
  <c r="L139" i="29"/>
  <c r="L149" i="29"/>
  <c r="K185"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B5340" i="106"/>
  <c r="D5340"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B5519" i="106"/>
  <c r="D5519"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3" i="127"/>
  <c r="B64"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L42" i="29"/>
  <c r="L47" i="29"/>
  <c r="L53" i="29"/>
  <c r="L57" i="29"/>
  <c r="L65" i="29"/>
  <c r="L72" i="29"/>
  <c r="L84" i="29"/>
  <c r="L92" i="29"/>
  <c r="L100" i="29"/>
  <c r="L110" i="29"/>
  <c r="L112" i="29" s="1"/>
  <c r="L147" i="29"/>
  <c r="L168" i="29"/>
  <c r="L172" i="29" s="1"/>
  <c r="L184" i="29"/>
  <c r="L194" i="29"/>
  <c r="L196" i="29" s="1"/>
  <c r="L204" i="29"/>
  <c r="L208" i="29" s="1"/>
  <c r="L229" i="29"/>
  <c r="L238" i="29"/>
  <c r="L243" i="29"/>
  <c r="L257" i="29"/>
  <c r="L261" i="29"/>
  <c r="L270" i="29"/>
  <c r="L277" i="29"/>
  <c r="L293" i="29"/>
  <c r="L310" i="29"/>
  <c r="L330" i="29"/>
  <c r="L340" i="29"/>
  <c r="L350" i="29"/>
  <c r="L352" i="29" s="1"/>
  <c r="L362" i="29"/>
  <c r="L365" i="29" s="1"/>
  <c r="D7" i="118"/>
  <c r="D8" i="118"/>
  <c r="D9" i="118"/>
  <c r="H33" i="118"/>
  <c r="D22" i="37"/>
  <c r="H28" i="118" l="1"/>
  <c r="D24" i="37"/>
  <c r="B4270" i="106" s="1"/>
  <c r="D4270" i="106" s="1"/>
  <c r="L22" i="37"/>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L367" i="29"/>
  <c r="L342" i="29"/>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I49" i="8"/>
  <c r="B1867" i="106"/>
  <c r="D1867" i="106" s="1"/>
  <c r="F15" i="8"/>
  <c r="L12" i="11"/>
  <c r="B2059" i="106" s="1"/>
  <c r="D2059" i="106" s="1"/>
  <c r="L8" i="11"/>
  <c r="B2057" i="106" s="1"/>
  <c r="D2057" i="106" s="1"/>
  <c r="G24" i="12"/>
  <c r="L151" i="29"/>
  <c r="J24" i="12"/>
  <c r="B7730" i="106"/>
  <c r="D7730" i="106" s="1"/>
  <c r="B173" i="106" l="1"/>
  <c r="D173" i="106" s="1"/>
  <c r="D40" i="36"/>
  <c r="B3427" i="106"/>
  <c r="D3427" i="106" s="1"/>
  <c r="B3519" i="106"/>
  <c r="D3519" i="106" s="1"/>
  <c r="B97" i="106"/>
  <c r="D97" i="106" s="1"/>
  <c r="B65" i="106"/>
  <c r="D65" i="106" s="1"/>
  <c r="B126" i="106"/>
  <c r="D126" i="106" s="1"/>
  <c r="B145" i="106"/>
  <c r="D145" i="106" s="1"/>
  <c r="F62" i="34"/>
  <c r="B7833" i="106" s="1"/>
  <c r="D7833" i="106" s="1"/>
  <c r="B2836" i="106"/>
  <c r="D2836" i="106" s="1"/>
  <c r="K28" i="118"/>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5884" i="106" l="1"/>
  <c r="D5884" i="106" s="1"/>
  <c r="B119" i="106"/>
  <c r="D119" i="106" s="1"/>
  <c r="B3548" i="106"/>
  <c r="D3548" i="106" s="1"/>
  <c r="K13" i="3"/>
  <c r="B3552" i="106" s="1"/>
  <c r="D3552" i="106" s="1"/>
  <c r="B7660" i="106"/>
  <c r="D7660" i="106" s="1"/>
  <c r="B6358" i="106"/>
  <c r="D6358" i="106" s="1"/>
  <c r="B3583" i="106"/>
  <c r="D3583" i="106" s="1"/>
  <c r="B5996" i="106"/>
  <c r="D5996" i="106" s="1"/>
  <c r="K108" i="5"/>
  <c r="B5999" i="106" s="1"/>
  <c r="D5999" i="106" s="1"/>
  <c r="B5591" i="106"/>
  <c r="D5591" i="106" s="1"/>
  <c r="B2757" i="106"/>
  <c r="D2757" i="106" s="1"/>
  <c r="D72" i="36"/>
  <c r="B6144" i="106"/>
  <c r="D6144" i="106" s="1"/>
  <c r="K18" i="4"/>
  <c r="B4135" i="106" s="1"/>
  <c r="D4135" i="106" s="1"/>
  <c r="B4121" i="106"/>
  <c r="D4121" i="106" s="1"/>
  <c r="B14" i="7"/>
  <c r="B1754" i="106" s="1"/>
  <c r="D1754" i="106" s="1"/>
  <c r="H5" i="12"/>
  <c r="B5063" i="106"/>
  <c r="D5063" i="106" s="1"/>
  <c r="B5152" i="106"/>
  <c r="D5152" i="106" s="1"/>
  <c r="B6354" i="106"/>
  <c r="D6354" i="106" s="1"/>
  <c r="B7686" i="106"/>
  <c r="D7686" i="106" s="1"/>
  <c r="B6251" i="106"/>
  <c r="D6251" i="106" s="1"/>
  <c r="J67" i="5"/>
  <c r="B6318" i="106" s="1"/>
  <c r="D6318" i="106" s="1"/>
  <c r="B6316" i="106"/>
  <c r="D6316" i="106" s="1"/>
  <c r="B5115" i="106"/>
  <c r="D5115" i="106" s="1"/>
  <c r="F103" i="34"/>
  <c r="B7840" i="106" s="1"/>
  <c r="D7840" i="106" s="1"/>
  <c r="B7806" i="106"/>
  <c r="D7806" i="106" s="1"/>
  <c r="B5074" i="106"/>
  <c r="D5074" i="106" s="1"/>
  <c r="B6106" i="106"/>
  <c r="D6106" i="106" s="1"/>
  <c r="B4353" i="106"/>
  <c r="D4353" i="106" s="1"/>
  <c r="B3585" i="106"/>
  <c r="D3585" i="106" s="1"/>
  <c r="B3531" i="106"/>
  <c r="D3531" i="106" s="1"/>
  <c r="B7669" i="106"/>
  <c r="D7669" i="106" s="1"/>
  <c r="B130" i="106"/>
  <c r="D130" i="106" s="1"/>
  <c r="B6181" i="106"/>
  <c r="D6181" i="106" s="1"/>
  <c r="E13" i="3"/>
  <c r="B131" i="106" s="1"/>
  <c r="D131" i="106" s="1"/>
  <c r="B3417" i="106"/>
  <c r="D3417" i="106" s="1"/>
  <c r="D36" i="36"/>
  <c r="B5917" i="106"/>
  <c r="D5917" i="106" s="1"/>
  <c r="B5075" i="106"/>
  <c r="D5075" i="106" s="1"/>
  <c r="B5350" i="106"/>
  <c r="D5350" i="106" s="1"/>
  <c r="B6321" i="106"/>
  <c r="D6321" i="106" s="1"/>
  <c r="B4312" i="106"/>
  <c r="D4312" i="106" s="1"/>
  <c r="I48" i="4"/>
  <c r="B2106" i="106" s="1"/>
  <c r="D2106" i="106" s="1"/>
  <c r="B321" i="106"/>
  <c r="D321" i="106" s="1"/>
  <c r="B6345" i="106"/>
  <c r="D6345" i="106" s="1"/>
  <c r="B3490" i="106"/>
  <c r="D3490" i="106" s="1"/>
  <c r="B5014" i="106"/>
  <c r="D5014" i="106" s="1"/>
  <c r="B5604" i="106"/>
  <c r="D5604" i="106" s="1"/>
  <c r="B6173" i="106"/>
  <c r="D6173" i="106" s="1"/>
  <c r="B7728" i="106"/>
  <c r="D7728" i="106" s="1"/>
  <c r="B7043" i="106"/>
  <c r="D7043" i="106" s="1"/>
  <c r="B3493" i="106"/>
  <c r="D3493" i="106" s="1"/>
  <c r="B6162" i="106"/>
  <c r="D6162" i="106" s="1"/>
  <c r="B3080" i="106"/>
  <c r="D3080" i="106" s="1"/>
  <c r="B324" i="106"/>
  <c r="D324" i="106" s="1"/>
  <c r="B3083" i="106"/>
  <c r="D3083" i="106" s="1"/>
  <c r="B6092" i="106"/>
  <c r="D6092" i="106" s="1"/>
  <c r="B2794" i="106"/>
  <c r="D2794" i="106" s="1"/>
  <c r="B5352" i="106"/>
  <c r="D5352" i="106" s="1"/>
  <c r="B5134" i="106"/>
  <c r="D5134" i="106" s="1"/>
  <c r="B6145" i="106"/>
  <c r="D6145" i="106" s="1"/>
  <c r="B6360" i="106"/>
  <c r="D6360" i="106" s="1"/>
  <c r="B6123" i="106"/>
  <c r="D6123" i="106" s="1"/>
  <c r="B5925" i="106"/>
  <c r="D5925" i="106" s="1"/>
  <c r="B7803" i="106"/>
  <c r="D7803" i="106" s="1"/>
  <c r="I108" i="5"/>
  <c r="B5930" i="106" s="1"/>
  <c r="D5930" i="106" s="1"/>
  <c r="B5927" i="106"/>
  <c r="D5927" i="106" s="1"/>
  <c r="B5346" i="106"/>
  <c r="D5346" i="106" s="1"/>
  <c r="B5561" i="106"/>
  <c r="D5561" i="106" s="1"/>
  <c r="B6188" i="106"/>
  <c r="D6188" i="106" s="1"/>
  <c r="B6336" i="106"/>
  <c r="D6336" i="106" s="1"/>
  <c r="G122" i="5"/>
  <c r="B5748" i="106" s="1"/>
  <c r="D5748" i="106" s="1"/>
  <c r="B5742" i="106"/>
  <c r="D5742" i="106" s="1"/>
  <c r="B6088" i="106"/>
  <c r="D6088" i="106" s="1"/>
  <c r="B166" i="106"/>
  <c r="D166" i="106" s="1"/>
  <c r="B5749" i="106"/>
  <c r="D5749" i="106" s="1"/>
  <c r="G141" i="5"/>
  <c r="B5523" i="106"/>
  <c r="D5523" i="106" s="1"/>
  <c r="B4883" i="106"/>
  <c r="D4883" i="106" s="1"/>
  <c r="C141" i="5"/>
  <c r="B5161" i="106" s="1"/>
  <c r="D5161" i="106" s="1"/>
  <c r="B5148" i="106"/>
  <c r="D5148" i="106" s="1"/>
  <c r="K34" i="3"/>
  <c r="B3565" i="106" s="1"/>
  <c r="D3565" i="106" s="1"/>
  <c r="B6132" i="106"/>
  <c r="D6132" i="106" s="1"/>
  <c r="B5875" i="106"/>
  <c r="D5875" i="106" s="1"/>
  <c r="B5743" i="106"/>
  <c r="D5743" i="106" s="1"/>
  <c r="B6235" i="106"/>
  <c r="D6235" i="106" s="1"/>
  <c r="B6110" i="106"/>
  <c r="D6110" i="106" s="1"/>
  <c r="B3581" i="106"/>
  <c r="D3581" i="106" s="1"/>
  <c r="B6258" i="106"/>
  <c r="D6258" i="106" s="1"/>
  <c r="B6244" i="106"/>
  <c r="D6244" i="106" s="1"/>
  <c r="B6168" i="106"/>
  <c r="D6168" i="106" s="1"/>
  <c r="I47" i="4"/>
  <c r="C44" i="4"/>
  <c r="B7748" i="106"/>
  <c r="D7748" i="106" s="1"/>
  <c r="B3259" i="106"/>
  <c r="D3259" i="106" s="1"/>
  <c r="G76" i="4"/>
  <c r="B3260" i="106" s="1"/>
  <c r="D3260" i="106" s="1"/>
  <c r="B6365" i="106"/>
  <c r="D6365" i="106" s="1"/>
  <c r="B5524" i="106"/>
  <c r="D5524" i="106" s="1"/>
  <c r="B5086" i="106"/>
  <c r="D5086" i="106" s="1"/>
  <c r="B5080" i="106"/>
  <c r="D5080" i="106" s="1"/>
  <c r="B6348" i="106"/>
  <c r="D6348" i="106" s="1"/>
  <c r="B206" i="106"/>
  <c r="D206" i="106" s="1"/>
  <c r="B6329" i="106"/>
  <c r="D6329" i="106" s="1"/>
  <c r="B6241" i="106"/>
  <c r="D6241" i="106" s="1"/>
  <c r="B134" i="106"/>
  <c r="D134" i="106" s="1"/>
  <c r="B6355" i="106"/>
  <c r="D6355" i="106" s="1"/>
  <c r="B5994" i="106"/>
  <c r="D5994" i="106" s="1"/>
  <c r="B6320" i="106"/>
  <c r="D6320" i="106" s="1"/>
  <c r="B6140" i="106"/>
  <c r="D6140" i="106" s="1"/>
  <c r="B6171" i="106"/>
  <c r="D6171" i="106" s="1"/>
  <c r="B7679" i="106"/>
  <c r="D7679" i="106" s="1"/>
  <c r="B5089" i="106"/>
  <c r="D5089" i="106" s="1"/>
  <c r="C67" i="5"/>
  <c r="B5090" i="106" s="1"/>
  <c r="D5090" i="106" s="1"/>
  <c r="H51" i="4"/>
  <c r="B3170" i="106" s="1"/>
  <c r="D3170" i="106" s="1"/>
  <c r="B3161" i="106"/>
  <c r="D3161" i="106" s="1"/>
  <c r="B5065" i="106"/>
  <c r="D5065" i="106" s="1"/>
  <c r="B18" i="7"/>
  <c r="B2908" i="106"/>
  <c r="D2908" i="106" s="1"/>
  <c r="B4355" i="106"/>
  <c r="D4355" i="106" s="1"/>
  <c r="B3533" i="106"/>
  <c r="D3533" i="106" s="1"/>
  <c r="B6371" i="106"/>
  <c r="D6371" i="106" s="1"/>
  <c r="B6373" i="106"/>
  <c r="D6373" i="106" s="1"/>
  <c r="B6086" i="106"/>
  <c r="D6086" i="106" s="1"/>
  <c r="H13" i="3"/>
  <c r="B203" i="106" s="1"/>
  <c r="D203" i="106" s="1"/>
  <c r="B7659" i="106"/>
  <c r="D7659" i="106" s="1"/>
  <c r="B6361" i="106"/>
  <c r="D6361" i="106" s="1"/>
  <c r="B6170" i="106"/>
  <c r="D6170" i="106" s="1"/>
  <c r="B5351" i="106"/>
  <c r="D5351" i="106" s="1"/>
  <c r="B5079" i="106"/>
  <c r="D5079" i="106" s="1"/>
  <c r="B5119" i="106"/>
  <c r="D5119" i="106" s="1"/>
  <c r="B6189" i="106"/>
  <c r="D6189" i="106" s="1"/>
  <c r="B5153" i="106"/>
  <c r="D5153" i="106" s="1"/>
  <c r="F24" i="34"/>
  <c r="B5574" i="106"/>
  <c r="D5574" i="106" s="1"/>
  <c r="B6375" i="106"/>
  <c r="D6375" i="106" s="1"/>
  <c r="B86" i="106"/>
  <c r="D86" i="106" s="1"/>
  <c r="E76" i="4"/>
  <c r="B3276" i="106" s="1"/>
  <c r="D3276" i="106" s="1"/>
  <c r="B2817" i="106"/>
  <c r="D2817" i="106" s="1"/>
  <c r="B5081" i="106"/>
  <c r="D5081" i="106" s="1"/>
  <c r="B2763" i="106"/>
  <c r="D2763" i="106" s="1"/>
  <c r="B3549" i="106"/>
  <c r="D3549" i="106" s="1"/>
  <c r="B6319" i="106"/>
  <c r="D6319" i="106" s="1"/>
  <c r="J108" i="5"/>
  <c r="B6351" i="106" s="1"/>
  <c r="D6351" i="106" s="1"/>
  <c r="B6120" i="106"/>
  <c r="D6120" i="106" s="1"/>
  <c r="B4876" i="106"/>
  <c r="D4876" i="106" s="1"/>
  <c r="B2762" i="106"/>
  <c r="D2762" i="106" s="1"/>
  <c r="B6180" i="106"/>
  <c r="D6180" i="106" s="1"/>
  <c r="B6136" i="106"/>
  <c r="D6136" i="106" s="1"/>
  <c r="B88" i="106"/>
  <c r="D88" i="106" s="1"/>
  <c r="B6291" i="106"/>
  <c r="D6291" i="106" s="1"/>
  <c r="B3492" i="106"/>
  <c r="D3492" i="106" s="1"/>
  <c r="G18" i="4"/>
  <c r="B4176" i="106" s="1"/>
  <c r="D4176" i="106" s="1"/>
  <c r="B4117" i="106"/>
  <c r="D4117" i="106" s="1"/>
  <c r="B5085" i="106"/>
  <c r="D5085" i="106" s="1"/>
  <c r="B5171" i="106"/>
  <c r="D5171" i="106" s="1"/>
  <c r="B7807" i="106"/>
  <c r="D7807" i="106" s="1"/>
  <c r="K18" i="5"/>
  <c r="B5992" i="106" s="1"/>
  <c r="D5992" i="106" s="1"/>
  <c r="B5988" i="106"/>
  <c r="D5988" i="106" s="1"/>
  <c r="B5343" i="106"/>
  <c r="D5343" i="106" s="1"/>
  <c r="D82" i="5"/>
  <c r="B5348" i="106" s="1"/>
  <c r="D5348" i="106" s="1"/>
  <c r="B185" i="106"/>
  <c r="D185" i="106" s="1"/>
  <c r="F97" i="34"/>
  <c r="C93" i="5"/>
  <c r="B5112" i="106" s="1"/>
  <c r="D5112" i="106" s="1"/>
  <c r="B5103" i="106"/>
  <c r="D5103" i="106" s="1"/>
  <c r="B5998" i="106"/>
  <c r="D5998" i="106" s="1"/>
  <c r="B6081" i="106"/>
  <c r="D6081" i="106" s="1"/>
  <c r="K12" i="5"/>
  <c r="B5987" i="106" s="1"/>
  <c r="D5987" i="106" s="1"/>
  <c r="B5985" i="106"/>
  <c r="D5985" i="106" s="1"/>
  <c r="B12" i="7"/>
  <c r="B6149" i="106"/>
  <c r="D6149" i="106" s="1"/>
  <c r="B6312" i="106"/>
  <c r="D6312" i="106" s="1"/>
  <c r="F88" i="34"/>
  <c r="B7764" i="106"/>
  <c r="D7764" i="106" s="1"/>
  <c r="F94" i="34"/>
  <c r="B3551" i="106"/>
  <c r="D3551" i="106" s="1"/>
  <c r="B2769" i="106"/>
  <c r="D2769" i="106" s="1"/>
  <c r="B6257" i="106"/>
  <c r="D6257" i="106" s="1"/>
  <c r="B7655" i="106"/>
  <c r="D7655" i="106" s="1"/>
  <c r="B5101" i="106"/>
  <c r="D5101" i="106" s="1"/>
  <c r="B5528" i="106"/>
  <c r="D5528" i="106" s="1"/>
  <c r="E122" i="5"/>
  <c r="B6150" i="106"/>
  <c r="D6150" i="106" s="1"/>
  <c r="B6001" i="106"/>
  <c r="D6001" i="106" s="1"/>
  <c r="B6256" i="106"/>
  <c r="D6256" i="106" s="1"/>
  <c r="B6156" i="106"/>
  <c r="D6156" i="106" s="1"/>
  <c r="B5726" i="106"/>
  <c r="D5726" i="106" s="1"/>
  <c r="G18" i="5"/>
  <c r="B5730" i="106" s="1"/>
  <c r="D5730" i="106" s="1"/>
  <c r="B6247" i="106"/>
  <c r="D6247" i="106" s="1"/>
  <c r="C145" i="5"/>
  <c r="B5163" i="106"/>
  <c r="D5163" i="106" s="1"/>
  <c r="B6364" i="106"/>
  <c r="D6364" i="106" s="1"/>
  <c r="B7652" i="106"/>
  <c r="D7652" i="106" s="1"/>
  <c r="B5993" i="106"/>
  <c r="D5993" i="106" s="1"/>
  <c r="K67" i="5"/>
  <c r="B5995" i="106" s="1"/>
  <c r="D5995" i="106" s="1"/>
  <c r="B7045" i="106"/>
  <c r="D7045" i="106" s="1"/>
  <c r="B3578" i="106"/>
  <c r="D3578" i="106" s="1"/>
  <c r="B6250" i="106"/>
  <c r="D6250" i="106" s="1"/>
  <c r="H41" i="4"/>
  <c r="B7667" i="106"/>
  <c r="D7667" i="106" s="1"/>
  <c r="B4878" i="106"/>
  <c r="D4878" i="106" s="1"/>
  <c r="K52" i="4"/>
  <c r="B3698" i="106"/>
  <c r="D3698" i="106" s="1"/>
  <c r="B76" i="106"/>
  <c r="D76" i="106" s="1"/>
  <c r="B6300" i="106"/>
  <c r="D6300" i="106" s="1"/>
  <c r="F92" i="34"/>
  <c r="B5573" i="106"/>
  <c r="D5573" i="106" s="1"/>
  <c r="F27" i="34"/>
  <c r="B5578" i="106"/>
  <c r="D5578" i="106" s="1"/>
  <c r="B6338" i="106"/>
  <c r="D6338" i="106" s="1"/>
  <c r="B6237" i="106"/>
  <c r="D6237" i="106" s="1"/>
  <c r="B6376" i="106"/>
  <c r="D6376" i="106" s="1"/>
  <c r="B5335" i="106"/>
  <c r="D5335" i="106" s="1"/>
  <c r="D18" i="5"/>
  <c r="B5339" i="106" s="1"/>
  <c r="D5339" i="106" s="1"/>
  <c r="B3580" i="106"/>
  <c r="D3580" i="106" s="1"/>
  <c r="B5113" i="106"/>
  <c r="D5113" i="106" s="1"/>
  <c r="C108" i="5"/>
  <c r="B5120" i="106" s="1"/>
  <c r="D5120" i="106" s="1"/>
  <c r="F102" i="34"/>
  <c r="B7839" i="106" s="1"/>
  <c r="D7839" i="106" s="1"/>
  <c r="B15" i="7"/>
  <c r="B5332" i="106"/>
  <c r="D5332" i="106" s="1"/>
  <c r="D38" i="36"/>
  <c r="B3422" i="106"/>
  <c r="D3422" i="106" s="1"/>
  <c r="G13" i="3"/>
  <c r="B180" i="106" s="1"/>
  <c r="D180" i="106" s="1"/>
  <c r="B6152" i="106"/>
  <c r="D6152" i="106" s="1"/>
  <c r="B6347" i="106"/>
  <c r="D6347" i="106" s="1"/>
  <c r="B5093" i="106"/>
  <c r="D5093" i="106" s="1"/>
  <c r="B6252" i="106"/>
  <c r="D6252" i="106" s="1"/>
  <c r="B6362" i="106"/>
  <c r="D6362" i="106" s="1"/>
  <c r="B2840" i="106"/>
  <c r="D2840" i="106" s="1"/>
  <c r="B652" i="106"/>
  <c r="D652" i="106" s="1"/>
  <c r="B6246" i="106"/>
  <c r="D6246" i="106" s="1"/>
  <c r="E39" i="4"/>
  <c r="B6287" i="106" s="1"/>
  <c r="D6287" i="106" s="1"/>
  <c r="B6174" i="106"/>
  <c r="D6174" i="106" s="1"/>
  <c r="B5553" i="106"/>
  <c r="D5553" i="106" s="1"/>
  <c r="F12" i="5"/>
  <c r="B7" i="7"/>
  <c r="B1747" i="106" s="1"/>
  <c r="D1747" i="106" s="1"/>
  <c r="B5922" i="106"/>
  <c r="D5922" i="106" s="1"/>
  <c r="B5571" i="106"/>
  <c r="D5571" i="106" s="1"/>
  <c r="F23" i="34"/>
  <c r="B5600" i="106"/>
  <c r="D5600" i="106" s="1"/>
  <c r="F132" i="5"/>
  <c r="B5556" i="106"/>
  <c r="D5556" i="106" s="1"/>
  <c r="B3532" i="106"/>
  <c r="D3532" i="106" s="1"/>
  <c r="B3530" i="106"/>
  <c r="D3530" i="106" s="1"/>
  <c r="B6121" i="106"/>
  <c r="D6121" i="106" s="1"/>
  <c r="B6315" i="106"/>
  <c r="D6315" i="106" s="1"/>
  <c r="F28" i="34"/>
  <c r="B6178" i="106"/>
  <c r="D6178" i="106" s="1"/>
  <c r="B5575" i="106"/>
  <c r="D5575" i="106" s="1"/>
  <c r="F93" i="34"/>
  <c r="B6142" i="106"/>
  <c r="D6142" i="106" s="1"/>
  <c r="B6378" i="106"/>
  <c r="D6378" i="106" s="1"/>
  <c r="B5073" i="106"/>
  <c r="D5073" i="106" s="1"/>
  <c r="B7685" i="106"/>
  <c r="D7685" i="106" s="1"/>
  <c r="B5354" i="106"/>
  <c r="D5354" i="106" s="1"/>
  <c r="B6159" i="106"/>
  <c r="D6159" i="106" s="1"/>
  <c r="B6313" i="106"/>
  <c r="D6313" i="106" s="1"/>
  <c r="F22" i="34"/>
  <c r="B7808" i="106"/>
  <c r="D7808" i="106" s="1"/>
  <c r="B5349" i="106"/>
  <c r="D5349" i="106" s="1"/>
  <c r="D108" i="5"/>
  <c r="B5355" i="106" s="1"/>
  <c r="D5355" i="106" s="1"/>
  <c r="F104" i="34"/>
  <c r="B7841" i="106" s="1"/>
  <c r="D7841" i="106" s="1"/>
  <c r="B4761" i="106"/>
  <c r="D4761" i="106" s="1"/>
  <c r="B7684" i="106"/>
  <c r="D7684" i="106" s="1"/>
  <c r="B5589" i="106"/>
  <c r="D5589" i="106" s="1"/>
  <c r="F114" i="5"/>
  <c r="B5581" i="106"/>
  <c r="D5581" i="106" s="1"/>
  <c r="F67" i="5"/>
  <c r="B5582" i="106" s="1"/>
  <c r="D5582" i="106" s="1"/>
  <c r="B4886" i="106"/>
  <c r="D4886" i="106" s="1"/>
  <c r="B5724" i="106"/>
  <c r="D5724" i="106" s="1"/>
  <c r="B4354" i="106"/>
  <c r="D4354" i="106" s="1"/>
  <c r="B5104" i="106"/>
  <c r="D5104" i="106" s="1"/>
  <c r="B6308" i="106"/>
  <c r="D6308" i="106" s="1"/>
  <c r="B5989" i="106"/>
  <c r="D5989" i="106" s="1"/>
  <c r="B6147" i="106"/>
  <c r="D6147" i="106" s="1"/>
  <c r="B6341" i="106"/>
  <c r="D6341" i="106" s="1"/>
  <c r="B5729" i="106"/>
  <c r="D5729" i="106" s="1"/>
  <c r="B4771" i="106"/>
  <c r="D4771" i="106" s="1"/>
  <c r="B6305" i="106"/>
  <c r="D6305" i="106" s="1"/>
  <c r="B5078" i="106"/>
  <c r="D5078" i="106" s="1"/>
  <c r="B6000" i="106"/>
  <c r="D6000" i="106" s="1"/>
  <c r="K122" i="5"/>
  <c r="B5064" i="106"/>
  <c r="D5064" i="106" s="1"/>
  <c r="B17" i="7"/>
  <c r="B6350" i="106"/>
  <c r="D6350" i="106" s="1"/>
  <c r="F90" i="34"/>
  <c r="B5572" i="106"/>
  <c r="D5572" i="106" s="1"/>
  <c r="B5921" i="106"/>
  <c r="D5921" i="106" s="1"/>
  <c r="B5560" i="106"/>
  <c r="D5560" i="106" s="1"/>
  <c r="B5739" i="106"/>
  <c r="D5739" i="106" s="1"/>
  <c r="B6332" i="106"/>
  <c r="D6332" i="106" s="1"/>
  <c r="B3082" i="106"/>
  <c r="D3082" i="106" s="1"/>
  <c r="B7657" i="106"/>
  <c r="D7657" i="106" s="1"/>
  <c r="B5359" i="106"/>
  <c r="D5359" i="106" s="1"/>
  <c r="B6327" i="106"/>
  <c r="D6327" i="106" s="1"/>
  <c r="B3236" i="106"/>
  <c r="D3236" i="106" s="1"/>
  <c r="B7636" i="106"/>
  <c r="B6166" i="106"/>
  <c r="D6166" i="106" s="1"/>
  <c r="B6083" i="106"/>
  <c r="D6083" i="106" s="1"/>
  <c r="B2887" i="106"/>
  <c r="D2887" i="106" s="1"/>
  <c r="B5358" i="106"/>
  <c r="D5358" i="106" s="1"/>
  <c r="B7658" i="106"/>
  <c r="D7658" i="106" s="1"/>
  <c r="H19" i="118"/>
  <c r="H14" i="118"/>
  <c r="E37" i="4"/>
  <c r="B6285" i="106" s="1"/>
  <c r="D6285" i="106" s="1"/>
  <c r="B6240" i="106"/>
  <c r="D6240" i="106" s="1"/>
  <c r="B6296" i="106"/>
  <c r="D6296" i="106" s="1"/>
  <c r="B6337" i="106"/>
  <c r="D6337" i="106" s="1"/>
  <c r="B6260" i="106"/>
  <c r="D6260" i="106" s="1"/>
  <c r="B5874" i="106"/>
  <c r="D5874" i="106" s="1"/>
  <c r="H18" i="5"/>
  <c r="B5878" i="106" s="1"/>
  <c r="D5878" i="106" s="1"/>
  <c r="B6328" i="106"/>
  <c r="D6328" i="106" s="1"/>
  <c r="B6185" i="106"/>
  <c r="D6185" i="106" s="1"/>
  <c r="B5525" i="106"/>
  <c r="D5525" i="106" s="1"/>
  <c r="B164" i="106"/>
  <c r="D164" i="106" s="1"/>
  <c r="B117" i="106"/>
  <c r="D117" i="106" s="1"/>
  <c r="B4217" i="106"/>
  <c r="D4217" i="106" s="1"/>
  <c r="B4882" i="106"/>
  <c r="D4882" i="106" s="1"/>
  <c r="B6187" i="106"/>
  <c r="D6187" i="106" s="1"/>
  <c r="B5384" i="106"/>
  <c r="D5384" i="106" s="1"/>
  <c r="B5100" i="106"/>
  <c r="D5100" i="106" s="1"/>
  <c r="B3257" i="106"/>
  <c r="D3257" i="106" s="1"/>
  <c r="F86" i="34"/>
  <c r="B5565" i="106"/>
  <c r="D5565" i="106" s="1"/>
  <c r="B5883" i="106"/>
  <c r="D5883" i="106" s="1"/>
  <c r="B7046" i="106"/>
  <c r="D7046" i="106" s="1"/>
  <c r="B5142" i="106"/>
  <c r="D5142" i="106" s="1"/>
  <c r="B5137" i="106"/>
  <c r="D5137" i="106" s="1"/>
  <c r="B5754" i="106"/>
  <c r="D5754" i="106" s="1"/>
  <c r="G145" i="5"/>
  <c r="B5756" i="106" s="1"/>
  <c r="D5756" i="106" s="1"/>
  <c r="B6370" i="106"/>
  <c r="D6370" i="106" s="1"/>
  <c r="B7885" i="106"/>
  <c r="D7885" i="106" s="1"/>
  <c r="B5362" i="106"/>
  <c r="D5362" i="106" s="1"/>
  <c r="B7675" i="106"/>
  <c r="D7675" i="106" s="1"/>
  <c r="B6133" i="106"/>
  <c r="D6133" i="106" s="1"/>
  <c r="B6182" i="106"/>
  <c r="D6182" i="106" s="1"/>
  <c r="B6103" i="106"/>
  <c r="D6103" i="106" s="1"/>
  <c r="B7680" i="106"/>
  <c r="D7680" i="106" s="1"/>
  <c r="B6107" i="106"/>
  <c r="D6107" i="106" s="1"/>
  <c r="B6323" i="106"/>
  <c r="D6323" i="106" s="1"/>
  <c r="B500" i="106"/>
  <c r="D500" i="106" s="1"/>
  <c r="B5991" i="106"/>
  <c r="D5991" i="106" s="1"/>
  <c r="B5338" i="106"/>
  <c r="D5338" i="106" s="1"/>
  <c r="B5738" i="106"/>
  <c r="D5738" i="106" s="1"/>
  <c r="G114" i="5"/>
  <c r="B7753" i="106"/>
  <c r="D7753" i="106" s="1"/>
  <c r="D73" i="36"/>
  <c r="B6290" i="106"/>
  <c r="D6290" i="106" s="1"/>
  <c r="B6164" i="106"/>
  <c r="D6164" i="106" s="1"/>
  <c r="B5997" i="106"/>
  <c r="D5997" i="106" s="1"/>
  <c r="F101" i="34"/>
  <c r="B5111" i="106"/>
  <c r="D5111" i="106" s="1"/>
  <c r="B6146" i="106"/>
  <c r="D6146" i="106" s="1"/>
  <c r="B6349" i="106"/>
  <c r="D6349" i="106" s="1"/>
  <c r="B6255" i="106"/>
  <c r="D6255" i="106" s="1"/>
  <c r="B6219" i="106"/>
  <c r="D6219" i="106" s="1"/>
  <c r="B5344" i="106"/>
  <c r="D5344" i="106" s="1"/>
  <c r="B5512" i="106"/>
  <c r="D5512" i="106" s="1"/>
  <c r="F76" i="4"/>
  <c r="B3254" i="106" s="1"/>
  <c r="D3254" i="106" s="1"/>
  <c r="B5024" i="106"/>
  <c r="D5024" i="106" s="1"/>
  <c r="B7663" i="106"/>
  <c r="D7663" i="106" s="1"/>
  <c r="G44" i="4"/>
  <c r="B7752" i="106"/>
  <c r="D7752" i="106" s="1"/>
  <c r="B5135" i="106"/>
  <c r="D5135" i="106" s="1"/>
  <c r="B6130" i="106"/>
  <c r="D6130" i="106" s="1"/>
  <c r="H34" i="3"/>
  <c r="B211" i="106" s="1"/>
  <c r="D211" i="106" s="1"/>
  <c r="B6334" i="106"/>
  <c r="D6334" i="106" s="1"/>
  <c r="B7805" i="106"/>
  <c r="D7805" i="106" s="1"/>
  <c r="B5345" i="106"/>
  <c r="D5345" i="106" s="1"/>
  <c r="D67" i="5"/>
  <c r="B5342" i="106" s="1"/>
  <c r="D5342" i="106" s="1"/>
  <c r="B5341" i="106"/>
  <c r="D5341" i="106" s="1"/>
  <c r="B6098" i="106"/>
  <c r="D6098" i="106" s="1"/>
  <c r="B5069" i="106"/>
  <c r="D5069" i="106" s="1"/>
  <c r="B3078" i="106"/>
  <c r="D3078" i="106" s="1"/>
  <c r="C132" i="5"/>
  <c r="B5133" i="106"/>
  <c r="D5133" i="106" s="1"/>
  <c r="F98" i="34"/>
  <c r="B5106" i="106"/>
  <c r="D5106" i="106" s="1"/>
  <c r="B6101" i="106"/>
  <c r="D6101" i="106" s="1"/>
  <c r="J13" i="3"/>
  <c r="B6124" i="106" s="1"/>
  <c r="D6124" i="106" s="1"/>
  <c r="B6217" i="106"/>
  <c r="D6217" i="106" s="1"/>
  <c r="D41" i="36"/>
  <c r="B6304" i="106"/>
  <c r="D6304" i="106" s="1"/>
  <c r="B6104" i="106"/>
  <c r="D6104" i="106" s="1"/>
  <c r="B5067" i="106"/>
  <c r="D5067" i="106" s="1"/>
  <c r="C18" i="5"/>
  <c r="B5071" i="106" s="1"/>
  <c r="D5071" i="106" s="1"/>
  <c r="B6157" i="106"/>
  <c r="D6157" i="106" s="1"/>
  <c r="B6335" i="106"/>
  <c r="D6335" i="106" s="1"/>
  <c r="D114" i="5"/>
  <c r="B5357" i="106"/>
  <c r="D5357" i="106" s="1"/>
  <c r="B6366" i="106"/>
  <c r="D6366" i="106" s="1"/>
  <c r="B6165" i="106"/>
  <c r="D6165" i="106" s="1"/>
  <c r="B6310" i="106"/>
  <c r="D6310" i="106" s="1"/>
  <c r="B6167" i="106"/>
  <c r="D6167" i="106" s="1"/>
  <c r="B6143" i="106"/>
  <c r="D6143" i="106" s="1"/>
  <c r="D141" i="5"/>
  <c r="B5383" i="106" s="1"/>
  <c r="D5383" i="106" s="1"/>
  <c r="B5370" i="106"/>
  <c r="D5370" i="106" s="1"/>
  <c r="B5601" i="106"/>
  <c r="D5601" i="106" s="1"/>
  <c r="B6330" i="106"/>
  <c r="D6330" i="106" s="1"/>
  <c r="B6295" i="106"/>
  <c r="D6295" i="106" s="1"/>
  <c r="B6367" i="106"/>
  <c r="D6367" i="106" s="1"/>
  <c r="B7665" i="106"/>
  <c r="D7665" i="106" s="1"/>
  <c r="B5929" i="106"/>
  <c r="D5929" i="106" s="1"/>
  <c r="B6326" i="106"/>
  <c r="D6326" i="106" s="1"/>
  <c r="B6245" i="106"/>
  <c r="D6245" i="106" s="1"/>
  <c r="B3561" i="106"/>
  <c r="D3561" i="106" s="1"/>
  <c r="B4881" i="106"/>
  <c r="D4881" i="106" s="1"/>
  <c r="B5555" i="106"/>
  <c r="D5555" i="106" s="1"/>
  <c r="B5722" i="106"/>
  <c r="D5722" i="106" s="1"/>
  <c r="G12" i="5"/>
  <c r="H122" i="5"/>
  <c r="B7882" i="106"/>
  <c r="D7882" i="106" s="1"/>
  <c r="F34" i="3"/>
  <c r="B169" i="106" s="1"/>
  <c r="D169" i="106" s="1"/>
  <c r="B6128" i="106"/>
  <c r="D6128" i="106" s="1"/>
  <c r="B5091" i="106"/>
  <c r="D5091" i="106" s="1"/>
  <c r="B5723" i="106"/>
  <c r="D5723" i="106" s="1"/>
  <c r="B16" i="7"/>
  <c r="B6151" i="106"/>
  <c r="D6151" i="106" s="1"/>
  <c r="B198" i="106"/>
  <c r="D198" i="106" s="1"/>
  <c r="B6317" i="106"/>
  <c r="D6317" i="106" s="1"/>
  <c r="B6097" i="106"/>
  <c r="D6097" i="106" s="1"/>
  <c r="B5094" i="106"/>
  <c r="D5094" i="106" s="1"/>
  <c r="B5609" i="106"/>
  <c r="D5609" i="106" s="1"/>
  <c r="B6356" i="106"/>
  <c r="D6356" i="106" s="1"/>
  <c r="B5728" i="106"/>
  <c r="D5728" i="106" s="1"/>
  <c r="I34" i="3"/>
  <c r="B2910" i="106" s="1"/>
  <c r="D2910" i="106" s="1"/>
  <c r="B6139" i="106"/>
  <c r="D6139" i="106" s="1"/>
  <c r="B5577" i="106"/>
  <c r="D5577" i="106" s="1"/>
  <c r="F26" i="34"/>
  <c r="B6307" i="106"/>
  <c r="D6307" i="106" s="1"/>
  <c r="B6339" i="106"/>
  <c r="D6339" i="106" s="1"/>
  <c r="K7" i="12"/>
  <c r="B4889" i="106"/>
  <c r="D4889" i="106" s="1"/>
  <c r="F44" i="4"/>
  <c r="B7751" i="106"/>
  <c r="D7751" i="106" s="1"/>
  <c r="B6100" i="106"/>
  <c r="D6100" i="106" s="1"/>
  <c r="B5084" i="106"/>
  <c r="D5084" i="106" s="1"/>
  <c r="F19" i="34"/>
  <c r="B5567" i="106"/>
  <c r="D5567" i="106" s="1"/>
  <c r="B3084" i="106"/>
  <c r="D3084" i="106" s="1"/>
  <c r="B6095" i="106"/>
  <c r="D6095" i="106" s="1"/>
  <c r="F87" i="34"/>
  <c r="B5566" i="106"/>
  <c r="D5566" i="106" s="1"/>
  <c r="E18" i="4"/>
  <c r="B4175" i="106" s="1"/>
  <c r="D4175" i="106" s="1"/>
  <c r="B4115" i="106"/>
  <c r="D4115" i="106" s="1"/>
  <c r="B618" i="106"/>
  <c r="D618" i="106" s="1"/>
  <c r="B5584" i="106"/>
  <c r="D5584" i="106" s="1"/>
  <c r="B104" i="106"/>
  <c r="D104" i="106" s="1"/>
  <c r="B5126" i="106"/>
  <c r="D5126" i="106" s="1"/>
  <c r="C122" i="5"/>
  <c r="B5132" i="106" s="1"/>
  <c r="D5132" i="106" s="1"/>
  <c r="B6141" i="106"/>
  <c r="D6141" i="106" s="1"/>
  <c r="B6084" i="106"/>
  <c r="D6084" i="106" s="1"/>
  <c r="F63" i="5"/>
  <c r="B5579" i="106" s="1"/>
  <c r="D5579" i="106" s="1"/>
  <c r="B5563" i="106"/>
  <c r="D5563" i="106" s="1"/>
  <c r="F85" i="34"/>
  <c r="F99" i="34"/>
  <c r="B5107" i="106"/>
  <c r="D5107" i="106" s="1"/>
  <c r="B6377" i="106"/>
  <c r="D6377" i="106" s="1"/>
  <c r="B6137" i="106"/>
  <c r="D6137" i="106" s="1"/>
  <c r="B7883" i="106"/>
  <c r="D7883" i="106" s="1"/>
  <c r="B7673" i="106"/>
  <c r="D7673" i="106" s="1"/>
  <c r="B6369" i="106"/>
  <c r="D6369" i="106" s="1"/>
  <c r="B6148" i="106"/>
  <c r="D6148" i="106" s="1"/>
  <c r="I18" i="5"/>
  <c r="B5923" i="106" s="1"/>
  <c r="D5923" i="106" s="1"/>
  <c r="B5919" i="106"/>
  <c r="D5919" i="106" s="1"/>
  <c r="B7664" i="106"/>
  <c r="D7664" i="106" s="1"/>
  <c r="J18" i="4"/>
  <c r="B6228" i="106" s="1"/>
  <c r="D6228" i="106" s="1"/>
  <c r="B6224" i="106"/>
  <c r="D6224" i="106" s="1"/>
  <c r="B184" i="106"/>
  <c r="D184" i="106" s="1"/>
  <c r="B6293" i="106"/>
  <c r="D6293" i="106" s="1"/>
  <c r="D34" i="3"/>
  <c r="B122" i="106" s="1"/>
  <c r="D122" i="106" s="1"/>
  <c r="B6126" i="106"/>
  <c r="D6126" i="106" s="1"/>
  <c r="B6131" i="106"/>
  <c r="D6131" i="106" s="1"/>
  <c r="J34" i="3"/>
  <c r="B6191" i="106" s="1"/>
  <c r="D6191" i="106" s="1"/>
  <c r="B3079" i="106"/>
  <c r="D3079" i="106" s="1"/>
  <c r="B5731" i="106"/>
  <c r="D5731" i="106" s="1"/>
  <c r="G67" i="5"/>
  <c r="B5733" i="106" s="1"/>
  <c r="D5733" i="106" s="1"/>
  <c r="B6117" i="106"/>
  <c r="D6117" i="106" s="1"/>
  <c r="B5602" i="106"/>
  <c r="D5602" i="106" s="1"/>
  <c r="B5026" i="106"/>
  <c r="D5026" i="106" s="1"/>
  <c r="B13" i="7"/>
  <c r="B202" i="106"/>
  <c r="D202" i="106" s="1"/>
  <c r="E34" i="3"/>
  <c r="B139" i="106" s="1"/>
  <c r="D139" i="106" s="1"/>
  <c r="B6127" i="106"/>
  <c r="D6127" i="106" s="1"/>
  <c r="B5586" i="106"/>
  <c r="D5586" i="106" s="1"/>
  <c r="B6248" i="106"/>
  <c r="D6248" i="106" s="1"/>
  <c r="E40" i="4"/>
  <c r="B6288" i="106" s="1"/>
  <c r="D6288" i="106" s="1"/>
  <c r="B5920" i="106"/>
  <c r="D5920" i="106" s="1"/>
  <c r="B2760" i="106"/>
  <c r="D2760" i="106" s="1"/>
  <c r="C114" i="5"/>
  <c r="B5122" i="106"/>
  <c r="D5122" i="106" s="1"/>
  <c r="B7676" i="106"/>
  <c r="D7676" i="106" s="1"/>
  <c r="G108" i="5"/>
  <c r="B5737" i="106" s="1"/>
  <c r="D5737" i="106" s="1"/>
  <c r="B5734" i="106"/>
  <c r="D5734" i="106" s="1"/>
  <c r="B5880" i="106"/>
  <c r="D5880" i="106" s="1"/>
  <c r="B7674" i="106"/>
  <c r="D7674" i="106" s="1"/>
  <c r="B5986" i="106"/>
  <c r="D5986" i="106" s="1"/>
  <c r="B619" i="106"/>
  <c r="D619" i="106" s="1"/>
  <c r="B5606" i="106"/>
  <c r="D5606" i="106" s="1"/>
  <c r="B5732" i="106"/>
  <c r="D5732" i="106" s="1"/>
  <c r="I67" i="5"/>
  <c r="B5926" i="106" s="1"/>
  <c r="D5926" i="106" s="1"/>
  <c r="B5924" i="106"/>
  <c r="D5924" i="106" s="1"/>
  <c r="B5569" i="106"/>
  <c r="D5569" i="106" s="1"/>
  <c r="F21" i="34"/>
  <c r="B3234" i="106"/>
  <c r="D3234" i="106" s="1"/>
  <c r="B501" i="106"/>
  <c r="D501" i="106" s="1"/>
  <c r="B5117" i="106"/>
  <c r="D5117" i="106" s="1"/>
  <c r="B7754" i="106"/>
  <c r="D7754" i="106" s="1"/>
  <c r="J44" i="4"/>
  <c r="B6238" i="106" s="1"/>
  <c r="D6238" i="106" s="1"/>
  <c r="B6184" i="106"/>
  <c r="D6184" i="106" s="1"/>
  <c r="B7671" i="106"/>
  <c r="D7671" i="106" s="1"/>
  <c r="B6324" i="106"/>
  <c r="D6324" i="106" s="1"/>
  <c r="B2758" i="106"/>
  <c r="D2758" i="106" s="1"/>
  <c r="B6249" i="106"/>
  <c r="D6249" i="106" s="1"/>
  <c r="B6155" i="106"/>
  <c r="D6155" i="106" s="1"/>
  <c r="B5353" i="106"/>
  <c r="D5353" i="106" s="1"/>
  <c r="B7801" i="106"/>
  <c r="D7801" i="106" s="1"/>
  <c r="B6096" i="106"/>
  <c r="D6096" i="106" s="1"/>
  <c r="F18" i="34"/>
  <c r="B5564" i="106"/>
  <c r="D5564" i="106" s="1"/>
  <c r="B4877" i="106"/>
  <c r="D4877" i="106" s="1"/>
  <c r="B5593" i="106"/>
  <c r="D5593" i="106" s="1"/>
  <c r="F122" i="5"/>
  <c r="B5599" i="106" s="1"/>
  <c r="D5599" i="106" s="1"/>
  <c r="B6309" i="106"/>
  <c r="D6309" i="106" s="1"/>
  <c r="B6325" i="106"/>
  <c r="D6325" i="106" s="1"/>
  <c r="F18" i="4"/>
  <c r="B4133" i="106" s="1"/>
  <c r="D4133" i="106" s="1"/>
  <c r="B4116" i="106"/>
  <c r="D4116" i="106" s="1"/>
  <c r="B5076" i="106"/>
  <c r="D5076" i="106" s="1"/>
  <c r="B4309" i="106"/>
  <c r="D4309" i="106" s="1"/>
  <c r="B5328" i="106"/>
  <c r="D5328" i="106" s="1"/>
  <c r="B5" i="7"/>
  <c r="D12" i="5"/>
  <c r="B5334" i="106" s="1"/>
  <c r="D5334" i="106" s="1"/>
  <c r="B2766" i="106"/>
  <c r="D2766" i="106" s="1"/>
  <c r="B5330" i="106"/>
  <c r="D5330" i="106" s="1"/>
  <c r="B6090" i="106"/>
  <c r="D6090" i="106" s="1"/>
  <c r="B5515" i="106"/>
  <c r="D5515" i="106" s="1"/>
  <c r="B6333" i="106"/>
  <c r="D6333" i="106" s="1"/>
  <c r="B5105" i="106"/>
  <c r="D5105" i="106" s="1"/>
  <c r="B5990" i="106"/>
  <c r="D5990" i="106" s="1"/>
  <c r="B7672" i="106"/>
  <c r="D7672" i="106" s="1"/>
  <c r="B7678" i="106"/>
  <c r="D7678" i="106" s="1"/>
  <c r="B6368" i="106"/>
  <c r="D6368" i="106" s="1"/>
  <c r="B6379" i="106"/>
  <c r="D6379" i="106" s="1"/>
  <c r="B5735" i="106"/>
  <c r="D5735" i="106" s="1"/>
  <c r="B5077" i="106"/>
  <c r="D5077" i="106" s="1"/>
  <c r="B2848" i="106"/>
  <c r="D2848" i="106" s="1"/>
  <c r="H76" i="4"/>
  <c r="B3298" i="106" s="1"/>
  <c r="D3298" i="106" s="1"/>
  <c r="E12" i="5"/>
  <c r="B6" i="7"/>
  <c r="B5509" i="106"/>
  <c r="D5509" i="106" s="1"/>
  <c r="B6113" i="106"/>
  <c r="D6113" i="106" s="1"/>
  <c r="B7044" i="106"/>
  <c r="D7044" i="106" s="1"/>
  <c r="B6322" i="106"/>
  <c r="D6322" i="106" s="1"/>
  <c r="B4228" i="106"/>
  <c r="D4228" i="106" s="1"/>
  <c r="B5368" i="106"/>
  <c r="D5368" i="106" s="1"/>
  <c r="D132" i="5"/>
  <c r="B5594" i="106"/>
  <c r="D5594" i="106" s="1"/>
  <c r="B6161" i="106"/>
  <c r="D6161" i="106" s="1"/>
  <c r="F89" i="34"/>
  <c r="B5570" i="106"/>
  <c r="D5570" i="106" s="1"/>
  <c r="B5347" i="106"/>
  <c r="D5347" i="106" s="1"/>
  <c r="B3253" i="106"/>
  <c r="D3253" i="106" s="1"/>
  <c r="B5727" i="106"/>
  <c r="D5727" i="106" s="1"/>
  <c r="B323" i="106"/>
  <c r="D323" i="106" s="1"/>
  <c r="D68" i="36"/>
  <c r="B7681" i="106"/>
  <c r="D7681" i="106" s="1"/>
  <c r="B5072" i="106"/>
  <c r="D5072" i="106" s="1"/>
  <c r="C40" i="5"/>
  <c r="B5087" i="106" s="1"/>
  <c r="D5087" i="106" s="1"/>
  <c r="B6119" i="106"/>
  <c r="D6119" i="106" s="1"/>
  <c r="J12" i="5"/>
  <c r="B6301" i="106" s="1"/>
  <c r="D6301" i="106" s="1"/>
  <c r="B11" i="7"/>
  <c r="B6298" i="106"/>
  <c r="D6298" i="106" s="1"/>
  <c r="B6243" i="106"/>
  <c r="D6243" i="106" s="1"/>
  <c r="E38" i="4"/>
  <c r="B6286" i="106" s="1"/>
  <c r="D6286" i="106" s="1"/>
  <c r="B5083" i="106"/>
  <c r="D5083" i="106" s="1"/>
  <c r="B5139" i="106"/>
  <c r="D5139" i="106" s="1"/>
  <c r="B3251" i="106"/>
  <c r="D3251" i="106" s="1"/>
  <c r="B5590" i="106"/>
  <c r="D5590" i="106" s="1"/>
  <c r="B3419" i="106"/>
  <c r="D3419" i="106" s="1"/>
  <c r="D37" i="36"/>
  <c r="B6094" i="106"/>
  <c r="D6094" i="106" s="1"/>
  <c r="B6186" i="106"/>
  <c r="D6186" i="106" s="1"/>
  <c r="B6177" i="106"/>
  <c r="D6177" i="106" s="1"/>
  <c r="B5013" i="106"/>
  <c r="D5013" i="106" s="1"/>
  <c r="B5116" i="106"/>
  <c r="D5116" i="106" s="1"/>
  <c r="B7731" i="106"/>
  <c r="D7731" i="106" s="1"/>
  <c r="B7804" i="106"/>
  <c r="D7804" i="106" s="1"/>
  <c r="K53" i="4"/>
  <c r="B3703" i="106" s="1"/>
  <c r="D3703" i="106" s="1"/>
  <c r="B3699" i="106"/>
  <c r="D3699" i="106" s="1"/>
  <c r="B6172" i="106"/>
  <c r="D6172" i="106" s="1"/>
  <c r="B7677" i="106"/>
  <c r="D7677" i="106" s="1"/>
  <c r="B4352" i="106"/>
  <c r="D4352" i="106" s="1"/>
  <c r="B3414" i="106"/>
  <c r="D3414" i="106" s="1"/>
  <c r="D35" i="36"/>
  <c r="D13" i="3"/>
  <c r="B109" i="106" s="1"/>
  <c r="D109" i="106" s="1"/>
  <c r="B4114" i="106"/>
  <c r="D4114" i="106" s="1"/>
  <c r="D18" i="4"/>
  <c r="B4132" i="106" s="1"/>
  <c r="D4132" i="106" s="1"/>
  <c r="B5740" i="106"/>
  <c r="D5740" i="106" s="1"/>
  <c r="B6254" i="106"/>
  <c r="D6254" i="106" s="1"/>
  <c r="B5517" i="106"/>
  <c r="D5517" i="106" s="1"/>
  <c r="B5583" i="106"/>
  <c r="D5583" i="106" s="1"/>
  <c r="F108" i="5"/>
  <c r="B5587" i="106" s="1"/>
  <c r="D5587" i="106" s="1"/>
  <c r="B5568" i="106"/>
  <c r="D5568" i="106" s="1"/>
  <c r="F20" i="34"/>
  <c r="B72" i="106"/>
  <c r="D72" i="106" s="1"/>
  <c r="B6099" i="106"/>
  <c r="D6099" i="106" s="1"/>
  <c r="B5114" i="106"/>
  <c r="D5114" i="106" s="1"/>
  <c r="B5082" i="106"/>
  <c r="D5082" i="106" s="1"/>
  <c r="B3562" i="106"/>
  <c r="D3562" i="106" s="1"/>
  <c r="B4230" i="106"/>
  <c r="D4230" i="106" s="1"/>
  <c r="B6346" i="106"/>
  <c r="D6346" i="106" s="1"/>
  <c r="B4313" i="106"/>
  <c r="D4313" i="106" s="1"/>
  <c r="F30" i="34"/>
  <c r="B7823" i="106" s="1"/>
  <c r="B6353" i="106"/>
  <c r="D6353" i="106" s="1"/>
  <c r="J122" i="5"/>
  <c r="B7654" i="106"/>
  <c r="D7654" i="106" s="1"/>
  <c r="D12" i="171"/>
  <c r="B5123" i="106"/>
  <c r="D5123" i="106" s="1"/>
  <c r="B7668" i="106"/>
  <c r="D7668" i="106" s="1"/>
  <c r="B5529" i="106"/>
  <c r="D5529" i="106" s="1"/>
  <c r="B6085" i="106"/>
  <c r="D6085" i="106" s="1"/>
  <c r="B4884" i="106"/>
  <c r="D4884" i="106" s="1"/>
  <c r="B7653" i="106"/>
  <c r="D7653" i="106" s="1"/>
  <c r="B3228" i="106"/>
  <c r="D3228" i="106" s="1"/>
  <c r="B6158" i="106"/>
  <c r="D6158" i="106" s="1"/>
  <c r="B6234" i="106"/>
  <c r="D6234" i="106" s="1"/>
  <c r="E108" i="5"/>
  <c r="B5526" i="106" s="1"/>
  <c r="D5526" i="106" s="1"/>
  <c r="B5522" i="106"/>
  <c r="D5522" i="106" s="1"/>
  <c r="B5164" i="106"/>
  <c r="D5164" i="106" s="1"/>
  <c r="B5022" i="106"/>
  <c r="D5022" i="106" s="1"/>
  <c r="C76" i="4"/>
  <c r="B3231" i="106" s="1"/>
  <c r="D3231" i="106" s="1"/>
  <c r="B108" i="106"/>
  <c r="D108" i="106" s="1"/>
  <c r="B6190" i="106"/>
  <c r="D6190" i="106" s="1"/>
  <c r="B7682" i="106"/>
  <c r="D7682" i="106" s="1"/>
  <c r="J18" i="5"/>
  <c r="B6306" i="106" s="1"/>
  <c r="D6306" i="106" s="1"/>
  <c r="B6302" i="106"/>
  <c r="D6302" i="106" s="1"/>
  <c r="B7662" i="106"/>
  <c r="D7662" i="106" s="1"/>
  <c r="B5099" i="106"/>
  <c r="D5099" i="106" s="1"/>
  <c r="B653" i="106"/>
  <c r="D653" i="106" s="1"/>
  <c r="B5879" i="106"/>
  <c r="D5879" i="106" s="1"/>
  <c r="H67" i="5"/>
  <c r="B5881" i="106" s="1"/>
  <c r="D5881" i="106" s="1"/>
  <c r="B5127" i="106"/>
  <c r="D5127" i="106" s="1"/>
  <c r="B5576" i="106"/>
  <c r="D5576" i="106" s="1"/>
  <c r="F25" i="34"/>
  <c r="B3316" i="106"/>
  <c r="D3316" i="106" s="1"/>
  <c r="B5027" i="106"/>
  <c r="D5027" i="106" s="1"/>
  <c r="B5167" i="106"/>
  <c r="D5167" i="106" s="1"/>
  <c r="F109" i="34"/>
  <c r="B3230" i="106"/>
  <c r="D3230" i="106" s="1"/>
  <c r="B179" i="106"/>
  <c r="D179" i="106" s="1"/>
  <c r="B4" i="7"/>
  <c r="B1744" i="106" s="1"/>
  <c r="D1744" i="106" s="1"/>
  <c r="B5061" i="106"/>
  <c r="D5061" i="106" s="1"/>
  <c r="C12" i="5"/>
  <c r="B6082" i="106"/>
  <c r="D6082" i="106" s="1"/>
  <c r="B6259" i="106"/>
  <c r="D6259" i="106" s="1"/>
  <c r="B6242" i="106"/>
  <c r="D6242" i="106" s="1"/>
  <c r="B5068" i="106"/>
  <c r="D5068" i="106" s="1"/>
  <c r="B7656" i="106"/>
  <c r="D7656" i="106" s="1"/>
  <c r="B5585" i="106"/>
  <c r="D5585" i="106" s="1"/>
  <c r="B5916" i="106"/>
  <c r="D5916" i="106" s="1"/>
  <c r="B10" i="7"/>
  <c r="I12" i="5"/>
  <c r="B5516" i="106"/>
  <c r="D5516" i="106" s="1"/>
  <c r="B6294" i="106"/>
  <c r="D6294" i="106" s="1"/>
  <c r="B3295" i="106"/>
  <c r="D3295" i="106" s="1"/>
  <c r="B5885" i="106"/>
  <c r="D5885" i="106" s="1"/>
  <c r="B5098" i="106"/>
  <c r="D5098" i="106" s="1"/>
  <c r="B6374" i="106"/>
  <c r="D6374" i="106" s="1"/>
  <c r="B5012" i="106"/>
  <c r="D5012" i="106" s="1"/>
  <c r="D71" i="36"/>
  <c r="B5168" i="106"/>
  <c r="D5168" i="106" s="1"/>
  <c r="F111" i="34"/>
  <c r="B7846" i="106" s="1"/>
  <c r="D7846" i="106" s="1"/>
  <c r="K9" i="12"/>
  <c r="B7714" i="106" s="1"/>
  <c r="D7714" i="106" s="1"/>
  <c r="B4351" i="106"/>
  <c r="D4351" i="106" s="1"/>
  <c r="F110" i="34"/>
  <c r="B7845" i="106" s="1"/>
  <c r="D7845" i="106" s="1"/>
  <c r="B5558" i="106"/>
  <c r="D5558" i="106" s="1"/>
  <c r="F18" i="5"/>
  <c r="B5562" i="106" s="1"/>
  <c r="D5562" i="106" s="1"/>
  <c r="B7802" i="106"/>
  <c r="D7802" i="106" s="1"/>
  <c r="I13" i="3"/>
  <c r="B2888" i="106" s="1"/>
  <c r="D2888" i="106" s="1"/>
  <c r="B2880" i="106"/>
  <c r="D2880" i="106" s="1"/>
  <c r="B6303" i="106"/>
  <c r="D6303" i="106" s="1"/>
  <c r="B6342" i="106"/>
  <c r="D6342" i="106" s="1"/>
  <c r="F105" i="34"/>
  <c r="B5118" i="106"/>
  <c r="D5118" i="106" s="1"/>
  <c r="C82" i="5"/>
  <c r="B5097" i="106"/>
  <c r="D5097" i="106" s="1"/>
  <c r="B6031" i="106"/>
  <c r="D6031" i="106" s="1"/>
  <c r="C75" i="5"/>
  <c r="B5096" i="106" s="1"/>
  <c r="D5096" i="106" s="1"/>
  <c r="B5736" i="106"/>
  <c r="D5736" i="106" s="1"/>
  <c r="B6105" i="106"/>
  <c r="D6105" i="106" s="1"/>
  <c r="B9" i="7"/>
  <c r="H12" i="5"/>
  <c r="B5873" i="106" s="1"/>
  <c r="D5873" i="106" s="1"/>
  <c r="B5871" i="106"/>
  <c r="D5871" i="106" s="1"/>
  <c r="B6163" i="106"/>
  <c r="D6163" i="106" s="1"/>
  <c r="B6134" i="106"/>
  <c r="D6134" i="106" s="1"/>
  <c r="B5872" i="106"/>
  <c r="D5872" i="106" s="1"/>
  <c r="F91" i="34"/>
  <c r="B6314" i="106"/>
  <c r="D6314" i="106" s="1"/>
  <c r="B6233" i="106"/>
  <c r="D6233" i="106" s="1"/>
  <c r="D76" i="4"/>
  <c r="B3237" i="106" s="1"/>
  <c r="D3237" i="106" s="1"/>
  <c r="B5023" i="106"/>
  <c r="D5023" i="106" s="1"/>
  <c r="B6160" i="106"/>
  <c r="D6160" i="106" s="1"/>
  <c r="B620" i="106"/>
  <c r="D620" i="106" s="1"/>
  <c r="B3273" i="106"/>
  <c r="D3273" i="106" s="1"/>
  <c r="B7638" i="106"/>
  <c r="B4874" i="106"/>
  <c r="D4874" i="106" s="1"/>
  <c r="B5387" i="106"/>
  <c r="D5387" i="106" s="1"/>
  <c r="F29" i="34"/>
  <c r="B7881" i="106" s="1"/>
  <c r="D7881" i="106" s="1"/>
  <c r="B5110" i="106"/>
  <c r="D5110" i="106" s="1"/>
  <c r="F100" i="34"/>
  <c r="B3582" i="106"/>
  <c r="D3582" i="106" s="1"/>
  <c r="B6093" i="106"/>
  <c r="D6093" i="106" s="1"/>
  <c r="B5331" i="106"/>
  <c r="D5331" i="106" s="1"/>
  <c r="B3297" i="106"/>
  <c r="D3297" i="106" s="1"/>
  <c r="B6299" i="106"/>
  <c r="D6299" i="106" s="1"/>
  <c r="C13" i="3"/>
  <c r="B77" i="106" s="1"/>
  <c r="D77" i="106" s="1"/>
  <c r="B3411" i="106"/>
  <c r="D3411" i="106" s="1"/>
  <c r="D34" i="36"/>
  <c r="H24" i="118"/>
  <c r="B3534" i="106"/>
  <c r="D3534" i="106" s="1"/>
  <c r="B6116" i="106"/>
  <c r="D6116" i="106" s="1"/>
  <c r="B6169" i="106"/>
  <c r="D6169" i="106" s="1"/>
  <c r="B3275" i="106"/>
  <c r="D3275" i="106" s="1"/>
  <c r="B5108" i="106"/>
  <c r="D5108" i="106" s="1"/>
  <c r="B7637" i="106"/>
  <c r="B152" i="106"/>
  <c r="D152" i="106" s="1"/>
  <c r="B5559" i="106"/>
  <c r="D5559" i="106" s="1"/>
  <c r="B6253" i="106"/>
  <c r="D6253" i="106" s="1"/>
  <c r="B6138" i="106"/>
  <c r="D6138" i="106" s="1"/>
  <c r="B5095" i="106"/>
  <c r="D5095" i="106" s="1"/>
  <c r="B5109" i="106"/>
  <c r="D5109" i="106" s="1"/>
  <c r="B4310" i="106"/>
  <c r="D4310" i="106" s="1"/>
  <c r="B7683" i="106"/>
  <c r="D7683" i="106" s="1"/>
  <c r="B5882" i="106"/>
  <c r="D5882" i="106" s="1"/>
  <c r="H108" i="5"/>
  <c r="B5886" i="106" s="1"/>
  <c r="D5886" i="106" s="1"/>
  <c r="B6359" i="106"/>
  <c r="D6359" i="106" s="1"/>
  <c r="B651" i="106"/>
  <c r="D651" i="106" s="1"/>
  <c r="B6232" i="106"/>
  <c r="D6232" i="106" s="1"/>
  <c r="B6154" i="106"/>
  <c r="D6154" i="106" s="1"/>
  <c r="B7639" i="106"/>
  <c r="B5514" i="106"/>
  <c r="D5514" i="106" s="1"/>
  <c r="E18" i="5"/>
  <c r="B5518" i="106" s="1"/>
  <c r="D5518" i="106" s="1"/>
  <c r="B3579" i="106"/>
  <c r="D3579" i="106" s="1"/>
  <c r="B6089" i="106"/>
  <c r="D6089" i="106" s="1"/>
  <c r="B5520" i="106"/>
  <c r="D5520" i="106" s="1"/>
  <c r="E67" i="5"/>
  <c r="B5521" i="106" s="1"/>
  <c r="D5521" i="106" s="1"/>
  <c r="B5336" i="106"/>
  <c r="D5336" i="106" s="1"/>
  <c r="B6344" i="106"/>
  <c r="D6344" i="106" s="1"/>
  <c r="B3085" i="106"/>
  <c r="D3085" i="106" s="1"/>
  <c r="B6118" i="106"/>
  <c r="D6118" i="106" s="1"/>
  <c r="B6311" i="106"/>
  <c r="D6311" i="106" s="1"/>
  <c r="B5511" i="106"/>
  <c r="D5511" i="106" s="1"/>
  <c r="B6112" i="106"/>
  <c r="D6112" i="106" s="1"/>
  <c r="B5092" i="106"/>
  <c r="D5092" i="106" s="1"/>
  <c r="K44" i="4"/>
  <c r="B3584" i="106" s="1"/>
  <c r="D3584" i="106" s="1"/>
  <c r="B7755" i="106"/>
  <c r="D7755" i="106" s="1"/>
  <c r="B5124" i="106"/>
  <c r="D5124" i="106" s="1"/>
  <c r="B6109" i="106"/>
  <c r="D6109" i="106" s="1"/>
  <c r="B4875" i="106"/>
  <c r="D4875" i="106" s="1"/>
  <c r="B3577" i="106"/>
  <c r="D3577" i="106" s="1"/>
  <c r="B5070" i="106"/>
  <c r="D5070" i="106" s="1"/>
  <c r="B6331" i="106"/>
  <c r="D6331" i="106" s="1"/>
  <c r="B7670" i="106"/>
  <c r="D7670" i="106" s="1"/>
  <c r="D44" i="4"/>
  <c r="B7749" i="106"/>
  <c r="D7749" i="106" s="1"/>
  <c r="B6179" i="106"/>
  <c r="D6179" i="106" s="1"/>
  <c r="B6183" i="106"/>
  <c r="D6183" i="106" s="1"/>
  <c r="B5755" i="106"/>
  <c r="D5755" i="106" s="1"/>
  <c r="B6343" i="106"/>
  <c r="D6343" i="106" s="1"/>
  <c r="B6175" i="106"/>
  <c r="D6175" i="106" s="1"/>
  <c r="B156" i="106"/>
  <c r="D156" i="106" s="1"/>
  <c r="B6087" i="106"/>
  <c r="D6087" i="106" s="1"/>
  <c r="B4885" i="106"/>
  <c r="D4885" i="106" s="1"/>
  <c r="B6340" i="106"/>
  <c r="D6340" i="106" s="1"/>
  <c r="B6135" i="106"/>
  <c r="D6135" i="106" s="1"/>
  <c r="B6129" i="106"/>
  <c r="D6129" i="106" s="1"/>
  <c r="G34" i="3"/>
  <c r="B188" i="106" s="1"/>
  <c r="D188" i="106" s="1"/>
  <c r="B6236" i="106"/>
  <c r="D6236" i="106" s="1"/>
  <c r="B5374" i="106"/>
  <c r="D5374" i="106" s="1"/>
  <c r="B2806" i="106"/>
  <c r="D2806" i="106" s="1"/>
  <c r="B6292" i="106"/>
  <c r="D6292" i="106" s="1"/>
  <c r="B7651" i="106"/>
  <c r="D7651" i="106" s="1"/>
  <c r="D122" i="5"/>
  <c r="B5367" i="106" s="1"/>
  <c r="D5367" i="106" s="1"/>
  <c r="B5361" i="106"/>
  <c r="D5361" i="106" s="1"/>
  <c r="B5375" i="106"/>
  <c r="D5375" i="106" s="1"/>
  <c r="H18" i="4"/>
  <c r="B4134" i="106" s="1"/>
  <c r="D4134" i="106" s="1"/>
  <c r="B4118" i="106"/>
  <c r="D4118" i="106" s="1"/>
  <c r="B6153" i="106"/>
  <c r="D6153" i="106" s="1"/>
  <c r="B6231" i="106"/>
  <c r="D6231" i="106" s="1"/>
  <c r="B432" i="106"/>
  <c r="D432" i="106" s="1"/>
  <c r="B5877" i="106"/>
  <c r="D5877" i="106" s="1"/>
  <c r="B6372" i="106"/>
  <c r="D6372" i="106" s="1"/>
  <c r="B5337" i="106"/>
  <c r="D5337" i="106" s="1"/>
  <c r="I44" i="4"/>
  <c r="B3317" i="106" s="1"/>
  <c r="D3317" i="106" s="1"/>
  <c r="B2772" i="106"/>
  <c r="D2772" i="106" s="1"/>
  <c r="B7661" i="106"/>
  <c r="D7661" i="106" s="1"/>
  <c r="B5333" i="106"/>
  <c r="D5333" i="106" s="1"/>
  <c r="B325" i="106"/>
  <c r="D325" i="106" s="1"/>
  <c r="J76" i="4"/>
  <c r="B6261" i="106" s="1"/>
  <c r="D6261" i="106" s="1"/>
  <c r="B6239" i="106"/>
  <c r="D6239" i="106" s="1"/>
  <c r="B7750" i="106"/>
  <c r="D7750" i="106" s="1"/>
  <c r="B6363" i="106"/>
  <c r="D6363" i="106" s="1"/>
  <c r="B4227" i="106"/>
  <c r="D4227" i="106" s="1"/>
  <c r="B208" i="106"/>
  <c r="D208" i="106" s="1"/>
  <c r="B6115" i="106"/>
  <c r="D6115" i="106" s="1"/>
  <c r="B5876" i="106"/>
  <c r="D5876" i="106" s="1"/>
  <c r="B6176" i="106"/>
  <c r="D6176" i="106" s="1"/>
  <c r="B7666" i="106"/>
  <c r="D7666" i="106" s="1"/>
  <c r="B6114" i="106"/>
  <c r="D6114" i="106" s="1"/>
  <c r="D78" i="36"/>
  <c r="B4113" i="106"/>
  <c r="D4113" i="106" s="1"/>
  <c r="C18" i="4"/>
  <c r="B4131" i="106" s="1"/>
  <c r="D4131" i="106" s="1"/>
  <c r="B6111" i="106"/>
  <c r="D6111" i="106" s="1"/>
  <c r="B4311" i="106"/>
  <c r="D4311" i="106" s="1"/>
  <c r="B6091" i="106"/>
  <c r="D6091" i="106" s="1"/>
  <c r="B7884" i="106"/>
  <c r="D7884" i="106" s="1"/>
  <c r="C109" i="5"/>
  <c r="B5066" i="106"/>
  <c r="D5066" i="106" s="1"/>
  <c r="B6357" i="106"/>
  <c r="D6357" i="106" s="1"/>
  <c r="B5918" i="106"/>
  <c r="D5918" i="106" s="1"/>
  <c r="D13" i="7"/>
  <c r="B3726" i="106" s="1"/>
  <c r="D3726" i="106" s="1"/>
  <c r="B5165" i="106"/>
  <c r="D5165" i="106" s="1"/>
  <c r="F108" i="34"/>
  <c r="B7844" i="106" s="1"/>
  <c r="D7844" i="106" s="1"/>
  <c r="B1756" i="106"/>
  <c r="D1756" i="106" s="1"/>
  <c r="D15" i="7"/>
  <c r="B1772" i="106" s="1"/>
  <c r="D1772" i="106" s="1"/>
  <c r="B4103" i="106"/>
  <c r="D4103" i="106" s="1"/>
  <c r="D18" i="7"/>
  <c r="B4105" i="106" s="1"/>
  <c r="D4105" i="106" s="1"/>
  <c r="F95" i="34"/>
  <c r="B1749" i="106"/>
  <c r="D1749" i="106" s="1"/>
  <c r="D10" i="7"/>
  <c r="B1765" i="106" s="1"/>
  <c r="D1765" i="106" s="1"/>
  <c r="B5369" i="106"/>
  <c r="D5369" i="106" s="1"/>
  <c r="B3252" i="106"/>
  <c r="D3252" i="106" s="1"/>
  <c r="D6" i="7"/>
  <c r="B1762" i="106" s="1"/>
  <c r="D1762" i="106" s="1"/>
  <c r="B1746" i="106"/>
  <c r="D1746" i="106" s="1"/>
  <c r="B1745" i="106"/>
  <c r="D1745" i="106" s="1"/>
  <c r="D5" i="7"/>
  <c r="B1761" i="106" s="1"/>
  <c r="D1761" i="106" s="1"/>
  <c r="B5725" i="106"/>
  <c r="D5725" i="106" s="1"/>
  <c r="H44" i="4"/>
  <c r="B6289" i="106"/>
  <c r="D6289" i="106" s="1"/>
  <c r="B5741" i="106"/>
  <c r="D5741" i="106" s="1"/>
  <c r="G5" i="4"/>
  <c r="B3409" i="106" s="1"/>
  <c r="D3409" i="106" s="1"/>
  <c r="D14" i="7"/>
  <c r="B1770" i="106" s="1"/>
  <c r="D1770" i="106" s="1"/>
  <c r="C77" i="4"/>
  <c r="B3232" i="106" s="1"/>
  <c r="D3232" i="106" s="1"/>
  <c r="B3229" i="106"/>
  <c r="D3229" i="106" s="1"/>
  <c r="B1751" i="106"/>
  <c r="D1751" i="106" s="1"/>
  <c r="D9" i="7"/>
  <c r="B1767" i="106" s="1"/>
  <c r="D1767" i="106" s="1"/>
  <c r="B5147" i="106"/>
  <c r="D5147" i="106" s="1"/>
  <c r="F106" i="34"/>
  <c r="B7842" i="106" s="1"/>
  <c r="D7842" i="106" s="1"/>
  <c r="B3446" i="106"/>
  <c r="D3446" i="106" s="1"/>
  <c r="D16" i="7"/>
  <c r="B3447" i="106" s="1"/>
  <c r="D3447" i="106" s="1"/>
  <c r="B4102" i="106"/>
  <c r="D4102" i="106" s="1"/>
  <c r="D17" i="7"/>
  <c r="B4104" i="106" s="1"/>
  <c r="D4104" i="106" s="1"/>
  <c r="B1753" i="106"/>
  <c r="D1753" i="106" s="1"/>
  <c r="D12" i="7"/>
  <c r="B1769" i="106" s="1"/>
  <c r="D1769" i="106" s="1"/>
  <c r="B2105" i="106"/>
  <c r="D2105" i="106" s="1"/>
  <c r="I76" i="4"/>
  <c r="B5102" i="106"/>
  <c r="D5102" i="106" s="1"/>
  <c r="B5360" i="106"/>
  <c r="D5360" i="106" s="1"/>
  <c r="D5" i="4"/>
  <c r="B3406" i="106" s="1"/>
  <c r="D3406" i="106" s="1"/>
  <c r="B5125" i="106"/>
  <c r="D5125" i="106" s="1"/>
  <c r="C5" i="4"/>
  <c r="B3405" i="106" s="1"/>
  <c r="D3405" i="106" s="1"/>
  <c r="B5893" i="106"/>
  <c r="D5893" i="106" s="1"/>
  <c r="B3258" i="106"/>
  <c r="D3258" i="106" s="1"/>
  <c r="B3702" i="106"/>
  <c r="D3702" i="106" s="1"/>
  <c r="B5534" i="106"/>
  <c r="D5534" i="106" s="1"/>
  <c r="B5614" i="106"/>
  <c r="D5614" i="106" s="1"/>
  <c r="B6006" i="106"/>
  <c r="D6006" i="106" s="1"/>
  <c r="B5752" i="106"/>
  <c r="D5752" i="106" s="1"/>
  <c r="B279" i="106"/>
  <c r="D279" i="106" s="1"/>
  <c r="B2916" i="106"/>
  <c r="D2916" i="106" s="1"/>
  <c r="L41" i="3"/>
  <c r="F24" i="37"/>
  <c r="A7259" i="106"/>
  <c r="H37" i="37"/>
  <c r="B285" i="106"/>
  <c r="D285" i="106" s="1"/>
  <c r="N37" i="3"/>
  <c r="D7" i="7" l="1"/>
  <c r="B1763" i="106" s="1"/>
  <c r="D1763" i="106" s="1"/>
  <c r="K109" i="5"/>
  <c r="D4" i="7"/>
  <c r="B19" i="7"/>
  <c r="B1759" i="106" s="1"/>
  <c r="D1759" i="106" s="1"/>
  <c r="B1236" i="106"/>
  <c r="D1236" i="106" s="1"/>
  <c r="B1442" i="106"/>
  <c r="D1442" i="106" s="1"/>
  <c r="K276" i="29"/>
  <c r="B1506" i="106" s="1"/>
  <c r="D1506" i="106" s="1"/>
  <c r="B1039" i="106"/>
  <c r="D1039" i="106" s="1"/>
  <c r="B6890" i="106"/>
  <c r="D6890" i="106" s="1"/>
  <c r="K27" i="29"/>
  <c r="B6635" i="106"/>
  <c r="D6635" i="106" s="1"/>
  <c r="B3388" i="106"/>
  <c r="D3388" i="106" s="1"/>
  <c r="K217" i="29"/>
  <c r="B3391" i="106" s="1"/>
  <c r="D3391" i="106" s="1"/>
  <c r="B2996" i="106"/>
  <c r="D2996" i="106" s="1"/>
  <c r="B6914" i="106"/>
  <c r="D6914" i="106" s="1"/>
  <c r="B6764" i="106"/>
  <c r="D6764" i="106" s="1"/>
  <c r="B6657" i="106"/>
  <c r="D6657" i="106" s="1"/>
  <c r="B7688" i="106"/>
  <c r="D7688" i="106" s="1"/>
  <c r="K328" i="29"/>
  <c r="K55" i="29"/>
  <c r="C57" i="29"/>
  <c r="B737" i="106" s="1"/>
  <c r="D737" i="106" s="1"/>
  <c r="B735" i="106"/>
  <c r="D735" i="106" s="1"/>
  <c r="B4337" i="106"/>
  <c r="D4337" i="106" s="1"/>
  <c r="B913" i="106"/>
  <c r="D913" i="106" s="1"/>
  <c r="B2719" i="106"/>
  <c r="D2719" i="106" s="1"/>
  <c r="H57" i="29"/>
  <c r="B1027" i="106" s="1"/>
  <c r="D1027" i="106" s="1"/>
  <c r="B1025" i="106"/>
  <c r="D1025" i="106" s="1"/>
  <c r="B1037" i="106"/>
  <c r="D1037" i="106" s="1"/>
  <c r="B1041" i="106"/>
  <c r="D1041" i="106" s="1"/>
  <c r="B5462" i="106"/>
  <c r="D5462" i="106" s="1"/>
  <c r="B1015" i="106"/>
  <c r="D1015" i="106" s="1"/>
  <c r="B7032" i="106"/>
  <c r="D7032" i="106" s="1"/>
  <c r="B2981" i="106"/>
  <c r="D2981" i="106" s="1"/>
  <c r="B6693" i="106"/>
  <c r="D6693" i="106" s="1"/>
  <c r="B834" i="106"/>
  <c r="D834" i="106" s="1"/>
  <c r="B7816" i="106"/>
  <c r="D7816" i="106" s="1"/>
  <c r="B7077" i="106"/>
  <c r="D7077" i="106" s="1"/>
  <c r="K220" i="29"/>
  <c r="B1440" i="106"/>
  <c r="D1440" i="106" s="1"/>
  <c r="K275" i="29"/>
  <c r="B1504" i="106" s="1"/>
  <c r="D1504" i="106" s="1"/>
  <c r="B3646" i="106"/>
  <c r="D3646" i="106" s="1"/>
  <c r="B960" i="106"/>
  <c r="D960" i="106" s="1"/>
  <c r="G47" i="29"/>
  <c r="B963" i="106" s="1"/>
  <c r="D963" i="106" s="1"/>
  <c r="B6699" i="106"/>
  <c r="D6699" i="106" s="1"/>
  <c r="K192" i="29"/>
  <c r="B3011" i="106" s="1"/>
  <c r="D3011" i="106" s="1"/>
  <c r="B2993" i="106"/>
  <c r="D2993" i="106" s="1"/>
  <c r="D229" i="29"/>
  <c r="B1410" i="106" s="1"/>
  <c r="D1410" i="106" s="1"/>
  <c r="K215" i="29"/>
  <c r="B3387" i="106"/>
  <c r="D3387" i="106" s="1"/>
  <c r="B1245" i="106"/>
  <c r="D1245" i="106" s="1"/>
  <c r="B846" i="106"/>
  <c r="D846" i="106" s="1"/>
  <c r="B4378" i="106"/>
  <c r="D4378" i="106" s="1"/>
  <c r="B7152" i="106"/>
  <c r="D7152" i="106" s="1"/>
  <c r="K23" i="29"/>
  <c r="B6882" i="106"/>
  <c r="D6882" i="106" s="1"/>
  <c r="K253" i="29"/>
  <c r="B7092" i="106" s="1"/>
  <c r="D7092" i="106" s="1"/>
  <c r="B7091" i="106"/>
  <c r="D7091" i="106" s="1"/>
  <c r="B4852" i="106"/>
  <c r="D4852" i="106" s="1"/>
  <c r="F171" i="34"/>
  <c r="B7876" i="106" s="1"/>
  <c r="D7876" i="106" s="1"/>
  <c r="B1048" i="106"/>
  <c r="D1048" i="106" s="1"/>
  <c r="H110" i="29"/>
  <c r="K105" i="29"/>
  <c r="B4806" i="106"/>
  <c r="D4806" i="106" s="1"/>
  <c r="B4917" i="106"/>
  <c r="D4917" i="106" s="1"/>
  <c r="E169" i="5"/>
  <c r="B5242" i="106"/>
  <c r="D5242" i="106" s="1"/>
  <c r="B7689" i="106"/>
  <c r="D7689" i="106" s="1"/>
  <c r="B3639" i="106"/>
  <c r="D3639" i="106" s="1"/>
  <c r="K83" i="29"/>
  <c r="B2978" i="106" s="1"/>
  <c r="D2978" i="106" s="1"/>
  <c r="B2954" i="106"/>
  <c r="D2954" i="106" s="1"/>
  <c r="B6972" i="106"/>
  <c r="D6972" i="106" s="1"/>
  <c r="B7197" i="106"/>
  <c r="D7197" i="106" s="1"/>
  <c r="B6851" i="106"/>
  <c r="D6851" i="106" s="1"/>
  <c r="K7" i="29"/>
  <c r="B6727" i="106"/>
  <c r="D6727" i="106" s="1"/>
  <c r="B3370" i="106"/>
  <c r="D3370" i="106" s="1"/>
  <c r="B6823" i="106"/>
  <c r="D6823" i="106" s="1"/>
  <c r="B6637" i="106"/>
  <c r="D6637" i="106" s="1"/>
  <c r="B5785" i="106"/>
  <c r="D5785" i="106" s="1"/>
  <c r="G188" i="5"/>
  <c r="B6880" i="106"/>
  <c r="D6880" i="106" s="1"/>
  <c r="K22" i="29"/>
  <c r="B788" i="106"/>
  <c r="D788" i="106" s="1"/>
  <c r="B6757" i="106"/>
  <c r="D6757" i="106" s="1"/>
  <c r="B4810" i="106"/>
  <c r="D4810" i="106" s="1"/>
  <c r="G181" i="5"/>
  <c r="B5784" i="106" s="1"/>
  <c r="D5784" i="106" s="1"/>
  <c r="B7040" i="106"/>
  <c r="D7040" i="106" s="1"/>
  <c r="B791" i="106"/>
  <c r="D791" i="106" s="1"/>
  <c r="B822" i="106"/>
  <c r="D822" i="106" s="1"/>
  <c r="B6789" i="106"/>
  <c r="D6789" i="106" s="1"/>
  <c r="B968" i="106"/>
  <c r="D968" i="106" s="1"/>
  <c r="B6639" i="106"/>
  <c r="D6639" i="106" s="1"/>
  <c r="B6619" i="106"/>
  <c r="D6619" i="106" s="1"/>
  <c r="H252" i="5"/>
  <c r="B6829" i="106"/>
  <c r="D6829" i="106" s="1"/>
  <c r="B5822" i="106"/>
  <c r="D5822" i="106" s="1"/>
  <c r="H334" i="29"/>
  <c r="B7789" i="106" s="1"/>
  <c r="D7789" i="106" s="1"/>
  <c r="K332" i="29"/>
  <c r="B7785" i="106"/>
  <c r="D7785" i="106" s="1"/>
  <c r="G204" i="5"/>
  <c r="B5803" i="106" s="1"/>
  <c r="D5803" i="106" s="1"/>
  <c r="B5790" i="106"/>
  <c r="D5790" i="106" s="1"/>
  <c r="B6863" i="106"/>
  <c r="D6863" i="106" s="1"/>
  <c r="B4077" i="106"/>
  <c r="D4077" i="106" s="1"/>
  <c r="F169" i="34"/>
  <c r="B7874" i="106" s="1"/>
  <c r="D7874" i="106" s="1"/>
  <c r="B4358" i="106"/>
  <c r="D4358" i="106" s="1"/>
  <c r="G65" i="29"/>
  <c r="B977" i="106" s="1"/>
  <c r="D977" i="106" s="1"/>
  <c r="B970" i="106"/>
  <c r="D970" i="106" s="1"/>
  <c r="B1344" i="106"/>
  <c r="D1344" i="106" s="1"/>
  <c r="B6683" i="106"/>
  <c r="D6683" i="106" s="1"/>
  <c r="F163" i="34"/>
  <c r="B7870" i="106" s="1"/>
  <c r="D7870" i="106" s="1"/>
  <c r="B5315" i="106"/>
  <c r="D5315" i="106" s="1"/>
  <c r="B7253" i="106"/>
  <c r="D7253" i="106" s="1"/>
  <c r="B5705" i="106"/>
  <c r="D5705" i="106" s="1"/>
  <c r="B7196" i="106"/>
  <c r="D7196" i="106" s="1"/>
  <c r="B6786" i="106"/>
  <c r="D6786" i="106" s="1"/>
  <c r="B879" i="106"/>
  <c r="D879" i="106" s="1"/>
  <c r="F33" i="29"/>
  <c r="B894" i="106" s="1"/>
  <c r="D894" i="106" s="1"/>
  <c r="B6761" i="106"/>
  <c r="D6761" i="106" s="1"/>
  <c r="F149" i="34"/>
  <c r="B6102" i="106"/>
  <c r="D6102" i="106" s="1"/>
  <c r="F13" i="3"/>
  <c r="B157" i="106" s="1"/>
  <c r="D157" i="106" s="1"/>
  <c r="B7193" i="106"/>
  <c r="D7193" i="106" s="1"/>
  <c r="B5240" i="106"/>
  <c r="D5240" i="106" s="1"/>
  <c r="B4316" i="106"/>
  <c r="D4316" i="106" s="1"/>
  <c r="B6754" i="106"/>
  <c r="D6754" i="106" s="1"/>
  <c r="B6775" i="106"/>
  <c r="D6775" i="106" s="1"/>
  <c r="B4853" i="106"/>
  <c r="D4853" i="106" s="1"/>
  <c r="B6767" i="106"/>
  <c r="D6767" i="106" s="1"/>
  <c r="B1044" i="106"/>
  <c r="D1044" i="106" s="1"/>
  <c r="B832" i="106"/>
  <c r="D832" i="106" s="1"/>
  <c r="B2957" i="106"/>
  <c r="D2957" i="106" s="1"/>
  <c r="B7810" i="106"/>
  <c r="D7810" i="106" s="1"/>
  <c r="B3624" i="106"/>
  <c r="D3624" i="106" s="1"/>
  <c r="D350" i="29"/>
  <c r="B1366" i="106"/>
  <c r="D1366" i="106" s="1"/>
  <c r="B6955" i="106"/>
  <c r="D6955" i="106" s="1"/>
  <c r="B1552" i="106"/>
  <c r="D1552" i="106" s="1"/>
  <c r="B6616" i="106"/>
  <c r="D6616" i="106" s="1"/>
  <c r="E252" i="5"/>
  <c r="B972" i="106"/>
  <c r="D972" i="106" s="1"/>
  <c r="K338" i="29"/>
  <c r="B7211" i="106" s="1"/>
  <c r="D7211" i="106" s="1"/>
  <c r="B7210" i="106"/>
  <c r="D7210" i="106" s="1"/>
  <c r="K80" i="29"/>
  <c r="B2975" i="106" s="1"/>
  <c r="D2975" i="106" s="1"/>
  <c r="B2951" i="106"/>
  <c r="D2951" i="106" s="1"/>
  <c r="B5231" i="106"/>
  <c r="D5231" i="106" s="1"/>
  <c r="D221" i="5"/>
  <c r="B5488" i="106" s="1"/>
  <c r="D5488" i="106" s="1"/>
  <c r="B5485" i="106"/>
  <c r="D5485" i="106" s="1"/>
  <c r="C198" i="5"/>
  <c r="B6401" i="106"/>
  <c r="D6401" i="106" s="1"/>
  <c r="F166" i="34"/>
  <c r="B7873" i="106" s="1"/>
  <c r="D7873" i="106" s="1"/>
  <c r="B4189" i="106"/>
  <c r="D4189" i="106" s="1"/>
  <c r="H47" i="29"/>
  <c r="B1021" i="106" s="1"/>
  <c r="D1021" i="106" s="1"/>
  <c r="B1018" i="106"/>
  <c r="D1018" i="106" s="1"/>
  <c r="B1415" i="106"/>
  <c r="D1415" i="106" s="1"/>
  <c r="K236" i="29"/>
  <c r="B1479" i="106" s="1"/>
  <c r="D1479" i="106" s="1"/>
  <c r="B1032" i="106"/>
  <c r="D1032" i="106" s="1"/>
  <c r="L303" i="29"/>
  <c r="L312" i="29" s="1"/>
  <c r="B1449" i="106"/>
  <c r="D1449" i="106" s="1"/>
  <c r="K288" i="29"/>
  <c r="H293" i="29"/>
  <c r="B6808" i="106"/>
  <c r="D6808" i="106" s="1"/>
  <c r="B922" i="106"/>
  <c r="D922" i="106" s="1"/>
  <c r="B6860" i="106"/>
  <c r="D6860" i="106" s="1"/>
  <c r="B6713" i="106"/>
  <c r="D6713" i="106" s="1"/>
  <c r="B6624" i="106"/>
  <c r="D6624" i="106" s="1"/>
  <c r="B6717" i="106"/>
  <c r="D6717" i="106" s="1"/>
  <c r="B1016" i="106"/>
  <c r="D1016" i="106" s="1"/>
  <c r="B7062" i="106"/>
  <c r="D7062" i="106" s="1"/>
  <c r="B6805" i="106"/>
  <c r="D6805" i="106" s="1"/>
  <c r="F121" i="34"/>
  <c r="B4329" i="106"/>
  <c r="D4329" i="106" s="1"/>
  <c r="B4330" i="106"/>
  <c r="D4330" i="106" s="1"/>
  <c r="B1369" i="106"/>
  <c r="D1369" i="106" s="1"/>
  <c r="D252" i="5"/>
  <c r="B6834" i="106" s="1"/>
  <c r="D6834" i="106" s="1"/>
  <c r="B6615" i="106"/>
  <c r="D6615" i="106" s="1"/>
  <c r="B7706" i="106"/>
  <c r="D7706" i="106" s="1"/>
  <c r="B6870" i="106"/>
  <c r="D6870" i="106" s="1"/>
  <c r="B4360" i="106"/>
  <c r="D4360" i="106" s="1"/>
  <c r="B904" i="106"/>
  <c r="D904" i="106" s="1"/>
  <c r="B5625" i="106"/>
  <c r="D5625" i="106" s="1"/>
  <c r="K203" i="29"/>
  <c r="B1385" i="106" s="1"/>
  <c r="D1385" i="106" s="1"/>
  <c r="B1373" i="106"/>
  <c r="D1373" i="106" s="1"/>
  <c r="B6827" i="106"/>
  <c r="D6827" i="106" s="1"/>
  <c r="B5695" i="106"/>
  <c r="D5695" i="106" s="1"/>
  <c r="B6391" i="106"/>
  <c r="D6391" i="106" s="1"/>
  <c r="B5194" i="106"/>
  <c r="D5194" i="106" s="1"/>
  <c r="F115" i="34"/>
  <c r="B7849" i="106" s="1"/>
  <c r="D7849" i="106" s="1"/>
  <c r="B2802" i="106"/>
  <c r="D2802" i="106" s="1"/>
  <c r="B6959" i="106"/>
  <c r="D6959" i="106" s="1"/>
  <c r="B7692" i="106"/>
  <c r="D7692" i="106" s="1"/>
  <c r="B2959" i="106"/>
  <c r="D2959" i="106" s="1"/>
  <c r="B6826" i="106"/>
  <c r="D6826" i="106" s="1"/>
  <c r="B7132" i="106"/>
  <c r="D7132" i="106" s="1"/>
  <c r="B955" i="106"/>
  <c r="D955" i="106" s="1"/>
  <c r="B1051" i="106"/>
  <c r="D1051" i="106" s="1"/>
  <c r="K109" i="29"/>
  <c r="B1149" i="106" s="1"/>
  <c r="D1149" i="106" s="1"/>
  <c r="B2808" i="106"/>
  <c r="D2808" i="106" s="1"/>
  <c r="K145" i="29"/>
  <c r="B2811" i="106" s="1"/>
  <c r="D2811" i="106" s="1"/>
  <c r="K349" i="29"/>
  <c r="B3669" i="106" s="1"/>
  <c r="D3669" i="106" s="1"/>
  <c r="B3618" i="106"/>
  <c r="D3618" i="106" s="1"/>
  <c r="B6655" i="106"/>
  <c r="D6655" i="106" s="1"/>
  <c r="K5" i="29"/>
  <c r="C33" i="29"/>
  <c r="B720" i="106" s="1"/>
  <c r="D720" i="106" s="1"/>
  <c r="B705" i="106"/>
  <c r="D705" i="106" s="1"/>
  <c r="B7123" i="106"/>
  <c r="D7123" i="106" s="1"/>
  <c r="H330" i="29"/>
  <c r="K38" i="29"/>
  <c r="B1111" i="106" s="1"/>
  <c r="D1111" i="106" s="1"/>
  <c r="B723" i="106"/>
  <c r="D723" i="106" s="1"/>
  <c r="B6791" i="106"/>
  <c r="D6791" i="106" s="1"/>
  <c r="B6644" i="106"/>
  <c r="D6644" i="106" s="1"/>
  <c r="K193" i="29"/>
  <c r="B3012" i="106" s="1"/>
  <c r="D3012" i="106" s="1"/>
  <c r="B2994" i="106"/>
  <c r="D2994" i="106" s="1"/>
  <c r="B6814" i="106"/>
  <c r="D6814" i="106" s="1"/>
  <c r="B1011" i="106"/>
  <c r="D1011" i="106" s="1"/>
  <c r="H42" i="29"/>
  <c r="B863" i="106"/>
  <c r="D863" i="106" s="1"/>
  <c r="B782" i="106"/>
  <c r="D782" i="106" s="1"/>
  <c r="B7169" i="106"/>
  <c r="D7169" i="106" s="1"/>
  <c r="B6739" i="106"/>
  <c r="D6739" i="106" s="1"/>
  <c r="F154" i="34"/>
  <c r="B6801" i="106"/>
  <c r="D6801" i="106" s="1"/>
  <c r="B807" i="106"/>
  <c r="D807" i="106" s="1"/>
  <c r="B6965" i="106"/>
  <c r="D6965" i="106" s="1"/>
  <c r="B7779" i="106"/>
  <c r="D7779" i="106" s="1"/>
  <c r="K158" i="29"/>
  <c r="B7780" i="106" s="1"/>
  <c r="D7780" i="106" s="1"/>
  <c r="B1046" i="106"/>
  <c r="D1046" i="106" s="1"/>
  <c r="B5224" i="106"/>
  <c r="D5224" i="106" s="1"/>
  <c r="C175" i="5"/>
  <c r="B5225" i="106" s="1"/>
  <c r="D5225" i="106" s="1"/>
  <c r="B6907" i="106"/>
  <c r="D6907" i="106" s="1"/>
  <c r="F117" i="34"/>
  <c r="B7851" i="106" s="1"/>
  <c r="D7851" i="106" s="1"/>
  <c r="B5060" i="106"/>
  <c r="D5060" i="106" s="1"/>
  <c r="B6983" i="106"/>
  <c r="D6983" i="106" s="1"/>
  <c r="K86" i="29"/>
  <c r="B6984" i="106" s="1"/>
  <c r="D6984" i="106" s="1"/>
  <c r="B1261" i="106"/>
  <c r="D1261" i="106" s="1"/>
  <c r="B6819" i="106"/>
  <c r="D6819" i="106" s="1"/>
  <c r="K130" i="29"/>
  <c r="B2797" i="106"/>
  <c r="D2797" i="106" s="1"/>
  <c r="G330" i="29"/>
  <c r="B7122" i="106"/>
  <c r="D7122" i="106" s="1"/>
  <c r="B890" i="106"/>
  <c r="D890" i="106" s="1"/>
  <c r="B4446" i="106"/>
  <c r="D4446" i="106" s="1"/>
  <c r="B6968" i="106"/>
  <c r="D6968" i="106" s="1"/>
  <c r="E42" i="29"/>
  <c r="B837" i="106"/>
  <c r="D837" i="106" s="1"/>
  <c r="B4356" i="106"/>
  <c r="D4356" i="106" s="1"/>
  <c r="B4808" i="106"/>
  <c r="D4808" i="106" s="1"/>
  <c r="B6958" i="106"/>
  <c r="D6958" i="106" s="1"/>
  <c r="K6" i="29"/>
  <c r="B7763" i="106" s="1"/>
  <c r="D7763" i="106" s="1"/>
  <c r="B7762" i="106"/>
  <c r="D7762" i="106" s="1"/>
  <c r="B6830" i="106"/>
  <c r="D6830" i="106" s="1"/>
  <c r="B7167" i="106"/>
  <c r="D7167" i="106" s="1"/>
  <c r="B6766" i="106"/>
  <c r="D6766" i="106" s="1"/>
  <c r="D33" i="29"/>
  <c r="B778" i="106" s="1"/>
  <c r="D778" i="106" s="1"/>
  <c r="B763" i="106"/>
  <c r="D763" i="106" s="1"/>
  <c r="B6659" i="106"/>
  <c r="D6659" i="106" s="1"/>
  <c r="B6647" i="106"/>
  <c r="D6647" i="106" s="1"/>
  <c r="B7059" i="106"/>
  <c r="D7059" i="106" s="1"/>
  <c r="B7130" i="106"/>
  <c r="D7130" i="106" s="1"/>
  <c r="C181" i="5"/>
  <c r="B5230" i="106"/>
  <c r="D5230" i="106" s="1"/>
  <c r="F123" i="34"/>
  <c r="B949" i="106"/>
  <c r="D949" i="106" s="1"/>
  <c r="K226" i="29"/>
  <c r="B7080" i="106" s="1"/>
  <c r="D7080" i="106" s="1"/>
  <c r="B7079" i="106"/>
  <c r="D7079" i="106" s="1"/>
  <c r="B1412" i="106"/>
  <c r="D1412" i="106" s="1"/>
  <c r="K233" i="29"/>
  <c r="B1476" i="106" s="1"/>
  <c r="D1476" i="106" s="1"/>
  <c r="B6815" i="106"/>
  <c r="D6815" i="106" s="1"/>
  <c r="K51" i="29"/>
  <c r="B2718" i="106"/>
  <c r="D2718" i="106" s="1"/>
  <c r="B6723" i="106"/>
  <c r="D6723" i="106" s="1"/>
  <c r="B6694" i="106"/>
  <c r="D6694" i="106" s="1"/>
  <c r="B779" i="106"/>
  <c r="D779" i="106" s="1"/>
  <c r="D42" i="29"/>
  <c r="H168" i="29"/>
  <c r="K163" i="29"/>
  <c r="B1310" i="106"/>
  <c r="D1310" i="106" s="1"/>
  <c r="B7190" i="106"/>
  <c r="D7190" i="106" s="1"/>
  <c r="K327" i="29"/>
  <c r="B1020" i="106"/>
  <c r="D1020" i="106" s="1"/>
  <c r="B6816" i="106"/>
  <c r="D6816" i="106" s="1"/>
  <c r="B4328" i="106"/>
  <c r="D4328" i="106" s="1"/>
  <c r="B746" i="106"/>
  <c r="D746" i="106" s="1"/>
  <c r="K67" i="29"/>
  <c r="C72" i="29"/>
  <c r="B753" i="106" s="1"/>
  <c r="D753" i="106" s="1"/>
  <c r="B917" i="106"/>
  <c r="D917" i="106" s="1"/>
  <c r="B3655" i="106"/>
  <c r="D3655" i="106" s="1"/>
  <c r="B5619" i="106"/>
  <c r="D5619" i="106" s="1"/>
  <c r="B812" i="106"/>
  <c r="D812" i="106" s="1"/>
  <c r="K237" i="29"/>
  <c r="B1480" i="106" s="1"/>
  <c r="D1480" i="106" s="1"/>
  <c r="B1416" i="106"/>
  <c r="D1416" i="106" s="1"/>
  <c r="B975" i="106"/>
  <c r="D975" i="106" s="1"/>
  <c r="F144" i="34"/>
  <c r="B6712" i="106"/>
  <c r="D6712" i="106" s="1"/>
  <c r="B896" i="106"/>
  <c r="D896" i="106" s="1"/>
  <c r="B7110" i="106"/>
  <c r="D7110" i="106" s="1"/>
  <c r="K308" i="29"/>
  <c r="B4100" i="106" s="1"/>
  <c r="D4100" i="106" s="1"/>
  <c r="B6716" i="106"/>
  <c r="D6716" i="106" s="1"/>
  <c r="B7133" i="106"/>
  <c r="D7133" i="106" s="1"/>
  <c r="K190" i="29"/>
  <c r="B3009" i="106" s="1"/>
  <c r="D3009" i="106" s="1"/>
  <c r="B2991" i="106"/>
  <c r="D2991" i="106" s="1"/>
  <c r="B7815" i="106"/>
  <c r="D7815" i="106" s="1"/>
  <c r="B5765" i="106"/>
  <c r="D5765" i="106" s="1"/>
  <c r="B6844" i="106"/>
  <c r="D6844" i="106" s="1"/>
  <c r="I33" i="29"/>
  <c r="B6902" i="106" s="1"/>
  <c r="D6902" i="106" s="1"/>
  <c r="B6638" i="106"/>
  <c r="D6638" i="106" s="1"/>
  <c r="B7257" i="106"/>
  <c r="D7257" i="106" s="1"/>
  <c r="K11" i="29"/>
  <c r="K41" i="29"/>
  <c r="B1114" i="106" s="1"/>
  <c r="D1114" i="106" s="1"/>
  <c r="B726" i="106"/>
  <c r="D726" i="106" s="1"/>
  <c r="B7151" i="106"/>
  <c r="D7151" i="106" s="1"/>
  <c r="B7131" i="106"/>
  <c r="D7131" i="106" s="1"/>
  <c r="B6806" i="106"/>
  <c r="D6806" i="106" s="1"/>
  <c r="B6404" i="106"/>
  <c r="D6404" i="106" s="1"/>
  <c r="G57" i="29"/>
  <c r="B969" i="106" s="1"/>
  <c r="D969" i="106" s="1"/>
  <c r="B967" i="106"/>
  <c r="D967" i="106" s="1"/>
  <c r="B6931" i="106"/>
  <c r="D6931" i="106" s="1"/>
  <c r="B937" i="106"/>
  <c r="D937" i="106" s="1"/>
  <c r="G33" i="29"/>
  <c r="B952" i="106" s="1"/>
  <c r="D952" i="106" s="1"/>
  <c r="B6392" i="106"/>
  <c r="D6392" i="106" s="1"/>
  <c r="B6695" i="106"/>
  <c r="D6695" i="106" s="1"/>
  <c r="B6930" i="106"/>
  <c r="D6930" i="106" s="1"/>
  <c r="B4391" i="106"/>
  <c r="D4391" i="106" s="1"/>
  <c r="B7067" i="106"/>
  <c r="D7067" i="106" s="1"/>
  <c r="K205" i="29"/>
  <c r="B7068" i="106" s="1"/>
  <c r="D7068" i="106" s="1"/>
  <c r="B3375" i="106"/>
  <c r="D3375" i="106" s="1"/>
  <c r="B870" i="106"/>
  <c r="D870" i="106" s="1"/>
  <c r="B5432" i="106"/>
  <c r="D5432" i="106" s="1"/>
  <c r="K21" i="29"/>
  <c r="B6878" i="106"/>
  <c r="D6878" i="106" s="1"/>
  <c r="B996" i="106"/>
  <c r="D996" i="106" s="1"/>
  <c r="K326" i="29"/>
  <c r="B7181" i="106"/>
  <c r="D7181" i="106" s="1"/>
  <c r="B4802" i="106"/>
  <c r="D4802" i="106" s="1"/>
  <c r="K182" i="29"/>
  <c r="B1377" i="106" s="1"/>
  <c r="D1377" i="106" s="1"/>
  <c r="B1335" i="106"/>
  <c r="D1335" i="106" s="1"/>
  <c r="B7166" i="106"/>
  <c r="D7166" i="106" s="1"/>
  <c r="B6896" i="106"/>
  <c r="D6896" i="106" s="1"/>
  <c r="K30" i="29"/>
  <c r="B6625" i="106"/>
  <c r="D6625" i="106" s="1"/>
  <c r="B6792" i="106"/>
  <c r="D6792" i="106" s="1"/>
  <c r="B1428" i="106"/>
  <c r="D1428" i="106" s="1"/>
  <c r="D270" i="29"/>
  <c r="B1436" i="106" s="1"/>
  <c r="D1436" i="106" s="1"/>
  <c r="K263" i="29"/>
  <c r="B774" i="106"/>
  <c r="D774" i="106" s="1"/>
  <c r="B6731" i="106"/>
  <c r="D6731" i="106" s="1"/>
  <c r="F136" i="34"/>
  <c r="B6634" i="106"/>
  <c r="D6634" i="106" s="1"/>
  <c r="B7766" i="106"/>
  <c r="D7766" i="106" s="1"/>
  <c r="B4165" i="106"/>
  <c r="D4165" i="106" s="1"/>
  <c r="K284" i="29"/>
  <c r="B4166" i="106" s="1"/>
  <c r="D4166" i="106" s="1"/>
  <c r="B1029" i="106"/>
  <c r="D1029" i="106" s="1"/>
  <c r="B6745" i="106"/>
  <c r="D6745" i="106" s="1"/>
  <c r="B7138" i="106"/>
  <c r="D7138" i="106" s="1"/>
  <c r="B6976" i="106"/>
  <c r="D6976" i="106" s="1"/>
  <c r="K195" i="29"/>
  <c r="B2839" i="106" s="1"/>
  <c r="D2839" i="106" s="1"/>
  <c r="B2824" i="106"/>
  <c r="D2824" i="106" s="1"/>
  <c r="B7160" i="106"/>
  <c r="D7160" i="106" s="1"/>
  <c r="B7028" i="106"/>
  <c r="D7028" i="106" s="1"/>
  <c r="B5459" i="106"/>
  <c r="D5459" i="106" s="1"/>
  <c r="F32" i="34"/>
  <c r="B7825" i="106" s="1"/>
  <c r="D7825" i="106" s="1"/>
  <c r="B2092" i="106"/>
  <c r="D2092" i="106" s="1"/>
  <c r="K138" i="29"/>
  <c r="B2094" i="106" s="1"/>
  <c r="D2094" i="106" s="1"/>
  <c r="K260" i="29"/>
  <c r="B1490" i="106" s="1"/>
  <c r="D1490" i="106" s="1"/>
  <c r="B1426" i="106"/>
  <c r="D1426" i="106" s="1"/>
  <c r="B6998" i="106"/>
  <c r="D6998" i="106" s="1"/>
  <c r="K94" i="29"/>
  <c r="B6999" i="106" s="1"/>
  <c r="D6999" i="106" s="1"/>
  <c r="B7695" i="106"/>
  <c r="D7695" i="106" s="1"/>
  <c r="B7228" i="106"/>
  <c r="D7228" i="106" s="1"/>
  <c r="B4408" i="106"/>
  <c r="D4408" i="106" s="1"/>
  <c r="B6617" i="106"/>
  <c r="D6617" i="106" s="1"/>
  <c r="F252" i="5"/>
  <c r="B6836" i="106" s="1"/>
  <c r="D6836" i="106" s="1"/>
  <c r="F157" i="34"/>
  <c r="B6825" i="106"/>
  <c r="D6825" i="106" s="1"/>
  <c r="B7149" i="106"/>
  <c r="D7149" i="106" s="1"/>
  <c r="B5858" i="106"/>
  <c r="D5858" i="106" s="1"/>
  <c r="F164" i="34"/>
  <c r="B7871" i="106" s="1"/>
  <c r="D7871" i="106" s="1"/>
  <c r="B5317" i="106"/>
  <c r="D5317" i="106" s="1"/>
  <c r="K206" i="29"/>
  <c r="B4210" i="106"/>
  <c r="D4210" i="106" s="1"/>
  <c r="B6933" i="106"/>
  <c r="D6933" i="106" s="1"/>
  <c r="B6704" i="106"/>
  <c r="D6704" i="106" s="1"/>
  <c r="F72" i="29"/>
  <c r="B927" i="106" s="1"/>
  <c r="D927" i="106" s="1"/>
  <c r="B920" i="106"/>
  <c r="D920" i="106" s="1"/>
  <c r="B4409" i="106"/>
  <c r="D4409" i="106" s="1"/>
  <c r="B7023" i="106"/>
  <c r="D7023" i="106" s="1"/>
  <c r="B1253" i="106"/>
  <c r="D1253" i="106" s="1"/>
  <c r="B5057" i="106"/>
  <c r="D5057" i="106" s="1"/>
  <c r="B6732" i="106"/>
  <c r="D6732" i="106" s="1"/>
  <c r="B1430" i="106"/>
  <c r="D1430" i="106" s="1"/>
  <c r="K265" i="29"/>
  <c r="B1494" i="106" s="1"/>
  <c r="D1494" i="106" s="1"/>
  <c r="B7693" i="106"/>
  <c r="D7693" i="106" s="1"/>
  <c r="K15" i="29"/>
  <c r="B719" i="106"/>
  <c r="D719" i="106" s="1"/>
  <c r="B6939" i="106"/>
  <c r="D6939" i="106" s="1"/>
  <c r="B856" i="106"/>
  <c r="D856" i="106" s="1"/>
  <c r="B6744" i="106"/>
  <c r="D6744" i="106" s="1"/>
  <c r="B4855" i="106"/>
  <c r="D4855" i="106" s="1"/>
  <c r="G221" i="5"/>
  <c r="B5847" i="106" s="1"/>
  <c r="D5847" i="106" s="1"/>
  <c r="B5844" i="106"/>
  <c r="D5844" i="106" s="1"/>
  <c r="B1006" i="106"/>
  <c r="D1006" i="106" s="1"/>
  <c r="B4795" i="106"/>
  <c r="D4795" i="106" s="1"/>
  <c r="K249" i="29"/>
  <c r="B7084" i="106" s="1"/>
  <c r="D7084" i="106" s="1"/>
  <c r="B7083" i="106"/>
  <c r="D7083" i="106" s="1"/>
  <c r="B6686" i="106"/>
  <c r="D6686" i="106" s="1"/>
  <c r="B6774" i="106"/>
  <c r="D6774" i="106" s="1"/>
  <c r="B1434" i="106"/>
  <c r="D1434" i="106" s="1"/>
  <c r="K269" i="29"/>
  <c r="B1498" i="106" s="1"/>
  <c r="D1498" i="106" s="1"/>
  <c r="B6929" i="106"/>
  <c r="D6929" i="106" s="1"/>
  <c r="K79" i="29"/>
  <c r="B2974" i="106" s="1"/>
  <c r="D2974" i="106" s="1"/>
  <c r="B2950" i="106"/>
  <c r="D2950" i="106" s="1"/>
  <c r="B741" i="106"/>
  <c r="D741" i="106" s="1"/>
  <c r="K62" i="29"/>
  <c r="B743" i="106"/>
  <c r="D743" i="106" s="1"/>
  <c r="K64" i="29"/>
  <c r="B1546" i="106"/>
  <c r="D1546" i="106" s="1"/>
  <c r="B5496" i="106"/>
  <c r="D5496" i="106" s="1"/>
  <c r="B4370" i="106"/>
  <c r="D4370" i="106" s="1"/>
  <c r="B891" i="106"/>
  <c r="D891" i="106" s="1"/>
  <c r="B781" i="106"/>
  <c r="D781" i="106" s="1"/>
  <c r="B1002" i="106"/>
  <c r="D1002" i="106" s="1"/>
  <c r="B6630" i="106"/>
  <c r="D6630" i="106" s="1"/>
  <c r="B3055" i="106"/>
  <c r="D3055" i="106" s="1"/>
  <c r="K10" i="29"/>
  <c r="B3062" i="106" s="1"/>
  <c r="D3062" i="106" s="1"/>
  <c r="B6628" i="106"/>
  <c r="D6628" i="106" s="1"/>
  <c r="D188" i="5"/>
  <c r="B5426" i="106"/>
  <c r="D5426" i="106" s="1"/>
  <c r="B6812" i="106"/>
  <c r="D6812" i="106" s="1"/>
  <c r="B6918" i="106"/>
  <c r="D6918" i="106" s="1"/>
  <c r="I47" i="29"/>
  <c r="B6924" i="106" s="1"/>
  <c r="D6924" i="106" s="1"/>
  <c r="B833" i="106"/>
  <c r="D833" i="106" s="1"/>
  <c r="B2952" i="106"/>
  <c r="D2952" i="106" s="1"/>
  <c r="K81" i="29"/>
  <c r="B2976" i="106" s="1"/>
  <c r="D2976" i="106" s="1"/>
  <c r="C303" i="29"/>
  <c r="K301" i="29"/>
  <c r="B1519" i="106"/>
  <c r="D1519" i="106" s="1"/>
  <c r="B5310" i="106"/>
  <c r="D5310" i="106" s="1"/>
  <c r="B6905" i="106"/>
  <c r="D6905" i="106" s="1"/>
  <c r="J42" i="29"/>
  <c r="B809" i="106"/>
  <c r="D809" i="106" s="1"/>
  <c r="B6846" i="106"/>
  <c r="D6846" i="106" s="1"/>
  <c r="B7170" i="106"/>
  <c r="D7170" i="106" s="1"/>
  <c r="B6864" i="106"/>
  <c r="D6864" i="106" s="1"/>
  <c r="B5817" i="106"/>
  <c r="D5817" i="106" s="1"/>
  <c r="G217" i="5"/>
  <c r="B5829" i="106" s="1"/>
  <c r="D5829" i="106" s="1"/>
  <c r="I57" i="29"/>
  <c r="B6948" i="106" s="1"/>
  <c r="D6948" i="106" s="1"/>
  <c r="B6944" i="106"/>
  <c r="D6944" i="106" s="1"/>
  <c r="B7058" i="106"/>
  <c r="D7058" i="106" s="1"/>
  <c r="J184" i="29"/>
  <c r="B6755" i="106"/>
  <c r="D6755" i="106" s="1"/>
  <c r="K157" i="29"/>
  <c r="H160" i="29"/>
  <c r="B7053" i="106" s="1"/>
  <c r="D7053" i="106" s="1"/>
  <c r="B7777" i="106"/>
  <c r="D7777" i="106" s="1"/>
  <c r="B6724" i="106"/>
  <c r="D6724" i="106" s="1"/>
  <c r="B5617" i="106"/>
  <c r="D5617" i="106" s="1"/>
  <c r="B5278" i="106"/>
  <c r="D5278" i="106" s="1"/>
  <c r="F129" i="34"/>
  <c r="B7861" i="106" s="1"/>
  <c r="D7861" i="106" s="1"/>
  <c r="B4079" i="106"/>
  <c r="D4079" i="106" s="1"/>
  <c r="B5424" i="106"/>
  <c r="D5424" i="106" s="1"/>
  <c r="D181" i="5"/>
  <c r="B5425" i="106" s="1"/>
  <c r="D5425" i="106" s="1"/>
  <c r="F146" i="34"/>
  <c r="B6729" i="106"/>
  <c r="D6729" i="106" s="1"/>
  <c r="B2843" i="106"/>
  <c r="D2843" i="106" s="1"/>
  <c r="K290" i="29"/>
  <c r="B2845" i="106" s="1"/>
  <c r="D2845" i="106" s="1"/>
  <c r="B974" i="106"/>
  <c r="D974" i="106" s="1"/>
  <c r="B6730" i="106"/>
  <c r="D6730" i="106" s="1"/>
  <c r="B5498" i="106"/>
  <c r="D5498" i="106" s="1"/>
  <c r="B6991" i="106"/>
  <c r="D6991" i="106" s="1"/>
  <c r="K90" i="29"/>
  <c r="B6992" i="106" s="1"/>
  <c r="D6992" i="106" s="1"/>
  <c r="B6760" i="106"/>
  <c r="D6760" i="106" s="1"/>
  <c r="B5463" i="106"/>
  <c r="D5463" i="106" s="1"/>
  <c r="B6810" i="106"/>
  <c r="D6810" i="106" s="1"/>
  <c r="B7156" i="106"/>
  <c r="D7156" i="106" s="1"/>
  <c r="B6698" i="106"/>
  <c r="D6698" i="106" s="1"/>
  <c r="B6794" i="106"/>
  <c r="D6794" i="106" s="1"/>
  <c r="B7148" i="106"/>
  <c r="D7148" i="106" s="1"/>
  <c r="B7081" i="106"/>
  <c r="D7081" i="106" s="1"/>
  <c r="K248" i="29"/>
  <c r="B7082" i="106" s="1"/>
  <c r="D7082" i="106" s="1"/>
  <c r="B5654" i="106"/>
  <c r="D5654" i="106" s="1"/>
  <c r="F175" i="5"/>
  <c r="B5655" i="106" s="1"/>
  <c r="D5655" i="106" s="1"/>
  <c r="K252" i="5"/>
  <c r="B6621" i="106"/>
  <c r="D6621" i="106" s="1"/>
  <c r="B7263" i="106"/>
  <c r="K17" i="29"/>
  <c r="B6871" i="106" s="1"/>
  <c r="D6871" i="106" s="1"/>
  <c r="B7175" i="106"/>
  <c r="D7175" i="106" s="1"/>
  <c r="B6861" i="106"/>
  <c r="D6861" i="106" s="1"/>
  <c r="B7700" i="106"/>
  <c r="D7700" i="106" s="1"/>
  <c r="B7761" i="106"/>
  <c r="D7761" i="106" s="1"/>
  <c r="F159" i="34"/>
  <c r="B4327" i="106"/>
  <c r="D4327" i="106" s="1"/>
  <c r="B4419" i="106"/>
  <c r="D4419" i="106" s="1"/>
  <c r="B747" i="106"/>
  <c r="D747" i="106" s="1"/>
  <c r="K68" i="29"/>
  <c r="B867" i="106"/>
  <c r="D867" i="106" s="1"/>
  <c r="B2800" i="106"/>
  <c r="D2800" i="106" s="1"/>
  <c r="B5665" i="106"/>
  <c r="D5665" i="106" s="1"/>
  <c r="D204" i="5"/>
  <c r="B5444" i="106" s="1"/>
  <c r="D5444" i="106" s="1"/>
  <c r="B5431" i="106"/>
  <c r="D5431" i="106" s="1"/>
  <c r="B7256" i="106"/>
  <c r="D7256" i="106" s="1"/>
  <c r="H194" i="29"/>
  <c r="B2995" i="106"/>
  <c r="D2995" i="106" s="1"/>
  <c r="B6876" i="106"/>
  <c r="D6876" i="106" s="1"/>
  <c r="K20" i="29"/>
  <c r="B4344" i="106"/>
  <c r="D4344" i="106" s="1"/>
  <c r="K88" i="29"/>
  <c r="B6988" i="106" s="1"/>
  <c r="D6988" i="106" s="1"/>
  <c r="B6987" i="106"/>
  <c r="D6987" i="106" s="1"/>
  <c r="B6771" i="106"/>
  <c r="D6771" i="106" s="1"/>
  <c r="K199" i="29"/>
  <c r="B1371" i="106"/>
  <c r="D1371" i="106" s="1"/>
  <c r="H204" i="29"/>
  <c r="B7161" i="106"/>
  <c r="D7161" i="106" s="1"/>
  <c r="B7781" i="106"/>
  <c r="D7781" i="106" s="1"/>
  <c r="K159" i="29"/>
  <c r="B7782" i="106" s="1"/>
  <c r="D7782" i="106" s="1"/>
  <c r="E330" i="29"/>
  <c r="B7120" i="106"/>
  <c r="D7120" i="106" s="1"/>
  <c r="K219" i="29"/>
  <c r="B3065" i="106" s="1"/>
  <c r="D3065" i="106" s="1"/>
  <c r="B3064" i="106"/>
  <c r="D3064" i="106" s="1"/>
  <c r="B7702" i="106"/>
  <c r="D7702" i="106" s="1"/>
  <c r="B1425" i="106"/>
  <c r="D1425" i="106" s="1"/>
  <c r="D261" i="29"/>
  <c r="B1427" i="106" s="1"/>
  <c r="D1427" i="106" s="1"/>
  <c r="K259" i="29"/>
  <c r="C217" i="5"/>
  <c r="B5286" i="106" s="1"/>
  <c r="D5286" i="106" s="1"/>
  <c r="B5274" i="106"/>
  <c r="D5274" i="106" s="1"/>
  <c r="B7129" i="106"/>
  <c r="D7129" i="106" s="1"/>
  <c r="F53" i="29"/>
  <c r="B908" i="106" s="1"/>
  <c r="D908" i="106" s="1"/>
  <c r="B906" i="106"/>
  <c r="D906" i="106" s="1"/>
  <c r="F168" i="34"/>
  <c r="B7813" i="106"/>
  <c r="D7813" i="106" s="1"/>
  <c r="B3484" i="106"/>
  <c r="D3484" i="106" s="1"/>
  <c r="B7168" i="106"/>
  <c r="D7168" i="106" s="1"/>
  <c r="B7260" i="106"/>
  <c r="B7691" i="106"/>
  <c r="D7691" i="106" s="1"/>
  <c r="B6867" i="106"/>
  <c r="D6867" i="106" s="1"/>
  <c r="K106" i="29"/>
  <c r="B1147" i="106" s="1"/>
  <c r="D1147" i="106" s="1"/>
  <c r="B1049" i="106"/>
  <c r="D1049" i="106" s="1"/>
  <c r="B1252" i="106"/>
  <c r="D1252" i="106" s="1"/>
  <c r="B6773" i="106"/>
  <c r="D6773" i="106" s="1"/>
  <c r="B4342" i="106"/>
  <c r="D4342" i="106" s="1"/>
  <c r="B6627" i="106"/>
  <c r="D6627" i="106" s="1"/>
  <c r="B4945" i="106"/>
  <c r="D4945" i="106" s="1"/>
  <c r="B6643" i="106"/>
  <c r="D6643" i="106" s="1"/>
  <c r="B2990" i="106"/>
  <c r="D2990" i="106" s="1"/>
  <c r="K189" i="29"/>
  <c r="B3008" i="106" s="1"/>
  <c r="D3008" i="106" s="1"/>
  <c r="K207" i="29"/>
  <c r="B7070" i="106" s="1"/>
  <c r="D7070" i="106" s="1"/>
  <c r="B7069" i="106"/>
  <c r="D7069" i="106" s="1"/>
  <c r="B6868" i="106"/>
  <c r="D6868" i="106" s="1"/>
  <c r="C65" i="29"/>
  <c r="B745" i="106" s="1"/>
  <c r="D745" i="106" s="1"/>
  <c r="B738" i="106"/>
  <c r="D738" i="106" s="1"/>
  <c r="K59" i="29"/>
  <c r="B5233" i="106"/>
  <c r="D5233" i="106" s="1"/>
  <c r="C188" i="5"/>
  <c r="K351" i="29"/>
  <c r="B3671" i="106" s="1"/>
  <c r="D3671" i="106" s="1"/>
  <c r="B3620" i="106"/>
  <c r="D3620" i="106" s="1"/>
  <c r="B6888" i="106"/>
  <c r="D6888" i="106" s="1"/>
  <c r="K26" i="29"/>
  <c r="B3485" i="106"/>
  <c r="D3485" i="106" s="1"/>
  <c r="B725" i="106"/>
  <c r="D725" i="106" s="1"/>
  <c r="K40" i="29"/>
  <c r="B1113" i="106" s="1"/>
  <c r="D1113" i="106" s="1"/>
  <c r="B3368" i="106"/>
  <c r="D3368" i="106" s="1"/>
  <c r="B7140" i="106"/>
  <c r="D7140" i="106" s="1"/>
  <c r="B6737" i="106"/>
  <c r="D6737" i="106" s="1"/>
  <c r="F147" i="34"/>
  <c r="B4796" i="106"/>
  <c r="D4796" i="106" s="1"/>
  <c r="B7061" i="106"/>
  <c r="D7061" i="106" s="1"/>
  <c r="B2947" i="106"/>
  <c r="D2947" i="106" s="1"/>
  <c r="K101" i="29"/>
  <c r="B7015" i="106" s="1"/>
  <c r="D7015" i="106" s="1"/>
  <c r="B1431" i="106"/>
  <c r="D1431" i="106" s="1"/>
  <c r="K266" i="29"/>
  <c r="B1495" i="106" s="1"/>
  <c r="D1495" i="106" s="1"/>
  <c r="K125" i="29"/>
  <c r="B3488" i="106" s="1"/>
  <c r="D3488" i="106" s="1"/>
  <c r="B3482" i="106"/>
  <c r="D3482" i="106" s="1"/>
  <c r="B7137" i="106"/>
  <c r="D7137" i="106" s="1"/>
  <c r="B777" i="106"/>
  <c r="D777" i="106" s="1"/>
  <c r="B7698" i="106"/>
  <c r="D7698" i="106" s="1"/>
  <c r="B4380" i="106"/>
  <c r="D4380" i="106" s="1"/>
  <c r="K97" i="29"/>
  <c r="B7005" i="106" s="1"/>
  <c r="D7005" i="106" s="1"/>
  <c r="B7004" i="106"/>
  <c r="D7004" i="106" s="1"/>
  <c r="B7177" i="106"/>
  <c r="D7177" i="106" s="1"/>
  <c r="B953" i="106"/>
  <c r="D953" i="106" s="1"/>
  <c r="G42" i="29"/>
  <c r="B6866" i="106"/>
  <c r="D6866" i="106" s="1"/>
  <c r="B7184" i="106"/>
  <c r="D7184" i="106" s="1"/>
  <c r="B6921" i="106"/>
  <c r="D6921" i="106" s="1"/>
  <c r="F155" i="5"/>
  <c r="B5615" i="106"/>
  <c r="D5615" i="106" s="1"/>
  <c r="B6913" i="106"/>
  <c r="D6913" i="106" s="1"/>
  <c r="B938" i="106"/>
  <c r="D938" i="106" s="1"/>
  <c r="B6661" i="106"/>
  <c r="D6661" i="106" s="1"/>
  <c r="B842" i="106"/>
  <c r="D842" i="106" s="1"/>
  <c r="B7146" i="106"/>
  <c r="D7146" i="106" s="1"/>
  <c r="B6956" i="106"/>
  <c r="D6956" i="106" s="1"/>
  <c r="B801" i="106"/>
  <c r="D801" i="106" s="1"/>
  <c r="B6660" i="106"/>
  <c r="D6660" i="106" s="1"/>
  <c r="B6979" i="106"/>
  <c r="D6979" i="106" s="1"/>
  <c r="B6975" i="106"/>
  <c r="D6975" i="106" s="1"/>
  <c r="B6782" i="106"/>
  <c r="D6782" i="106" s="1"/>
  <c r="B1354" i="106"/>
  <c r="D1354" i="106" s="1"/>
  <c r="K307" i="29"/>
  <c r="B4099" i="106" s="1"/>
  <c r="D4099" i="106" s="1"/>
  <c r="B7108" i="106"/>
  <c r="D7108" i="106" s="1"/>
  <c r="B4813" i="106"/>
  <c r="D4813" i="106" s="1"/>
  <c r="G127" i="29"/>
  <c r="B1256" i="106" s="1"/>
  <c r="D1256" i="106" s="1"/>
  <c r="B1251" i="106"/>
  <c r="D1251" i="106" s="1"/>
  <c r="D17" i="171"/>
  <c r="B4362" i="106"/>
  <c r="D4362" i="106" s="1"/>
  <c r="F170" i="34"/>
  <c r="B7875" i="106" s="1"/>
  <c r="D7875" i="106" s="1"/>
  <c r="B1450" i="106"/>
  <c r="D1450" i="106" s="1"/>
  <c r="K289" i="29"/>
  <c r="B1513" i="106" s="1"/>
  <c r="D1513" i="106" s="1"/>
  <c r="B6796" i="106"/>
  <c r="D6796" i="106" s="1"/>
  <c r="K363" i="29"/>
  <c r="B7241" i="106" s="1"/>
  <c r="D7241" i="106" s="1"/>
  <c r="B7240" i="106"/>
  <c r="D7240" i="106" s="1"/>
  <c r="B7105" i="106"/>
  <c r="D7105" i="106" s="1"/>
  <c r="E310" i="29"/>
  <c r="B7114" i="106" s="1"/>
  <c r="D7114" i="106" s="1"/>
  <c r="K306" i="29"/>
  <c r="B954" i="106"/>
  <c r="D954" i="106" s="1"/>
  <c r="B6967" i="106"/>
  <c r="D6967" i="106" s="1"/>
  <c r="J53" i="29"/>
  <c r="B6943" i="106" s="1"/>
  <c r="D6943" i="106" s="1"/>
  <c r="B6927" i="106"/>
  <c r="D6927" i="106" s="1"/>
  <c r="B780" i="106"/>
  <c r="D780" i="106" s="1"/>
  <c r="B814" i="106"/>
  <c r="D814" i="106" s="1"/>
  <c r="B6714" i="106"/>
  <c r="D6714" i="106" s="1"/>
  <c r="B5312" i="106"/>
  <c r="D5312" i="106" s="1"/>
  <c r="F161" i="34"/>
  <c r="B7868" i="106" s="1"/>
  <c r="D7868" i="106" s="1"/>
  <c r="B6648" i="106"/>
  <c r="D6648" i="106" s="1"/>
  <c r="B2721" i="106"/>
  <c r="D2721" i="106" s="1"/>
  <c r="B6718" i="106"/>
  <c r="D6718" i="106" s="1"/>
  <c r="B6795" i="106"/>
  <c r="D6795" i="106" s="1"/>
  <c r="B3377" i="106"/>
  <c r="D3377" i="106" s="1"/>
  <c r="B6633" i="106"/>
  <c r="D6633" i="106" s="1"/>
  <c r="B6854" i="106"/>
  <c r="D6854" i="106" s="1"/>
  <c r="K291" i="29"/>
  <c r="B2846" i="106" s="1"/>
  <c r="D2846" i="106" s="1"/>
  <c r="B2844" i="106"/>
  <c r="D2844" i="106" s="1"/>
  <c r="B4946" i="106"/>
  <c r="D4946" i="106" s="1"/>
  <c r="B3645" i="106"/>
  <c r="D3645" i="106" s="1"/>
  <c r="G350" i="29"/>
  <c r="B4343" i="106"/>
  <c r="D4343" i="106" s="1"/>
  <c r="B5627" i="106"/>
  <c r="D5627" i="106" s="1"/>
  <c r="B749" i="106"/>
  <c r="D749" i="106" s="1"/>
  <c r="K70" i="29"/>
  <c r="B6938" i="106"/>
  <c r="D6938" i="106" s="1"/>
  <c r="F148" i="34"/>
  <c r="B6753" i="106"/>
  <c r="D6753" i="106" s="1"/>
  <c r="L33" i="29"/>
  <c r="L114" i="29" s="1"/>
  <c r="B6772" i="106"/>
  <c r="D6772" i="106" s="1"/>
  <c r="B4338" i="106"/>
  <c r="D4338" i="106" s="1"/>
  <c r="K320" i="29"/>
  <c r="B7127" i="106"/>
  <c r="D7127" i="106" s="1"/>
  <c r="B7251" i="106"/>
  <c r="D7251" i="106" s="1"/>
  <c r="K9" i="29"/>
  <c r="B6664" i="106"/>
  <c r="D6664" i="106" s="1"/>
  <c r="B4180" i="106"/>
  <c r="D4180" i="106" s="1"/>
  <c r="B6964" i="106"/>
  <c r="D6964" i="106" s="1"/>
  <c r="J72" i="29"/>
  <c r="B6974" i="106" s="1"/>
  <c r="D6974" i="106" s="1"/>
  <c r="B1414" i="106"/>
  <c r="D1414" i="106" s="1"/>
  <c r="K235" i="29"/>
  <c r="B1478" i="106" s="1"/>
  <c r="D1478" i="106" s="1"/>
  <c r="K247" i="29"/>
  <c r="B2726" i="106" s="1"/>
  <c r="D2726" i="106" s="1"/>
  <c r="B2725" i="106"/>
  <c r="D2725" i="106" s="1"/>
  <c r="B6728" i="106"/>
  <c r="D6728" i="106" s="1"/>
  <c r="B1265" i="106"/>
  <c r="D1265" i="106" s="1"/>
  <c r="B7150" i="106"/>
  <c r="D7150" i="106" s="1"/>
  <c r="B4377" i="106"/>
  <c r="D4377" i="106" s="1"/>
  <c r="B1243" i="106"/>
  <c r="D1243" i="106" s="1"/>
  <c r="F127" i="29"/>
  <c r="B1247" i="106" s="1"/>
  <c r="D1247" i="106" s="1"/>
  <c r="B4410" i="106"/>
  <c r="D4410" i="106" s="1"/>
  <c r="B7109" i="106"/>
  <c r="D7109" i="106" s="1"/>
  <c r="B4418" i="106"/>
  <c r="D4418" i="106" s="1"/>
  <c r="F165" i="34"/>
  <c r="B7872" i="106" s="1"/>
  <c r="D7872" i="106" s="1"/>
  <c r="B6822" i="106"/>
  <c r="D6822" i="106" s="1"/>
  <c r="B6778" i="106"/>
  <c r="D6778" i="106" s="1"/>
  <c r="B6852" i="106"/>
  <c r="D6852" i="106" s="1"/>
  <c r="B5391" i="106"/>
  <c r="D5391" i="106" s="1"/>
  <c r="D155" i="5"/>
  <c r="B6663" i="106"/>
  <c r="D6663" i="106" s="1"/>
  <c r="B907" i="106"/>
  <c r="D907" i="106" s="1"/>
  <c r="B7212" i="106"/>
  <c r="D7212" i="106" s="1"/>
  <c r="K339" i="29"/>
  <c r="B7213" i="106" s="1"/>
  <c r="D7213" i="106" s="1"/>
  <c r="B4215" i="106"/>
  <c r="D4215" i="106" s="1"/>
  <c r="I169" i="5"/>
  <c r="B7165" i="106"/>
  <c r="D7165" i="106" s="1"/>
  <c r="K267" i="29"/>
  <c r="B1496" i="106" s="1"/>
  <c r="D1496" i="106" s="1"/>
  <c r="B1432" i="106"/>
  <c r="D1432" i="106" s="1"/>
  <c r="B1418" i="106"/>
  <c r="D1418" i="106" s="1"/>
  <c r="D243" i="29"/>
  <c r="B1421" i="106" s="1"/>
  <c r="D1421" i="106" s="1"/>
  <c r="K240" i="29"/>
  <c r="B909" i="106"/>
  <c r="D909" i="106" s="1"/>
  <c r="F57" i="29"/>
  <c r="B911" i="106" s="1"/>
  <c r="D911" i="106" s="1"/>
  <c r="B6937" i="106"/>
  <c r="D6937" i="106" s="1"/>
  <c r="B6741" i="106"/>
  <c r="D6741" i="106" s="1"/>
  <c r="K180" i="29"/>
  <c r="B4081" i="106"/>
  <c r="D4081" i="106" s="1"/>
  <c r="C184" i="29"/>
  <c r="K333" i="29"/>
  <c r="B7788" i="106" s="1"/>
  <c r="D7788" i="106" s="1"/>
  <c r="B7787" i="106"/>
  <c r="D7787" i="106" s="1"/>
  <c r="B7102" i="106"/>
  <c r="D7102" i="106" s="1"/>
  <c r="K50" i="29"/>
  <c r="B733" i="106"/>
  <c r="D733" i="106" s="1"/>
  <c r="B903" i="106"/>
  <c r="D903" i="106" s="1"/>
  <c r="B6623" i="106"/>
  <c r="D6623" i="106" s="1"/>
  <c r="B6793" i="106"/>
  <c r="D6793" i="106" s="1"/>
  <c r="F153" i="34"/>
  <c r="B6725" i="106"/>
  <c r="D6725" i="106" s="1"/>
  <c r="B6691" i="106"/>
  <c r="D6691" i="106" s="1"/>
  <c r="B1522" i="106"/>
  <c r="D1522" i="106" s="1"/>
  <c r="K302" i="29"/>
  <c r="B1558" i="106" s="1"/>
  <c r="D1558" i="106" s="1"/>
  <c r="B6915" i="106"/>
  <c r="D6915" i="106" s="1"/>
  <c r="B6953" i="106"/>
  <c r="D6953" i="106" s="1"/>
  <c r="B5401" i="106"/>
  <c r="D5401" i="106" s="1"/>
  <c r="B3641" i="106"/>
  <c r="D3641" i="106" s="1"/>
  <c r="B6651" i="106"/>
  <c r="D6651" i="106" s="1"/>
  <c r="F138" i="34"/>
  <c r="B6650" i="106"/>
  <c r="D6650" i="106" s="1"/>
  <c r="B6740" i="106"/>
  <c r="D6740" i="106" s="1"/>
  <c r="B6762" i="106"/>
  <c r="D6762" i="106" s="1"/>
  <c r="B7250" i="106"/>
  <c r="D7250" i="106" s="1"/>
  <c r="B1350" i="106"/>
  <c r="D1350" i="106" s="1"/>
  <c r="B4393" i="106"/>
  <c r="D4393" i="106" s="1"/>
  <c r="H362" i="29"/>
  <c r="K360" i="29"/>
  <c r="B3657" i="106"/>
  <c r="D3657" i="106" s="1"/>
  <c r="B5798" i="106"/>
  <c r="D5798" i="106" s="1"/>
  <c r="B1228" i="106"/>
  <c r="D1228" i="106" s="1"/>
  <c r="B6389" i="106"/>
  <c r="D6389" i="106" s="1"/>
  <c r="B5855" i="106"/>
  <c r="D5855" i="106" s="1"/>
  <c r="B6673" i="106"/>
  <c r="D6673" i="106" s="1"/>
  <c r="H175" i="5"/>
  <c r="B4950" i="106" s="1"/>
  <c r="D4950" i="106" s="1"/>
  <c r="B4365" i="106"/>
  <c r="D4365" i="106" s="1"/>
  <c r="B3373" i="106"/>
  <c r="D3373" i="106" s="1"/>
  <c r="B6818" i="106"/>
  <c r="D6818" i="106" s="1"/>
  <c r="B5395" i="106"/>
  <c r="D5395" i="106" s="1"/>
  <c r="B6665" i="106"/>
  <c r="D6665" i="106" s="1"/>
  <c r="F204" i="5"/>
  <c r="B5677" i="106" s="1"/>
  <c r="D5677" i="106" s="1"/>
  <c r="B5664" i="106"/>
  <c r="D5664" i="106" s="1"/>
  <c r="E350" i="29"/>
  <c r="B3631" i="106"/>
  <c r="D3631" i="106" s="1"/>
  <c r="B957" i="106"/>
  <c r="D957" i="106" s="1"/>
  <c r="B6859" i="106"/>
  <c r="D6859" i="106" s="1"/>
  <c r="B7264" i="106"/>
  <c r="B4864" i="106"/>
  <c r="D4864" i="106" s="1"/>
  <c r="B6776" i="106"/>
  <c r="D6776" i="106" s="1"/>
  <c r="B7179" i="106"/>
  <c r="D7179" i="106" s="1"/>
  <c r="B2997" i="106"/>
  <c r="D2997" i="106" s="1"/>
  <c r="B4366" i="106"/>
  <c r="D4366" i="106" s="1"/>
  <c r="I175" i="5"/>
  <c r="K202" i="29"/>
  <c r="B2842" i="106" s="1"/>
  <c r="D2842" i="106" s="1"/>
  <c r="B2832" i="106"/>
  <c r="D2832" i="106" s="1"/>
  <c r="B5393" i="106"/>
  <c r="D5393" i="106" s="1"/>
  <c r="B7187" i="106"/>
  <c r="D7187" i="106" s="1"/>
  <c r="B925" i="106"/>
  <c r="D925" i="106" s="1"/>
  <c r="B7195" i="106"/>
  <c r="D7195" i="106" s="1"/>
  <c r="B7188" i="106"/>
  <c r="D7188" i="106" s="1"/>
  <c r="B930" i="106"/>
  <c r="D930" i="106" s="1"/>
  <c r="B7164" i="106"/>
  <c r="D7164" i="106" s="1"/>
  <c r="B6649" i="106"/>
  <c r="D6649" i="106" s="1"/>
  <c r="B951" i="106"/>
  <c r="D951" i="106" s="1"/>
  <c r="B6667" i="106"/>
  <c r="D6667" i="106" s="1"/>
  <c r="K8" i="29"/>
  <c r="B3380" i="106" s="1"/>
  <c r="D3380" i="106" s="1"/>
  <c r="B3366" i="106"/>
  <c r="D3366" i="106" s="1"/>
  <c r="B4916" i="106"/>
  <c r="D4916" i="106" s="1"/>
  <c r="B1312" i="106"/>
  <c r="D1312" i="106" s="1"/>
  <c r="K169" i="29"/>
  <c r="B1326" i="106" s="1"/>
  <c r="D1326" i="106" s="1"/>
  <c r="B973" i="106"/>
  <c r="D973" i="106" s="1"/>
  <c r="B6702" i="106"/>
  <c r="D6702" i="106" s="1"/>
  <c r="F188" i="5"/>
  <c r="B5659" i="106"/>
  <c r="D5659" i="106" s="1"/>
  <c r="B910" i="106"/>
  <c r="D910" i="106" s="1"/>
  <c r="B732" i="106"/>
  <c r="D732" i="106" s="1"/>
  <c r="C53" i="29"/>
  <c r="B734" i="106" s="1"/>
  <c r="D734" i="106" s="1"/>
  <c r="K49" i="29"/>
  <c r="B7254" i="106"/>
  <c r="D7254" i="106" s="1"/>
  <c r="B6681" i="106"/>
  <c r="D6681" i="106" s="1"/>
  <c r="B6957" i="106"/>
  <c r="D6957" i="106" s="1"/>
  <c r="B4314" i="106"/>
  <c r="D4314" i="106" s="1"/>
  <c r="B7026" i="106"/>
  <c r="D7026" i="106" s="1"/>
  <c r="B6747" i="106"/>
  <c r="D6747" i="106" s="1"/>
  <c r="B1036" i="106"/>
  <c r="D1036" i="106" s="1"/>
  <c r="H72" i="29"/>
  <c r="B1043" i="106" s="1"/>
  <c r="D1043" i="106" s="1"/>
  <c r="B6642" i="106"/>
  <c r="D6642" i="106" s="1"/>
  <c r="F137" i="34"/>
  <c r="B7097" i="106"/>
  <c r="D7097" i="106" s="1"/>
  <c r="K256" i="29"/>
  <c r="B7098" i="106" s="1"/>
  <c r="D7098" i="106" s="1"/>
  <c r="B6380" i="106"/>
  <c r="D6380" i="106" s="1"/>
  <c r="G155" i="5"/>
  <c r="E65" i="29"/>
  <c r="B861" i="106" s="1"/>
  <c r="D861" i="106" s="1"/>
  <c r="B854" i="106"/>
  <c r="D854" i="106" s="1"/>
  <c r="B6719" i="106"/>
  <c r="D6719" i="106" s="1"/>
  <c r="E194" i="29"/>
  <c r="B2989" i="106"/>
  <c r="D2989" i="106" s="1"/>
  <c r="K188" i="29"/>
  <c r="B7112" i="106"/>
  <c r="D7112" i="106" s="1"/>
  <c r="K309" i="29"/>
  <c r="B3717" i="106" s="1"/>
  <c r="D3717" i="106" s="1"/>
  <c r="B756" i="106"/>
  <c r="D756" i="106" s="1"/>
  <c r="K75" i="29"/>
  <c r="B4922" i="106"/>
  <c r="D4922" i="106" s="1"/>
  <c r="K169" i="5"/>
  <c r="B5000" i="106" s="1"/>
  <c r="D5000" i="106" s="1"/>
  <c r="B5673" i="106"/>
  <c r="D5673" i="106" s="1"/>
  <c r="F209" i="5"/>
  <c r="B4413" i="106" s="1"/>
  <c r="D4413" i="106" s="1"/>
  <c r="B6682" i="106"/>
  <c r="D6682" i="106" s="1"/>
  <c r="F142" i="34"/>
  <c r="B3648" i="106"/>
  <c r="D3648" i="106" s="1"/>
  <c r="K39" i="29"/>
  <c r="B1112" i="106" s="1"/>
  <c r="D1112" i="106" s="1"/>
  <c r="B724" i="106"/>
  <c r="D724" i="106" s="1"/>
  <c r="B838" i="106"/>
  <c r="D838" i="106" s="1"/>
  <c r="B4865" i="106"/>
  <c r="D4865" i="106" s="1"/>
  <c r="B6946" i="106"/>
  <c r="D6946" i="106" s="1"/>
  <c r="B6884" i="106"/>
  <c r="D6884" i="106" s="1"/>
  <c r="K24" i="29"/>
  <c r="B5821" i="106"/>
  <c r="D5821" i="106" s="1"/>
  <c r="B6779" i="106"/>
  <c r="D6779" i="106" s="1"/>
  <c r="B1316" i="106"/>
  <c r="D1316" i="106" s="1"/>
  <c r="B5275" i="106"/>
  <c r="D5275" i="106" s="1"/>
  <c r="K228" i="29"/>
  <c r="B3392" i="106" s="1"/>
  <c r="D3392" i="106" s="1"/>
  <c r="B3389" i="106"/>
  <c r="D3389" i="106" s="1"/>
  <c r="B6672" i="106"/>
  <c r="D6672" i="106" s="1"/>
  <c r="K56" i="29"/>
  <c r="B736" i="106"/>
  <c r="D736" i="106" s="1"/>
  <c r="B7155" i="106"/>
  <c r="D7155" i="106" s="1"/>
  <c r="B751" i="106"/>
  <c r="D751" i="106" s="1"/>
  <c r="K71" i="29"/>
  <c r="B6671" i="106"/>
  <c r="D6671" i="106" s="1"/>
  <c r="B6985" i="106"/>
  <c r="D6985" i="106" s="1"/>
  <c r="K87" i="29"/>
  <c r="B6986" i="106" s="1"/>
  <c r="D6986" i="106" s="1"/>
  <c r="B6662" i="106"/>
  <c r="D6662" i="106" s="1"/>
  <c r="B7814" i="106"/>
  <c r="D7814" i="106" s="1"/>
  <c r="B6407" i="106"/>
  <c r="D6407" i="106" s="1"/>
  <c r="B4947" i="106"/>
  <c r="D4947" i="106" s="1"/>
  <c r="B7208" i="106"/>
  <c r="D7208" i="106" s="1"/>
  <c r="K337" i="29"/>
  <c r="H340" i="29"/>
  <c r="B7214" i="106" s="1"/>
  <c r="D7214" i="106" s="1"/>
  <c r="F131" i="34"/>
  <c r="B7863" i="106" s="1"/>
  <c r="D7863" i="106" s="1"/>
  <c r="B5280" i="106"/>
  <c r="D5280" i="106" s="1"/>
  <c r="D209" i="5"/>
  <c r="B4412" i="106" s="1"/>
  <c r="D4412" i="106" s="1"/>
  <c r="B5440" i="106"/>
  <c r="D5440" i="106" s="1"/>
  <c r="B1023" i="106"/>
  <c r="D1023" i="106" s="1"/>
  <c r="B1363" i="106"/>
  <c r="D1363" i="106" s="1"/>
  <c r="K241" i="29"/>
  <c r="B1483" i="106" s="1"/>
  <c r="D1483" i="106" s="1"/>
  <c r="B1419" i="106"/>
  <c r="D1419" i="106" s="1"/>
  <c r="B6675" i="106"/>
  <c r="D6675" i="106" s="1"/>
  <c r="B6787" i="106"/>
  <c r="D6787" i="106" s="1"/>
  <c r="C221" i="5"/>
  <c r="B5301" i="106"/>
  <c r="D5301" i="106" s="1"/>
  <c r="B1257" i="106"/>
  <c r="D1257" i="106" s="1"/>
  <c r="B6862" i="106"/>
  <c r="D6862" i="106" s="1"/>
  <c r="E84" i="29"/>
  <c r="B2949" i="106"/>
  <c r="D2949" i="106" s="1"/>
  <c r="K78" i="29"/>
  <c r="B995" i="106"/>
  <c r="D995" i="106" s="1"/>
  <c r="H33" i="29"/>
  <c r="B1010" i="106" s="1"/>
  <c r="D1010" i="106" s="1"/>
  <c r="D53" i="29"/>
  <c r="B792" i="106" s="1"/>
  <c r="D792" i="106" s="1"/>
  <c r="B790" i="106"/>
  <c r="D790" i="106" s="1"/>
  <c r="B7006" i="106"/>
  <c r="D7006" i="106" s="1"/>
  <c r="K98" i="29"/>
  <c r="B7007" i="106" s="1"/>
  <c r="D7007" i="106" s="1"/>
  <c r="B2831" i="106"/>
  <c r="D2831" i="106" s="1"/>
  <c r="K201" i="29"/>
  <c r="B2841" i="106" s="1"/>
  <c r="D2841" i="106" s="1"/>
  <c r="B2723" i="106"/>
  <c r="D2723" i="106" s="1"/>
  <c r="B5439" i="106"/>
  <c r="D5439" i="106" s="1"/>
  <c r="B971" i="106"/>
  <c r="D971" i="106" s="1"/>
  <c r="B5177" i="106"/>
  <c r="D5177" i="106" s="1"/>
  <c r="B7259" i="106"/>
  <c r="B1549" i="106"/>
  <c r="D1549" i="106" s="1"/>
  <c r="H303" i="29"/>
  <c r="B3369" i="106"/>
  <c r="D3369" i="106" s="1"/>
  <c r="B6711" i="106"/>
  <c r="D6711" i="106" s="1"/>
  <c r="B6831" i="106"/>
  <c r="D6831" i="106" s="1"/>
  <c r="K255" i="29"/>
  <c r="B7096" i="106" s="1"/>
  <c r="D7096" i="106" s="1"/>
  <c r="B7095" i="106"/>
  <c r="D7095" i="106" s="1"/>
  <c r="B859" i="106"/>
  <c r="D859" i="106" s="1"/>
  <c r="B7176" i="106"/>
  <c r="D7176" i="106" s="1"/>
  <c r="B6736" i="106"/>
  <c r="D6736" i="106" s="1"/>
  <c r="B805" i="106"/>
  <c r="D805" i="106" s="1"/>
  <c r="F47" i="29"/>
  <c r="B905" i="106" s="1"/>
  <c r="D905" i="106" s="1"/>
  <c r="B902" i="106"/>
  <c r="D902" i="106" s="1"/>
  <c r="B3625" i="106"/>
  <c r="D3625" i="106" s="1"/>
  <c r="G72" i="29"/>
  <c r="B985" i="106" s="1"/>
  <c r="D985" i="106" s="1"/>
  <c r="B978" i="106"/>
  <c r="D978" i="106" s="1"/>
  <c r="B6804" i="106"/>
  <c r="D6804" i="106" s="1"/>
  <c r="B2720" i="106"/>
  <c r="D2720" i="106" s="1"/>
  <c r="B5255" i="106"/>
  <c r="D5255" i="106" s="1"/>
  <c r="B4335" i="106"/>
  <c r="D4335" i="106" s="1"/>
  <c r="B4447" i="106"/>
  <c r="D4447" i="106" s="1"/>
  <c r="B6971" i="106"/>
  <c r="D6971" i="106" s="1"/>
  <c r="B712" i="106"/>
  <c r="D712" i="106" s="1"/>
  <c r="K18" i="29"/>
  <c r="B1100" i="106" s="1"/>
  <c r="D1100" i="106" s="1"/>
  <c r="B5248" i="106"/>
  <c r="D5248" i="106" s="1"/>
  <c r="B6752" i="106"/>
  <c r="D6752" i="106" s="1"/>
  <c r="B3057" i="106"/>
  <c r="D3057" i="106" s="1"/>
  <c r="B6614" i="106"/>
  <c r="D6614" i="106" s="1"/>
  <c r="C252" i="5"/>
  <c r="B6833" i="106" s="1"/>
  <c r="D6833" i="106" s="1"/>
  <c r="B6734" i="106"/>
  <c r="D6734" i="106" s="1"/>
  <c r="B3487" i="106"/>
  <c r="D3487" i="106" s="1"/>
  <c r="J65" i="29"/>
  <c r="B6962" i="106" s="1"/>
  <c r="D6962" i="106" s="1"/>
  <c r="B6951" i="106"/>
  <c r="D6951" i="106" s="1"/>
  <c r="B4948" i="106"/>
  <c r="D4948" i="106" s="1"/>
  <c r="B1240" i="106"/>
  <c r="D1240" i="106" s="1"/>
  <c r="B6399" i="106"/>
  <c r="D6399" i="106" s="1"/>
  <c r="B6847" i="106"/>
  <c r="D6847" i="106" s="1"/>
  <c r="B6679" i="106"/>
  <c r="D6679" i="106" s="1"/>
  <c r="B7142" i="106"/>
  <c r="D7142" i="106" s="1"/>
  <c r="K221" i="29"/>
  <c r="B1406" i="106"/>
  <c r="D1406" i="106" s="1"/>
  <c r="B4359" i="106"/>
  <c r="D4359" i="106" s="1"/>
  <c r="B6797" i="106"/>
  <c r="D6797" i="106" s="1"/>
  <c r="F151" i="34"/>
  <c r="B6777" i="106"/>
  <c r="D6777" i="106" s="1"/>
  <c r="K73" i="29"/>
  <c r="B754" i="106"/>
  <c r="D754" i="106" s="1"/>
  <c r="K181" i="5"/>
  <c r="B6016" i="106" s="1"/>
  <c r="D6016" i="106" s="1"/>
  <c r="B4816" i="106"/>
  <c r="D4816" i="106" s="1"/>
  <c r="B3721" i="106"/>
  <c r="D3721" i="106" s="1"/>
  <c r="K283" i="29"/>
  <c r="B3723" i="106" s="1"/>
  <c r="D3723" i="106" s="1"/>
  <c r="B6390" i="106"/>
  <c r="D6390" i="106" s="1"/>
  <c r="K135" i="29"/>
  <c r="B2987" i="106" s="1"/>
  <c r="D2987" i="106" s="1"/>
  <c r="B4200" i="106"/>
  <c r="D4200" i="106" s="1"/>
  <c r="B6813" i="106"/>
  <c r="D6813" i="106" s="1"/>
  <c r="B1019" i="106"/>
  <c r="D1019" i="106" s="1"/>
  <c r="B6743" i="106"/>
  <c r="D6743" i="106" s="1"/>
  <c r="B1357" i="106"/>
  <c r="D1357" i="106" s="1"/>
  <c r="K234" i="29"/>
  <c r="B1477" i="106" s="1"/>
  <c r="D1477" i="106" s="1"/>
  <c r="B1413" i="106"/>
  <c r="D1413" i="106" s="1"/>
  <c r="B1229" i="106"/>
  <c r="D1229" i="106" s="1"/>
  <c r="B1409" i="106"/>
  <c r="D1409" i="106" s="1"/>
  <c r="K224" i="29"/>
  <c r="B6970" i="106"/>
  <c r="D6970" i="106" s="1"/>
  <c r="K227" i="29"/>
  <c r="B1466" i="106" s="1"/>
  <c r="D1466" i="106" s="1"/>
  <c r="B1402" i="106"/>
  <c r="D1402" i="106" s="1"/>
  <c r="K85" i="29"/>
  <c r="B6982" i="106" s="1"/>
  <c r="D6982" i="106" s="1"/>
  <c r="H92" i="29"/>
  <c r="B6981" i="106"/>
  <c r="D6981" i="106" s="1"/>
  <c r="B2999" i="106"/>
  <c r="D2999" i="106" s="1"/>
  <c r="B7060" i="106"/>
  <c r="D7060" i="106" s="1"/>
  <c r="B4346" i="106"/>
  <c r="D4346" i="106" s="1"/>
  <c r="B6865" i="106"/>
  <c r="D6865" i="106" s="1"/>
  <c r="B5058" i="106"/>
  <c r="D5058" i="106" s="1"/>
  <c r="B6963" i="106"/>
  <c r="D6963" i="106" s="1"/>
  <c r="I72" i="29"/>
  <c r="B6973" i="106" s="1"/>
  <c r="D6973" i="106" s="1"/>
  <c r="B806" i="106"/>
  <c r="D806" i="106" s="1"/>
  <c r="B6653" i="106"/>
  <c r="D6653" i="106" s="1"/>
  <c r="B7252" i="106"/>
  <c r="D7252" i="106" s="1"/>
  <c r="B7174" i="106"/>
  <c r="D7174" i="106" s="1"/>
  <c r="B1313" i="106"/>
  <c r="D1313" i="106" s="1"/>
  <c r="K167" i="29"/>
  <c r="B1327" i="106" s="1"/>
  <c r="D1327" i="106" s="1"/>
  <c r="B6960" i="106"/>
  <c r="D6960" i="106" s="1"/>
  <c r="B1224" i="106"/>
  <c r="D1224" i="106" s="1"/>
  <c r="K128" i="29"/>
  <c r="B1280" i="106" s="1"/>
  <c r="D1280" i="106" s="1"/>
  <c r="K146" i="29"/>
  <c r="B1285" i="106" s="1"/>
  <c r="D1285" i="106" s="1"/>
  <c r="B1270" i="106"/>
  <c r="D1270" i="106" s="1"/>
  <c r="B7128" i="106"/>
  <c r="D7128" i="106" s="1"/>
  <c r="B6688" i="106"/>
  <c r="D6688" i="106" s="1"/>
  <c r="B1219" i="106"/>
  <c r="D1219" i="106" s="1"/>
  <c r="C127" i="29"/>
  <c r="B1223" i="106" s="1"/>
  <c r="D1223" i="106" s="1"/>
  <c r="K122" i="29"/>
  <c r="B7791" i="106"/>
  <c r="D7791" i="106" s="1"/>
  <c r="K354" i="29"/>
  <c r="H357" i="29"/>
  <c r="B7237" i="106" s="1"/>
  <c r="D7237" i="106" s="1"/>
  <c r="B6696" i="106"/>
  <c r="D6696" i="106" s="1"/>
  <c r="B7186" i="106"/>
  <c r="D7186" i="106" s="1"/>
  <c r="B6811" i="106"/>
  <c r="D6811" i="106" s="1"/>
  <c r="B6680" i="106"/>
  <c r="D6680" i="106" s="1"/>
  <c r="B1008" i="106"/>
  <c r="D1008" i="106" s="1"/>
  <c r="B4805" i="106"/>
  <c r="D4805" i="106" s="1"/>
  <c r="B1262" i="106"/>
  <c r="D1262" i="106" s="1"/>
  <c r="B6980" i="106"/>
  <c r="D6980" i="106" s="1"/>
  <c r="B7229" i="106"/>
  <c r="D7229" i="106" s="1"/>
  <c r="B1447" i="106"/>
  <c r="D1447" i="106" s="1"/>
  <c r="K280" i="29"/>
  <c r="B857" i="106"/>
  <c r="D857" i="106" s="1"/>
  <c r="B6710" i="106"/>
  <c r="D6710" i="106" s="1"/>
  <c r="B1315" i="106"/>
  <c r="D1315" i="106" s="1"/>
  <c r="D69" i="36"/>
  <c r="K170" i="29"/>
  <c r="B3371" i="106"/>
  <c r="D3371" i="106" s="1"/>
  <c r="B6954" i="106"/>
  <c r="D6954" i="106" s="1"/>
  <c r="B6799" i="106"/>
  <c r="D6799" i="106" s="1"/>
  <c r="B5697" i="106"/>
  <c r="D5697" i="106" s="1"/>
  <c r="B852" i="106"/>
  <c r="D852" i="106" s="1"/>
  <c r="B4339" i="106"/>
  <c r="D4339" i="106" s="1"/>
  <c r="B1531" i="106"/>
  <c r="D1531" i="106" s="1"/>
  <c r="E303" i="29"/>
  <c r="B2979" i="106"/>
  <c r="D2979" i="106" s="1"/>
  <c r="B6703" i="106"/>
  <c r="D6703" i="106" s="1"/>
  <c r="B4407" i="106"/>
  <c r="D4407" i="106" s="1"/>
  <c r="B784" i="106"/>
  <c r="D784" i="106" s="1"/>
  <c r="K16" i="29"/>
  <c r="B1094" i="106" s="1"/>
  <c r="D1094" i="106" s="1"/>
  <c r="B706" i="106"/>
  <c r="D706" i="106" s="1"/>
  <c r="D184" i="29"/>
  <c r="B4082" i="106"/>
  <c r="D4082" i="106" s="1"/>
  <c r="B5256" i="106"/>
  <c r="D5256" i="106" s="1"/>
  <c r="C209" i="5"/>
  <c r="B4411" i="106" s="1"/>
  <c r="D4411" i="106" s="1"/>
  <c r="B916" i="106"/>
  <c r="D916" i="106" s="1"/>
  <c r="B3483" i="106"/>
  <c r="D3483" i="106" s="1"/>
  <c r="B845" i="106"/>
  <c r="D845" i="106" s="1"/>
  <c r="B4382" i="106"/>
  <c r="D4382" i="106" s="1"/>
  <c r="B1360" i="106"/>
  <c r="D1360" i="106" s="1"/>
  <c r="B4179" i="106"/>
  <c r="D4179" i="106" s="1"/>
  <c r="B6912" i="106"/>
  <c r="D6912" i="106" s="1"/>
  <c r="B1534" i="106"/>
  <c r="D1534" i="106" s="1"/>
  <c r="B6906" i="106"/>
  <c r="D6906" i="106" s="1"/>
  <c r="B5691" i="106"/>
  <c r="D5691" i="106" s="1"/>
  <c r="F217" i="5"/>
  <c r="B5703" i="106" s="1"/>
  <c r="D5703" i="106" s="1"/>
  <c r="B6802" i="106"/>
  <c r="D6802" i="106" s="1"/>
  <c r="B1237" i="106"/>
  <c r="D1237" i="106" s="1"/>
  <c r="B6966" i="106"/>
  <c r="D6966" i="106" s="1"/>
  <c r="B6824" i="106"/>
  <c r="D6824" i="106" s="1"/>
  <c r="B7768" i="106"/>
  <c r="D7768" i="106" s="1"/>
  <c r="B7687" i="106"/>
  <c r="D7687" i="106" s="1"/>
  <c r="J303" i="29"/>
  <c r="B7100" i="106"/>
  <c r="D7100" i="106" s="1"/>
  <c r="B7134" i="106"/>
  <c r="D7134" i="106" s="1"/>
  <c r="B2980" i="106"/>
  <c r="D2980" i="106" s="1"/>
  <c r="B864" i="106"/>
  <c r="D864" i="106" s="1"/>
  <c r="B739" i="106"/>
  <c r="D739" i="106" s="1"/>
  <c r="K60" i="29"/>
  <c r="J127" i="29"/>
  <c r="B7034" i="106" s="1"/>
  <c r="D7034" i="106" s="1"/>
  <c r="B7025" i="106"/>
  <c r="D7025" i="106" s="1"/>
  <c r="B3638" i="106"/>
  <c r="D3638" i="106" s="1"/>
  <c r="F350" i="29"/>
  <c r="B7141" i="106"/>
  <c r="D7141" i="106" s="1"/>
  <c r="B4375" i="106"/>
  <c r="D4375" i="106" s="1"/>
  <c r="B6803" i="106"/>
  <c r="D6803" i="106" s="1"/>
  <c r="B6872" i="106"/>
  <c r="D6872" i="106" s="1"/>
  <c r="B6684" i="106"/>
  <c r="D6684" i="106" s="1"/>
  <c r="B6928" i="106"/>
  <c r="D6928" i="106" s="1"/>
  <c r="B6687" i="106"/>
  <c r="D6687" i="106" s="1"/>
  <c r="B1030" i="106"/>
  <c r="D1030" i="106" s="1"/>
  <c r="B5241" i="106"/>
  <c r="D5241" i="106" s="1"/>
  <c r="K96" i="29"/>
  <c r="B7003" i="106" s="1"/>
  <c r="D7003" i="106" s="1"/>
  <c r="B7002" i="106"/>
  <c r="D7002" i="106" s="1"/>
  <c r="B2812" i="106"/>
  <c r="D2812" i="106" s="1"/>
  <c r="K165" i="29"/>
  <c r="B2818" i="106" s="1"/>
  <c r="D2818" i="106" s="1"/>
  <c r="K19" i="29"/>
  <c r="B3381" i="106" s="1"/>
  <c r="D3381" i="106" s="1"/>
  <c r="B3367" i="106"/>
  <c r="D3367" i="106" s="1"/>
  <c r="B1338" i="106"/>
  <c r="D1338" i="106" s="1"/>
  <c r="K183" i="29"/>
  <c r="B1380" i="106" s="1"/>
  <c r="D1380" i="106" s="1"/>
  <c r="G209" i="5"/>
  <c r="B4414" i="106" s="1"/>
  <c r="D4414" i="106" s="1"/>
  <c r="B5799" i="106"/>
  <c r="D5799" i="106" s="1"/>
  <c r="B6845" i="106"/>
  <c r="D6845" i="106" s="1"/>
  <c r="J33" i="29"/>
  <c r="B6903" i="106" s="1"/>
  <c r="D6903" i="106" s="1"/>
  <c r="B786" i="106"/>
  <c r="D786" i="106" s="1"/>
  <c r="D47" i="29"/>
  <c r="B789" i="106" s="1"/>
  <c r="D789" i="106" s="1"/>
  <c r="B7694" i="106"/>
  <c r="D7694" i="106" s="1"/>
  <c r="B7192" i="106"/>
  <c r="D7192" i="106" s="1"/>
  <c r="B6769" i="106"/>
  <c r="D6769" i="106" s="1"/>
  <c r="F150" i="34"/>
  <c r="B4332" i="106"/>
  <c r="D4332" i="106" s="1"/>
  <c r="B4415" i="106"/>
  <c r="D4415" i="106" s="1"/>
  <c r="F162" i="34"/>
  <c r="B7869" i="106" s="1"/>
  <c r="D7869" i="106" s="1"/>
  <c r="B4394" i="106"/>
  <c r="D4394" i="106" s="1"/>
  <c r="B6676" i="106"/>
  <c r="D6676" i="106" s="1"/>
  <c r="F132" i="34"/>
  <c r="B7864" i="106" s="1"/>
  <c r="D7864" i="106" s="1"/>
  <c r="B4340" i="106"/>
  <c r="D4340" i="106" s="1"/>
  <c r="B4341" i="106"/>
  <c r="D4341" i="106" s="1"/>
  <c r="B6402" i="106"/>
  <c r="D6402" i="106" s="1"/>
  <c r="G198" i="5"/>
  <c r="B6409" i="106" s="1"/>
  <c r="D6409" i="106" s="1"/>
  <c r="K268" i="29"/>
  <c r="B1497" i="106" s="1"/>
  <c r="D1497" i="106" s="1"/>
  <c r="B1433" i="106"/>
  <c r="D1433" i="106" s="1"/>
  <c r="B6875" i="106"/>
  <c r="D6875" i="106" s="1"/>
  <c r="B5757" i="106"/>
  <c r="D5757" i="106" s="1"/>
  <c r="J175" i="5"/>
  <c r="B6398" i="106"/>
  <c r="D6398" i="106" s="1"/>
  <c r="B858" i="106"/>
  <c r="D858" i="106" s="1"/>
  <c r="B7232" i="106"/>
  <c r="D7232" i="106" s="1"/>
  <c r="B4191" i="106"/>
  <c r="D4191" i="106" s="1"/>
  <c r="B7774" i="106"/>
  <c r="D7774" i="106" s="1"/>
  <c r="E137" i="29"/>
  <c r="K133" i="29"/>
  <c r="B5692" i="106"/>
  <c r="D5692" i="106" s="1"/>
  <c r="B718" i="106"/>
  <c r="D718" i="106" s="1"/>
  <c r="K14" i="29"/>
  <c r="B1106" i="106" s="1"/>
  <c r="D1106" i="106" s="1"/>
  <c r="B6735" i="106"/>
  <c r="D6735" i="106" s="1"/>
  <c r="B962" i="106"/>
  <c r="D962" i="106" s="1"/>
  <c r="F65" i="29"/>
  <c r="B919" i="106" s="1"/>
  <c r="D919" i="106" s="1"/>
  <c r="B912" i="106"/>
  <c r="D912" i="106" s="1"/>
  <c r="B6670" i="106"/>
  <c r="D6670" i="106" s="1"/>
  <c r="B5779" i="106"/>
  <c r="D5779" i="106" s="1"/>
  <c r="G175" i="5"/>
  <c r="B5780" i="106" s="1"/>
  <c r="D5780" i="106" s="1"/>
  <c r="B6692" i="106"/>
  <c r="D6692" i="106" s="1"/>
  <c r="B5791" i="106"/>
  <c r="D5791" i="106" s="1"/>
  <c r="B1429" i="106"/>
  <c r="D1429" i="106" s="1"/>
  <c r="K264" i="29"/>
  <c r="B1493" i="106" s="1"/>
  <c r="D1493" i="106" s="1"/>
  <c r="K222" i="29"/>
  <c r="B1471" i="106" s="1"/>
  <c r="D1471" i="106" s="1"/>
  <c r="B1407" i="106"/>
  <c r="D1407" i="106" s="1"/>
  <c r="K148" i="29"/>
  <c r="B7050" i="106" s="1"/>
  <c r="D7050" i="106" s="1"/>
  <c r="B7049" i="106"/>
  <c r="D7049" i="106" s="1"/>
  <c r="K99" i="29"/>
  <c r="B7010" i="106" s="1"/>
  <c r="D7010" i="106" s="1"/>
  <c r="B7008" i="106"/>
  <c r="D7008" i="106" s="1"/>
  <c r="E100" i="29"/>
  <c r="B7011" i="106" s="1"/>
  <c r="D7011" i="106" s="1"/>
  <c r="H169" i="5"/>
  <c r="B4920" i="106"/>
  <c r="D4920" i="106" s="1"/>
  <c r="B900" i="106"/>
  <c r="D900" i="106" s="1"/>
  <c r="E184" i="29"/>
  <c r="B1351" i="106" s="1"/>
  <c r="D1351" i="106" s="1"/>
  <c r="B4083" i="106"/>
  <c r="D4083" i="106" s="1"/>
  <c r="C155" i="5"/>
  <c r="B5175" i="106"/>
  <c r="D5175" i="106" s="1"/>
  <c r="L174" i="29"/>
  <c r="B776" i="106"/>
  <c r="D776" i="106" s="1"/>
  <c r="K218" i="29"/>
  <c r="B7075" i="106"/>
  <c r="D7075" i="106" s="1"/>
  <c r="B983" i="106"/>
  <c r="D983" i="106" s="1"/>
  <c r="B2722" i="106"/>
  <c r="D2722" i="106" s="1"/>
  <c r="B6706" i="106"/>
  <c r="D6706" i="106" s="1"/>
  <c r="I65" i="29"/>
  <c r="B6961" i="106" s="1"/>
  <c r="D6961" i="106" s="1"/>
  <c r="B6950" i="106"/>
  <c r="D6950" i="106" s="1"/>
  <c r="B6869" i="106"/>
  <c r="D6869" i="106" s="1"/>
  <c r="B6749" i="106"/>
  <c r="D6749" i="106" s="1"/>
  <c r="B6689" i="106"/>
  <c r="D6689" i="106" s="1"/>
  <c r="B6780" i="106"/>
  <c r="D6780" i="106" s="1"/>
  <c r="B4318" i="106"/>
  <c r="D4318" i="106" s="1"/>
  <c r="B6800" i="106"/>
  <c r="D6800" i="106" s="1"/>
  <c r="B4801" i="106"/>
  <c r="D4801" i="106" s="1"/>
  <c r="B6705" i="106"/>
  <c r="D6705" i="106" s="1"/>
  <c r="B7014" i="106"/>
  <c r="D7014" i="106" s="1"/>
  <c r="B7267" i="106"/>
  <c r="K52" i="29"/>
  <c r="B6940" i="106" s="1"/>
  <c r="D6940" i="106" s="1"/>
  <c r="B6932" i="106"/>
  <c r="D6932" i="106" s="1"/>
  <c r="B1269" i="106"/>
  <c r="D1269" i="106" s="1"/>
  <c r="K143" i="29"/>
  <c r="B1284" i="106" s="1"/>
  <c r="D1284" i="106" s="1"/>
  <c r="B799" i="106"/>
  <c r="D799" i="106" s="1"/>
  <c r="B1009" i="106"/>
  <c r="D1009" i="106" s="1"/>
  <c r="B6748" i="106"/>
  <c r="D6748" i="106" s="1"/>
  <c r="B6850" i="106"/>
  <c r="D6850" i="106" s="1"/>
  <c r="B1033" i="106"/>
  <c r="D1033" i="106" s="1"/>
  <c r="B7701" i="106"/>
  <c r="D7701" i="106" s="1"/>
  <c r="B828" i="106"/>
  <c r="D828" i="106" s="1"/>
  <c r="B3059" i="106"/>
  <c r="D3059" i="106" s="1"/>
  <c r="B4417" i="106"/>
  <c r="D4417" i="106" s="1"/>
  <c r="B3627" i="106"/>
  <c r="D3627" i="106" s="1"/>
  <c r="B6911" i="106"/>
  <c r="D6911" i="106" s="1"/>
  <c r="B7707" i="106"/>
  <c r="D7707" i="106" s="1"/>
  <c r="B1031" i="106"/>
  <c r="D1031" i="106" s="1"/>
  <c r="B6751" i="106"/>
  <c r="D6751" i="106" s="1"/>
  <c r="B6678" i="106"/>
  <c r="D6678" i="106" s="1"/>
  <c r="B7147" i="106"/>
  <c r="D7147" i="106" s="1"/>
  <c r="B4364" i="106"/>
  <c r="D4364" i="106" s="1"/>
  <c r="E175" i="5"/>
  <c r="B4372" i="106" s="1"/>
  <c r="D4372" i="106" s="1"/>
  <c r="B7268" i="106"/>
  <c r="K324" i="29"/>
  <c r="B7163" i="106"/>
  <c r="D7163" i="106" s="1"/>
  <c r="K191" i="29"/>
  <c r="B3010" i="106" s="1"/>
  <c r="D3010" i="106" s="1"/>
  <c r="B2992" i="106"/>
  <c r="D2992" i="106" s="1"/>
  <c r="B7009" i="106"/>
  <c r="D7009" i="106" s="1"/>
  <c r="B4315" i="106"/>
  <c r="D4315" i="106" s="1"/>
  <c r="K82" i="29"/>
  <c r="B2977" i="106" s="1"/>
  <c r="D2977" i="106" s="1"/>
  <c r="B2953" i="106"/>
  <c r="D2953" i="106" s="1"/>
  <c r="K273" i="29"/>
  <c r="B1502" i="106" s="1"/>
  <c r="D1502" i="106" s="1"/>
  <c r="B1438" i="106"/>
  <c r="D1438" i="106" s="1"/>
  <c r="B4334" i="106"/>
  <c r="D4334" i="106" s="1"/>
  <c r="E57" i="29"/>
  <c r="B853" i="106" s="1"/>
  <c r="D853" i="106" s="1"/>
  <c r="B851" i="106"/>
  <c r="D851" i="106" s="1"/>
  <c r="B4190" i="106"/>
  <c r="D4190" i="106" s="1"/>
  <c r="B6720" i="106"/>
  <c r="D6720" i="106" s="1"/>
  <c r="F145" i="34"/>
  <c r="B798" i="106"/>
  <c r="D798" i="106" s="1"/>
  <c r="B6631" i="106"/>
  <c r="D6631" i="106" s="1"/>
  <c r="B7690" i="106"/>
  <c r="D7690" i="106" s="1"/>
  <c r="B7247" i="106"/>
  <c r="D7247" i="106" s="1"/>
  <c r="B6708" i="106"/>
  <c r="D6708" i="106" s="1"/>
  <c r="B6685" i="106"/>
  <c r="D6685" i="106" s="1"/>
  <c r="F134" i="34"/>
  <c r="B6622" i="106"/>
  <c r="D6622" i="106" s="1"/>
  <c r="B6388" i="106"/>
  <c r="D6388" i="106" s="1"/>
  <c r="F119" i="34"/>
  <c r="B7853" i="106" s="1"/>
  <c r="D7853" i="106" s="1"/>
  <c r="B722" i="106"/>
  <c r="D722" i="106" s="1"/>
  <c r="K37" i="29"/>
  <c r="B1110" i="106" s="1"/>
  <c r="D1110" i="106" s="1"/>
  <c r="B1014" i="106"/>
  <c r="D1014" i="106" s="1"/>
  <c r="B1220" i="106"/>
  <c r="D1220" i="106" s="1"/>
  <c r="K123" i="29"/>
  <c r="B1275" i="106" s="1"/>
  <c r="D1275" i="106" s="1"/>
  <c r="B6738" i="106"/>
  <c r="D6738" i="106" s="1"/>
  <c r="B2791" i="106"/>
  <c r="D2791" i="106" s="1"/>
  <c r="K107" i="29"/>
  <c r="B2795" i="106" s="1"/>
  <c r="D2795" i="106" s="1"/>
  <c r="K108" i="29"/>
  <c r="B2796" i="106" s="1"/>
  <c r="D2796" i="106" s="1"/>
  <c r="B2792" i="106"/>
  <c r="D2792" i="106" s="1"/>
  <c r="B6922" i="106"/>
  <c r="D6922" i="106" s="1"/>
  <c r="B1235" i="106"/>
  <c r="D1235" i="106" s="1"/>
  <c r="E127" i="29"/>
  <c r="B1239" i="106" s="1"/>
  <c r="D1239" i="106" s="1"/>
  <c r="B6746" i="106"/>
  <c r="D6746" i="106" s="1"/>
  <c r="B1244" i="106"/>
  <c r="D1244" i="106" s="1"/>
  <c r="B7145" i="106"/>
  <c r="D7145" i="106" s="1"/>
  <c r="K322" i="29"/>
  <c r="B3000" i="106"/>
  <c r="D3000" i="106" s="1"/>
  <c r="C204" i="5"/>
  <c r="B5247" i="106"/>
  <c r="D5247" i="106" s="1"/>
  <c r="F113" i="34"/>
  <c r="B5181" i="106"/>
  <c r="D5181" i="106" s="1"/>
  <c r="B4369" i="106"/>
  <c r="D4369" i="106" s="1"/>
  <c r="H65" i="29"/>
  <c r="B1035" i="106" s="1"/>
  <c r="D1035" i="106" s="1"/>
  <c r="B1028" i="106"/>
  <c r="D1028" i="106" s="1"/>
  <c r="B7238" i="106"/>
  <c r="D7238" i="106" s="1"/>
  <c r="K361" i="29"/>
  <c r="B7239" i="106" s="1"/>
  <c r="D7239" i="106" s="1"/>
  <c r="B956" i="106"/>
  <c r="D956" i="106" s="1"/>
  <c r="B5818" i="106"/>
  <c r="D5818" i="106" s="1"/>
  <c r="C42" i="29"/>
  <c r="K36" i="29"/>
  <c r="B721" i="106"/>
  <c r="D721" i="106" s="1"/>
  <c r="B7022" i="106"/>
  <c r="D7022" i="106" s="1"/>
  <c r="J47" i="29"/>
  <c r="B6925" i="106" s="1"/>
  <c r="D6925" i="106" s="1"/>
  <c r="B6919" i="106"/>
  <c r="D6919" i="106" s="1"/>
  <c r="B7233" i="106"/>
  <c r="D7233" i="106" s="1"/>
  <c r="B7185" i="106"/>
  <c r="D7185" i="106" s="1"/>
  <c r="B4915" i="106"/>
  <c r="D4915" i="106" s="1"/>
  <c r="F118" i="34"/>
  <c r="B7852" i="106" s="1"/>
  <c r="D7852" i="106" s="1"/>
  <c r="B4794" i="106"/>
  <c r="D4794" i="106" s="1"/>
  <c r="B1537" i="106"/>
  <c r="D1537" i="106" s="1"/>
  <c r="F303" i="29"/>
  <c r="B7265" i="106"/>
  <c r="D238" i="29"/>
  <c r="B1411" i="106"/>
  <c r="D1411" i="106" s="1"/>
  <c r="K232" i="29"/>
  <c r="B899" i="106"/>
  <c r="D899" i="106" s="1"/>
  <c r="B915" i="106"/>
  <c r="D915" i="106" s="1"/>
  <c r="B855" i="106"/>
  <c r="D855" i="106" s="1"/>
  <c r="B4379" i="106"/>
  <c r="D4379" i="106" s="1"/>
  <c r="B835" i="106"/>
  <c r="D835" i="106" s="1"/>
  <c r="B4392" i="106"/>
  <c r="D4392" i="106" s="1"/>
  <c r="B6652" i="106"/>
  <c r="D6652" i="106" s="1"/>
  <c r="B6855" i="106"/>
  <c r="D6855" i="106" s="1"/>
  <c r="B6849" i="106"/>
  <c r="D6849" i="106" s="1"/>
  <c r="B5823" i="106"/>
  <c r="D5823" i="106" s="1"/>
  <c r="K164" i="29"/>
  <c r="B1325" i="106" s="1"/>
  <c r="D1325" i="106" s="1"/>
  <c r="B1311" i="106"/>
  <c r="D1311" i="106" s="1"/>
  <c r="B4868" i="106"/>
  <c r="D4868" i="106" s="1"/>
  <c r="B6807" i="106"/>
  <c r="D6807" i="106" s="1"/>
  <c r="B5710" i="106"/>
  <c r="D5710" i="106" s="1"/>
  <c r="B794" i="106"/>
  <c r="D794" i="106" s="1"/>
  <c r="B5672" i="106"/>
  <c r="D5672" i="106" s="1"/>
  <c r="K12" i="29"/>
  <c r="B716" i="106"/>
  <c r="D716" i="106" s="1"/>
  <c r="B7029" i="106"/>
  <c r="D7029" i="106" s="1"/>
  <c r="B988" i="106"/>
  <c r="D988" i="106" s="1"/>
  <c r="K251" i="29"/>
  <c r="B7088" i="106" s="1"/>
  <c r="D7088" i="106" s="1"/>
  <c r="B7087" i="106"/>
  <c r="D7087" i="106" s="1"/>
  <c r="D330" i="29"/>
  <c r="B7119" i="106"/>
  <c r="D7119" i="106" s="1"/>
  <c r="B3653" i="106"/>
  <c r="D3653" i="106" s="1"/>
  <c r="B7703" i="106"/>
  <c r="D7703" i="106" s="1"/>
  <c r="B6828" i="106"/>
  <c r="D6828" i="106" s="1"/>
  <c r="B7262" i="106"/>
  <c r="B3634" i="106"/>
  <c r="D3634" i="106" s="1"/>
  <c r="B6722" i="106"/>
  <c r="D6722" i="106" s="1"/>
  <c r="B3058" i="106"/>
  <c r="D3058" i="106" s="1"/>
  <c r="K13" i="29"/>
  <c r="B1105" i="106" s="1"/>
  <c r="D1105" i="106" s="1"/>
  <c r="B717" i="106"/>
  <c r="D717" i="106" s="1"/>
  <c r="D217" i="5"/>
  <c r="B5470" i="106" s="1"/>
  <c r="D5470" i="106" s="1"/>
  <c r="B5458" i="106"/>
  <c r="D5458" i="106" s="1"/>
  <c r="F31" i="34"/>
  <c r="B7824" i="106" s="1"/>
  <c r="B1007" i="106"/>
  <c r="D1007" i="106" s="1"/>
  <c r="E129" i="29"/>
  <c r="B1241" i="106" s="1"/>
  <c r="D1241" i="106" s="1"/>
  <c r="B4076" i="106"/>
  <c r="D4076" i="106" s="1"/>
  <c r="B7182" i="106"/>
  <c r="D7182" i="106" s="1"/>
  <c r="B5907" i="106"/>
  <c r="D5907" i="106" s="1"/>
  <c r="H181" i="5"/>
  <c r="B5908" i="106" s="1"/>
  <c r="D5908" i="106" s="1"/>
  <c r="B6658" i="106"/>
  <c r="D6658" i="106" s="1"/>
  <c r="B1260" i="106"/>
  <c r="D1260" i="106" s="1"/>
  <c r="H127" i="29"/>
  <c r="B1264" i="106" s="1"/>
  <c r="D1264" i="106" s="1"/>
  <c r="B923" i="106"/>
  <c r="D923" i="106" s="1"/>
  <c r="B5243" i="106"/>
  <c r="D5243" i="106" s="1"/>
  <c r="B980" i="106"/>
  <c r="D980" i="106" s="1"/>
  <c r="K142" i="29"/>
  <c r="B1268" i="106"/>
  <c r="D1268" i="106" s="1"/>
  <c r="H147" i="29"/>
  <c r="B5239" i="106"/>
  <c r="D5239" i="106" s="1"/>
  <c r="B1012" i="106"/>
  <c r="D1012" i="106" s="1"/>
  <c r="B7099" i="106"/>
  <c r="D7099" i="106" s="1"/>
  <c r="I303" i="29"/>
  <c r="B7157" i="106"/>
  <c r="D7157" i="106" s="1"/>
  <c r="B7249" i="106"/>
  <c r="D7249" i="106" s="1"/>
  <c r="B6910" i="106"/>
  <c r="D6910" i="106" s="1"/>
  <c r="B4919" i="106"/>
  <c r="D4919" i="106" s="1"/>
  <c r="B800" i="106"/>
  <c r="D800" i="106" s="1"/>
  <c r="B3374" i="106"/>
  <c r="D3374" i="106" s="1"/>
  <c r="B948" i="106"/>
  <c r="D948" i="106" s="1"/>
  <c r="B6952" i="106"/>
  <c r="D6952" i="106" s="1"/>
  <c r="B7158" i="106"/>
  <c r="D7158" i="106" s="1"/>
  <c r="B6742" i="106"/>
  <c r="D6742" i="106" s="1"/>
  <c r="B4799" i="106"/>
  <c r="D4799" i="106" s="1"/>
  <c r="B783" i="106"/>
  <c r="D783" i="106" s="1"/>
  <c r="B4345" i="106"/>
  <c r="D4345" i="106" s="1"/>
  <c r="B6668" i="106"/>
  <c r="D6668" i="106" s="1"/>
  <c r="B4381" i="106"/>
  <c r="D4381" i="106" s="1"/>
  <c r="B6934" i="106"/>
  <c r="D6934" i="106" s="1"/>
  <c r="B4376" i="106"/>
  <c r="D4376" i="106" s="1"/>
  <c r="B6669" i="106"/>
  <c r="D6669" i="106" s="1"/>
  <c r="B2960" i="106"/>
  <c r="D2960" i="106" s="1"/>
  <c r="B6783" i="106"/>
  <c r="D6783" i="106" s="1"/>
  <c r="B898" i="106"/>
  <c r="D898" i="106" s="1"/>
  <c r="B2956" i="106"/>
  <c r="D2956" i="106" s="1"/>
  <c r="B6756" i="106"/>
  <c r="D6756" i="106" s="1"/>
  <c r="B5708" i="106"/>
  <c r="D5708" i="106" s="1"/>
  <c r="K63" i="29"/>
  <c r="B742" i="106"/>
  <c r="D742" i="106" s="1"/>
  <c r="B1038" i="106"/>
  <c r="D1038" i="106" s="1"/>
  <c r="B895" i="106"/>
  <c r="D895" i="106" s="1"/>
  <c r="F42" i="29"/>
  <c r="F160" i="34"/>
  <c r="B7867" i="106" s="1"/>
  <c r="D7867" i="106" s="1"/>
  <c r="B7765" i="106"/>
  <c r="D7765" i="106" s="1"/>
  <c r="B6809" i="106"/>
  <c r="D6809" i="106" s="1"/>
  <c r="F155" i="34"/>
  <c r="B4336" i="106"/>
  <c r="D4336" i="106" s="1"/>
  <c r="D277" i="29"/>
  <c r="B1444" i="106" s="1"/>
  <c r="D1444" i="106" s="1"/>
  <c r="B1437" i="106"/>
  <c r="D1437" i="106" s="1"/>
  <c r="K272" i="29"/>
  <c r="B7143" i="106"/>
  <c r="D7143" i="106" s="1"/>
  <c r="B4361" i="106"/>
  <c r="D4361" i="106" s="1"/>
  <c r="B4322" i="106"/>
  <c r="D4322" i="106" s="1"/>
  <c r="D127" i="29"/>
  <c r="B1231" i="106" s="1"/>
  <c r="D1231" i="106" s="1"/>
  <c r="B1227" i="106"/>
  <c r="D1227" i="106" s="1"/>
  <c r="B2829" i="106"/>
  <c r="D2829" i="106" s="1"/>
  <c r="B6618" i="106"/>
  <c r="D6618" i="106" s="1"/>
  <c r="G252" i="5"/>
  <c r="B6837" i="106" s="1"/>
  <c r="D6837" i="106" s="1"/>
  <c r="B7057" i="106"/>
  <c r="D7057" i="106" s="1"/>
  <c r="I184" i="29"/>
  <c r="B4918" i="106"/>
  <c r="D4918" i="106" s="1"/>
  <c r="B6873" i="106"/>
  <c r="D6873" i="106" s="1"/>
  <c r="B7704" i="106"/>
  <c r="D7704" i="106" s="1"/>
  <c r="B793" i="106"/>
  <c r="D793" i="106" s="1"/>
  <c r="D57" i="29"/>
  <c r="B795" i="106" s="1"/>
  <c r="D795" i="106" s="1"/>
  <c r="B849" i="106"/>
  <c r="D849" i="106" s="1"/>
  <c r="B7699" i="106"/>
  <c r="D7699" i="106" s="1"/>
  <c r="B3372" i="106"/>
  <c r="D3372" i="106" s="1"/>
  <c r="B6381" i="106"/>
  <c r="D6381" i="106" s="1"/>
  <c r="B1540" i="106"/>
  <c r="D1540" i="106" s="1"/>
  <c r="K134" i="29"/>
  <c r="B2986" i="106" s="1"/>
  <c r="D2986" i="106" s="1"/>
  <c r="B4199" i="106"/>
  <c r="D4199" i="106" s="1"/>
  <c r="B7159" i="106"/>
  <c r="D7159" i="106" s="1"/>
  <c r="K278" i="29"/>
  <c r="B1509" i="106" s="1"/>
  <c r="D1509" i="106" s="1"/>
  <c r="B1445" i="106"/>
  <c r="D1445" i="106" s="1"/>
  <c r="B1026" i="106"/>
  <c r="D1026" i="106" s="1"/>
  <c r="B7031" i="106"/>
  <c r="D7031" i="106" s="1"/>
  <c r="B6856" i="106"/>
  <c r="D6856" i="106" s="1"/>
  <c r="B1408" i="106"/>
  <c r="D1408" i="106" s="1"/>
  <c r="K223" i="29"/>
  <c r="B1472" i="106" s="1"/>
  <c r="D1472" i="106" s="1"/>
  <c r="K69" i="29"/>
  <c r="B748" i="106"/>
  <c r="D748" i="106" s="1"/>
  <c r="B6733" i="106"/>
  <c r="D6733" i="106" s="1"/>
  <c r="B6700" i="106"/>
  <c r="D6700" i="106" s="1"/>
  <c r="B4317" i="106"/>
  <c r="D4317" i="106" s="1"/>
  <c r="F120" i="34"/>
  <c r="B7854" i="106" s="1"/>
  <c r="D7854" i="106" s="1"/>
  <c r="B965" i="106"/>
  <c r="D965" i="106" s="1"/>
  <c r="B7266" i="106"/>
  <c r="B5696" i="106"/>
  <c r="D5696" i="106" s="1"/>
  <c r="K200" i="29"/>
  <c r="B1384" i="106" s="1"/>
  <c r="D1384" i="106" s="1"/>
  <c r="B1372" i="106"/>
  <c r="D1372" i="106" s="1"/>
  <c r="B6641" i="106"/>
  <c r="D6641" i="106" s="1"/>
  <c r="B6709" i="106"/>
  <c r="D6709" i="106" s="1"/>
  <c r="B6784" i="106"/>
  <c r="D6784" i="106" s="1"/>
  <c r="B6770" i="106"/>
  <c r="D6770" i="106" s="1"/>
  <c r="B841" i="106"/>
  <c r="D841" i="106" s="1"/>
  <c r="K44" i="29"/>
  <c r="C47" i="29"/>
  <c r="B731" i="106" s="1"/>
  <c r="D731" i="106" s="1"/>
  <c r="B728" i="106"/>
  <c r="D728" i="106" s="1"/>
  <c r="K124" i="29"/>
  <c r="B1276" i="106" s="1"/>
  <c r="D1276" i="106" s="1"/>
  <c r="B1221" i="106"/>
  <c r="D1221" i="106" s="1"/>
  <c r="B4420" i="106"/>
  <c r="D4420" i="106" s="1"/>
  <c r="B6636" i="106"/>
  <c r="D6636" i="106" s="1"/>
  <c r="E53" i="29"/>
  <c r="B850" i="106" s="1"/>
  <c r="D850" i="106" s="1"/>
  <c r="B848" i="106"/>
  <c r="D848" i="106" s="1"/>
  <c r="B7775" i="106"/>
  <c r="D7775" i="106" s="1"/>
  <c r="H137" i="29"/>
  <c r="H139" i="29" s="1"/>
  <c r="B1267" i="106" s="1"/>
  <c r="D1267" i="106" s="1"/>
  <c r="B6759" i="106"/>
  <c r="D6759" i="106" s="1"/>
  <c r="B6750" i="106"/>
  <c r="D6750" i="106" s="1"/>
  <c r="B4181" i="106"/>
  <c r="D4181" i="106" s="1"/>
  <c r="G303" i="29"/>
  <c r="B1543" i="106"/>
  <c r="D1543" i="106" s="1"/>
  <c r="B4368" i="106"/>
  <c r="D4368" i="106" s="1"/>
  <c r="K175" i="5"/>
  <c r="B4951" i="106" s="1"/>
  <c r="D4951" i="106" s="1"/>
  <c r="B914" i="106"/>
  <c r="D914" i="106" s="1"/>
  <c r="B6821" i="106"/>
  <c r="D6821" i="106" s="1"/>
  <c r="H310" i="29"/>
  <c r="B7115" i="106" s="1"/>
  <c r="D7115" i="106" s="1"/>
  <c r="B7106" i="106"/>
  <c r="D7106" i="106" s="1"/>
  <c r="K171" i="29"/>
  <c r="B1330" i="106" s="1"/>
  <c r="D1330" i="106" s="1"/>
  <c r="E172" i="29"/>
  <c r="E174" i="29" s="1"/>
  <c r="B1309" i="106" s="1"/>
  <c r="D1309" i="106" s="1"/>
  <c r="B1307" i="106"/>
  <c r="D1307" i="106" s="1"/>
  <c r="K355" i="29"/>
  <c r="B7794" i="106" s="1"/>
  <c r="D7794" i="106" s="1"/>
  <c r="B7793" i="106"/>
  <c r="D7793" i="106" s="1"/>
  <c r="B6654" i="106"/>
  <c r="D6654" i="106" s="1"/>
  <c r="B6758" i="106"/>
  <c r="D6758" i="106" s="1"/>
  <c r="B6677" i="106"/>
  <c r="D6677" i="106" s="1"/>
  <c r="I350" i="29"/>
  <c r="B7226" i="106"/>
  <c r="D7226" i="106" s="1"/>
  <c r="J169" i="5"/>
  <c r="B6395" i="106"/>
  <c r="D6395" i="106" s="1"/>
  <c r="B4811" i="106"/>
  <c r="D4811" i="106" s="1"/>
  <c r="B6632" i="106"/>
  <c r="D6632" i="106" s="1"/>
  <c r="D175" i="5"/>
  <c r="B5423" i="106" s="1"/>
  <c r="D5423" i="106" s="1"/>
  <c r="B5422" i="106"/>
  <c r="D5422" i="106" s="1"/>
  <c r="B5860" i="106"/>
  <c r="D5860" i="106" s="1"/>
  <c r="B7121" i="106"/>
  <c r="D7121" i="106" s="1"/>
  <c r="F330" i="29"/>
  <c r="B6832" i="106"/>
  <c r="D6832" i="106" s="1"/>
  <c r="B4201" i="106"/>
  <c r="D4201" i="106" s="1"/>
  <c r="K136" i="29"/>
  <c r="B2988" i="106" s="1"/>
  <c r="D2988" i="106" s="1"/>
  <c r="B7085" i="106"/>
  <c r="D7085" i="106" s="1"/>
  <c r="K250" i="29"/>
  <c r="B7086" i="106" s="1"/>
  <c r="D7086" i="106" s="1"/>
  <c r="K254" i="29"/>
  <c r="B7094" i="106" s="1"/>
  <c r="D7094" i="106" s="1"/>
  <c r="B7093" i="106"/>
  <c r="D7093" i="106" s="1"/>
  <c r="B958" i="106"/>
  <c r="D958" i="106" s="1"/>
  <c r="B4949" i="106"/>
  <c r="D4949" i="106" s="1"/>
  <c r="B7030" i="106"/>
  <c r="D7030" i="106" s="1"/>
  <c r="B7248" i="106"/>
  <c r="D7248" i="106" s="1"/>
  <c r="B1232" i="106"/>
  <c r="D1232" i="106" s="1"/>
  <c r="B787" i="106"/>
  <c r="D787" i="106" s="1"/>
  <c r="K321" i="29"/>
  <c r="B7136" i="106"/>
  <c r="D7136" i="106" s="1"/>
  <c r="B6996" i="106"/>
  <c r="D6996" i="106" s="1"/>
  <c r="H100" i="29"/>
  <c r="B7012" i="106" s="1"/>
  <c r="D7012" i="106" s="1"/>
  <c r="K93" i="29"/>
  <c r="B840" i="106"/>
  <c r="D840" i="106" s="1"/>
  <c r="B880" i="106"/>
  <c r="D880" i="106" s="1"/>
  <c r="D65" i="29"/>
  <c r="B803" i="106" s="1"/>
  <c r="D803" i="106" s="1"/>
  <c r="B796" i="106"/>
  <c r="D796" i="106" s="1"/>
  <c r="K91" i="29"/>
  <c r="B6994" i="106" s="1"/>
  <c r="D6994" i="106" s="1"/>
  <c r="B6993" i="106"/>
  <c r="D6993" i="106" s="1"/>
  <c r="B7154" i="106"/>
  <c r="D7154" i="106" s="1"/>
  <c r="K323" i="29"/>
  <c r="G129" i="29"/>
  <c r="B4078" i="106"/>
  <c r="D4078" i="106" s="1"/>
  <c r="F135" i="34"/>
  <c r="B6626" i="106"/>
  <c r="D6626" i="106" s="1"/>
  <c r="B6923" i="106"/>
  <c r="D6923" i="106" s="1"/>
  <c r="B4416" i="106"/>
  <c r="D4416" i="106" s="1"/>
  <c r="B921" i="106"/>
  <c r="D921" i="106" s="1"/>
  <c r="B6690" i="106"/>
  <c r="D6690" i="106" s="1"/>
  <c r="F143" i="34"/>
  <c r="K329" i="29"/>
  <c r="B7697" i="106"/>
  <c r="D7697" i="106" s="1"/>
  <c r="K166" i="29"/>
  <c r="B2819" i="106" s="1"/>
  <c r="D2819" i="106" s="1"/>
  <c r="B2813" i="106"/>
  <c r="D2813" i="106" s="1"/>
  <c r="B7000" i="106"/>
  <c r="D7000" i="106" s="1"/>
  <c r="K95" i="29"/>
  <c r="B7001" i="106" s="1"/>
  <c r="D7001" i="106" s="1"/>
  <c r="G53" i="29"/>
  <c r="B966" i="106" s="1"/>
  <c r="D966" i="106" s="1"/>
  <c r="B964" i="106"/>
  <c r="D964" i="106" s="1"/>
  <c r="B944" i="106"/>
  <c r="D944" i="106" s="1"/>
  <c r="B5464" i="106"/>
  <c r="D5464" i="106" s="1"/>
  <c r="K246" i="29"/>
  <c r="B1487" i="106" s="1"/>
  <c r="D1487" i="106" s="1"/>
  <c r="B1423" i="106"/>
  <c r="D1423" i="106" s="1"/>
  <c r="B6790" i="106"/>
  <c r="D6790" i="106" s="1"/>
  <c r="H84" i="29"/>
  <c r="B2955" i="106"/>
  <c r="D2955" i="106" s="1"/>
  <c r="B928" i="106"/>
  <c r="D928" i="106" s="1"/>
  <c r="F184" i="29"/>
  <c r="F210" i="29" s="1"/>
  <c r="B1359" i="106" s="1"/>
  <c r="D1359" i="106" s="1"/>
  <c r="B4084" i="106"/>
  <c r="D4084" i="106" s="1"/>
  <c r="B6765" i="106"/>
  <c r="D6765" i="106" s="1"/>
  <c r="B6768" i="106"/>
  <c r="D6768" i="106" s="1"/>
  <c r="K46" i="29"/>
  <c r="B1118" i="106" s="1"/>
  <c r="D1118" i="106" s="1"/>
  <c r="B730" i="106"/>
  <c r="D730" i="106" s="1"/>
  <c r="B1528" i="106"/>
  <c r="D1528" i="106" s="1"/>
  <c r="B6406" i="106"/>
  <c r="D6406" i="106" s="1"/>
  <c r="B6393" i="106"/>
  <c r="D6393" i="106" s="1"/>
  <c r="B981" i="106"/>
  <c r="D981" i="106" s="1"/>
  <c r="B797" i="106"/>
  <c r="D797" i="106" s="1"/>
  <c r="B6707" i="106"/>
  <c r="D6707" i="106" s="1"/>
  <c r="B7027" i="106"/>
  <c r="D7027" i="106" s="1"/>
  <c r="K364" i="29"/>
  <c r="B7746" i="106" s="1"/>
  <c r="D7746" i="106" s="1"/>
  <c r="B7745" i="106"/>
  <c r="D7745" i="106" s="1"/>
  <c r="B979" i="106"/>
  <c r="D979" i="106" s="1"/>
  <c r="B7194" i="106"/>
  <c r="D7194" i="106" s="1"/>
  <c r="B4944" i="106"/>
  <c r="D4944" i="106" s="1"/>
  <c r="K25" i="29"/>
  <c r="B6886" i="106"/>
  <c r="D6886" i="106" s="1"/>
  <c r="B6894" i="106"/>
  <c r="D6894" i="106" s="1"/>
  <c r="K29" i="29"/>
  <c r="B7124" i="106"/>
  <c r="D7124" i="106" s="1"/>
  <c r="I330" i="29"/>
  <c r="B6798" i="106"/>
  <c r="D6798" i="106" s="1"/>
  <c r="B865" i="106"/>
  <c r="D865" i="106" s="1"/>
  <c r="B7255" i="106"/>
  <c r="D7255" i="106" s="1"/>
  <c r="B5196" i="106"/>
  <c r="D5196" i="106" s="1"/>
  <c r="B872" i="106"/>
  <c r="D872" i="106" s="1"/>
  <c r="B897" i="106"/>
  <c r="D897" i="106" s="1"/>
  <c r="B7089" i="106"/>
  <c r="D7089" i="106" s="1"/>
  <c r="K252" i="29"/>
  <c r="B7090" i="106" s="1"/>
  <c r="D7090" i="106" s="1"/>
  <c r="B3056" i="106"/>
  <c r="D3056" i="106" s="1"/>
  <c r="B3060" i="106"/>
  <c r="D3060" i="106" s="1"/>
  <c r="K325" i="29"/>
  <c r="B7172" i="106"/>
  <c r="D7172" i="106" s="1"/>
  <c r="B7101" i="106"/>
  <c r="D7101" i="106" s="1"/>
  <c r="B7227" i="106"/>
  <c r="D7227" i="106" s="1"/>
  <c r="J350" i="29"/>
  <c r="B4448" i="106"/>
  <c r="D4448" i="106" s="1"/>
  <c r="B839" i="106"/>
  <c r="D839" i="106" s="1"/>
  <c r="B6908" i="106"/>
  <c r="D6908" i="106" s="1"/>
  <c r="B7246" i="106"/>
  <c r="D7246" i="106" s="1"/>
  <c r="B892" i="106"/>
  <c r="D892" i="106" s="1"/>
  <c r="B4331" i="106"/>
  <c r="D4331" i="106" s="1"/>
  <c r="F116" i="34"/>
  <c r="B7850" i="106" s="1"/>
  <c r="D7850" i="106" s="1"/>
  <c r="B5056" i="106"/>
  <c r="D5056" i="106" s="1"/>
  <c r="J57" i="29"/>
  <c r="B6949" i="106" s="1"/>
  <c r="D6949" i="106" s="1"/>
  <c r="B6945" i="106"/>
  <c r="D6945" i="106" s="1"/>
  <c r="B2958" i="106"/>
  <c r="D2958" i="106" s="1"/>
  <c r="B804" i="106"/>
  <c r="D804" i="106" s="1"/>
  <c r="D72" i="29"/>
  <c r="B811" i="106" s="1"/>
  <c r="D811" i="106" s="1"/>
  <c r="B7036" i="106"/>
  <c r="D7036" i="106" s="1"/>
  <c r="B844" i="106"/>
  <c r="D844" i="106" s="1"/>
  <c r="E47" i="29"/>
  <c r="B847" i="106" s="1"/>
  <c r="D847" i="106" s="1"/>
  <c r="B6666" i="106"/>
  <c r="D6666" i="106" s="1"/>
  <c r="F140" i="34"/>
  <c r="B764" i="106"/>
  <c r="D764" i="106" s="1"/>
  <c r="B4085" i="106"/>
  <c r="D4085" i="106" s="1"/>
  <c r="G184" i="29"/>
  <c r="B6788" i="106"/>
  <c r="D6788" i="106" s="1"/>
  <c r="B6763" i="106"/>
  <c r="D6763" i="106" s="1"/>
  <c r="B7113" i="106"/>
  <c r="D7113" i="106" s="1"/>
  <c r="B7769" i="106"/>
  <c r="D7769" i="106" s="1"/>
  <c r="B7811" i="106"/>
  <c r="D7811" i="106" s="1"/>
  <c r="B961" i="106"/>
  <c r="D961" i="106" s="1"/>
  <c r="B6640" i="106"/>
  <c r="D6640" i="106" s="1"/>
  <c r="B5059" i="106"/>
  <c r="D5059" i="106" s="1"/>
  <c r="B6646" i="106"/>
  <c r="D6646" i="106" s="1"/>
  <c r="B3486" i="106"/>
  <c r="D3486" i="106" s="1"/>
  <c r="B6874" i="106"/>
  <c r="D6874" i="106" s="1"/>
  <c r="I42" i="29"/>
  <c r="B6904" i="106"/>
  <c r="D6904" i="106" s="1"/>
  <c r="B7139" i="106"/>
  <c r="D7139" i="106" s="1"/>
  <c r="B1347" i="106"/>
  <c r="D1347" i="106" s="1"/>
  <c r="B4333" i="106"/>
  <c r="D4333" i="106" s="1"/>
  <c r="B6405" i="106"/>
  <c r="D6405" i="106" s="1"/>
  <c r="B893" i="106"/>
  <c r="D893" i="106" s="1"/>
  <c r="B7261" i="106"/>
  <c r="B4814" i="106"/>
  <c r="D4814" i="106" s="1"/>
  <c r="I53" i="29"/>
  <c r="B6942" i="106" s="1"/>
  <c r="D6942" i="106" s="1"/>
  <c r="B6926" i="106"/>
  <c r="D6926" i="106" s="1"/>
  <c r="K292" i="29"/>
  <c r="B1514" i="106" s="1"/>
  <c r="D1514" i="106" s="1"/>
  <c r="B1451" i="106"/>
  <c r="D1451" i="106" s="1"/>
  <c r="D303" i="29"/>
  <c r="B1525" i="106"/>
  <c r="D1525" i="106" s="1"/>
  <c r="B7039" i="106"/>
  <c r="D7039" i="106" s="1"/>
  <c r="H53" i="29"/>
  <c r="B1024" i="106" s="1"/>
  <c r="D1024" i="106" s="1"/>
  <c r="B1022" i="106"/>
  <c r="D1022" i="106" s="1"/>
  <c r="B6935" i="106"/>
  <c r="D6935" i="106" s="1"/>
  <c r="B6629" i="106"/>
  <c r="D6629" i="106" s="1"/>
  <c r="B2798" i="106"/>
  <c r="D2798" i="106" s="1"/>
  <c r="B6892" i="106"/>
  <c r="D6892" i="106" s="1"/>
  <c r="K28" i="29"/>
  <c r="B950" i="106"/>
  <c r="D950" i="106" s="1"/>
  <c r="C34" i="3"/>
  <c r="B91" i="106" s="1"/>
  <c r="D91" i="106" s="1"/>
  <c r="B6125" i="106"/>
  <c r="D6125" i="106" s="1"/>
  <c r="B6920" i="106"/>
  <c r="D6920" i="106" s="1"/>
  <c r="B7125" i="106"/>
  <c r="D7125" i="106" s="1"/>
  <c r="J330" i="29"/>
  <c r="B821" i="106"/>
  <c r="D821" i="106" s="1"/>
  <c r="E33" i="29"/>
  <c r="B836" i="106" s="1"/>
  <c r="D836" i="106" s="1"/>
  <c r="B6900" i="106"/>
  <c r="D6900" i="106" s="1"/>
  <c r="K32" i="29"/>
  <c r="B6989" i="106"/>
  <c r="D6989" i="106" s="1"/>
  <c r="K89" i="29"/>
  <c r="B6990" i="106" s="1"/>
  <c r="D6990" i="106" s="1"/>
  <c r="B5763" i="106"/>
  <c r="D5763" i="106" s="1"/>
  <c r="B6674" i="106"/>
  <c r="D6674" i="106" s="1"/>
  <c r="F141" i="34"/>
  <c r="B6394" i="106"/>
  <c r="D6394" i="106" s="1"/>
  <c r="D129" i="29"/>
  <c r="B4075" i="106"/>
  <c r="D4075" i="106" s="1"/>
  <c r="B986" i="106"/>
  <c r="D986" i="106" s="1"/>
  <c r="B1439" i="106"/>
  <c r="D1439" i="106" s="1"/>
  <c r="K274" i="29"/>
  <c r="B1503" i="106" s="1"/>
  <c r="D1503" i="106" s="1"/>
  <c r="B7236" i="106"/>
  <c r="D7236" i="106" s="1"/>
  <c r="K356" i="29"/>
  <c r="B3673" i="106" s="1"/>
  <c r="D3673" i="106" s="1"/>
  <c r="B6781" i="106"/>
  <c r="D6781" i="106" s="1"/>
  <c r="B6697" i="106"/>
  <c r="D6697" i="106" s="1"/>
  <c r="B4797" i="106"/>
  <c r="D4797" i="106" s="1"/>
  <c r="B3376" i="106"/>
  <c r="D3376" i="106" s="1"/>
  <c r="B7258" i="106"/>
  <c r="D7258" i="106" s="1"/>
  <c r="B2807" i="106"/>
  <c r="D2807" i="106" s="1"/>
  <c r="K144" i="29"/>
  <c r="B2810" i="106" s="1"/>
  <c r="D2810" i="106" s="1"/>
  <c r="C129" i="29"/>
  <c r="B1225" i="106" s="1"/>
  <c r="D1225" i="106" s="1"/>
  <c r="K120" i="29"/>
  <c r="B4080" i="106" s="1"/>
  <c r="D4080" i="106" s="1"/>
  <c r="B4074" i="106"/>
  <c r="D4074" i="106" s="1"/>
  <c r="F130" i="34"/>
  <c r="B7862" i="106" s="1"/>
  <c r="D7862" i="106" s="1"/>
  <c r="B5279" i="106"/>
  <c r="D5279" i="106" s="1"/>
  <c r="B6656" i="106"/>
  <c r="D6656" i="106" s="1"/>
  <c r="B6715" i="106"/>
  <c r="D6715" i="106" s="1"/>
  <c r="C330" i="29"/>
  <c r="B7118" i="106"/>
  <c r="D7118" i="106" s="1"/>
  <c r="K319" i="29"/>
  <c r="K126" i="29"/>
  <c r="B1277" i="106" s="1"/>
  <c r="D1277" i="106" s="1"/>
  <c r="B1254" i="106"/>
  <c r="D1254" i="106" s="1"/>
  <c r="B6947" i="106"/>
  <c r="D6947" i="106" s="1"/>
  <c r="B7111" i="106"/>
  <c r="D7111" i="106" s="1"/>
  <c r="B6403" i="106"/>
  <c r="D6403" i="106" s="1"/>
  <c r="B6726" i="106"/>
  <c r="D6726" i="106" s="1"/>
  <c r="F167" i="34"/>
  <c r="B7809" i="106"/>
  <c r="D7809" i="106" s="1"/>
  <c r="B7178" i="106"/>
  <c r="D7178" i="106" s="1"/>
  <c r="B4421" i="106"/>
  <c r="D4421" i="106" s="1"/>
  <c r="K31" i="29"/>
  <c r="B6898" i="106"/>
  <c r="D6898" i="106" s="1"/>
  <c r="B7191" i="106"/>
  <c r="D7191" i="106" s="1"/>
  <c r="B7812" i="106"/>
  <c r="D7812" i="106" s="1"/>
  <c r="B6701" i="106"/>
  <c r="D6701" i="106" s="1"/>
  <c r="F122" i="34"/>
  <c r="B7855" i="106" s="1"/>
  <c r="D7855" i="106" s="1"/>
  <c r="B4792" i="106"/>
  <c r="D4792" i="106" s="1"/>
  <c r="B7035" i="106"/>
  <c r="D7035" i="106" s="1"/>
  <c r="B4192" i="106"/>
  <c r="D4192" i="106" s="1"/>
  <c r="B6909" i="106"/>
  <c r="D6909" i="106" s="1"/>
  <c r="B1013" i="106"/>
  <c r="D1013" i="106" s="1"/>
  <c r="B2799" i="106"/>
  <c r="D2799" i="106" s="1"/>
  <c r="F181" i="5"/>
  <c r="B5658" i="106" s="1"/>
  <c r="D5658" i="106" s="1"/>
  <c r="B4804" i="106"/>
  <c r="D4804" i="106" s="1"/>
  <c r="B1341" i="106"/>
  <c r="D1341" i="106" s="1"/>
  <c r="B5187" i="106"/>
  <c r="D5187" i="106" s="1"/>
  <c r="F114" i="34"/>
  <c r="B7848" i="106" s="1"/>
  <c r="D7848" i="106" s="1"/>
  <c r="B6620" i="106"/>
  <c r="D6620" i="106" s="1"/>
  <c r="J252" i="5"/>
  <c r="B6820" i="106"/>
  <c r="D6820" i="106" s="1"/>
  <c r="B4321" i="106"/>
  <c r="D4321" i="106" s="1"/>
  <c r="B6408" i="106"/>
  <c r="D6408" i="106" s="1"/>
  <c r="B862" i="106"/>
  <c r="D862" i="106" s="1"/>
  <c r="E72" i="29"/>
  <c r="B869" i="106" s="1"/>
  <c r="D869" i="106" s="1"/>
  <c r="B3632" i="106"/>
  <c r="D3632" i="106" s="1"/>
  <c r="B4086" i="106"/>
  <c r="D4086" i="106" s="1"/>
  <c r="H184" i="29"/>
  <c r="B1370" i="106" s="1"/>
  <c r="D1370" i="106" s="1"/>
  <c r="B7073" i="106"/>
  <c r="D7073" i="106" s="1"/>
  <c r="K216" i="29"/>
  <c r="B6645" i="106"/>
  <c r="D6645" i="106" s="1"/>
  <c r="B7183" i="106"/>
  <c r="D7183" i="106" s="1"/>
  <c r="B1420" i="106"/>
  <c r="D1420" i="106" s="1"/>
  <c r="K242" i="29"/>
  <c r="B1484" i="106" s="1"/>
  <c r="D1484" i="106" s="1"/>
  <c r="B4793" i="106"/>
  <c r="D4793" i="106" s="1"/>
  <c r="B2998" i="106"/>
  <c r="D2998" i="106" s="1"/>
  <c r="B3652" i="106"/>
  <c r="D3652" i="106" s="1"/>
  <c r="H350" i="29"/>
  <c r="K245" i="29"/>
  <c r="B1422" i="106"/>
  <c r="D1422" i="106" s="1"/>
  <c r="D257" i="29"/>
  <c r="B1424" i="106" s="1"/>
  <c r="D1424" i="106" s="1"/>
  <c r="B2801" i="106"/>
  <c r="D2801" i="106" s="1"/>
  <c r="B1396" i="106"/>
  <c r="D1396" i="106" s="1"/>
  <c r="K225" i="29"/>
  <c r="B1460" i="106" s="1"/>
  <c r="D1460" i="106" s="1"/>
  <c r="B6817" i="106"/>
  <c r="D6817" i="106" s="1"/>
  <c r="F156" i="34"/>
  <c r="B7173" i="106"/>
  <c r="D7173" i="106" s="1"/>
  <c r="B6785" i="106"/>
  <c r="D6785" i="106" s="1"/>
  <c r="B5853" i="106"/>
  <c r="D5853" i="106" s="1"/>
  <c r="B5494" i="106"/>
  <c r="D5494" i="106" s="1"/>
  <c r="F33" i="34"/>
  <c r="B6936" i="106"/>
  <c r="D6936" i="106" s="1"/>
  <c r="I127" i="29"/>
  <c r="B7033" i="106" s="1"/>
  <c r="D7033" i="106" s="1"/>
  <c r="B7024" i="106"/>
  <c r="D7024" i="106" s="1"/>
  <c r="B6721" i="106"/>
  <c r="D6721" i="106" s="1"/>
  <c r="B729" i="106"/>
  <c r="D729" i="106" s="1"/>
  <c r="K45" i="29"/>
  <c r="B1117" i="106" s="1"/>
  <c r="D1117" i="106" s="1"/>
  <c r="K282" i="29"/>
  <c r="B7783" i="106"/>
  <c r="D7783" i="106" s="1"/>
  <c r="D285" i="29"/>
  <c r="B3722" i="106" s="1"/>
  <c r="D3722" i="106" s="1"/>
  <c r="B6857" i="106"/>
  <c r="D6857" i="106" s="1"/>
  <c r="B740" i="106"/>
  <c r="D740" i="106" s="1"/>
  <c r="K61" i="29"/>
  <c r="B775" i="106"/>
  <c r="D775" i="106" s="1"/>
  <c r="B6969" i="106"/>
  <c r="D6969" i="106" s="1"/>
  <c r="F107" i="34"/>
  <c r="B7843" i="106" s="1"/>
  <c r="D7843" i="106" s="1"/>
  <c r="C169" i="5"/>
  <c r="C170" i="5" s="1"/>
  <c r="F96" i="34"/>
  <c r="B7838" i="106" s="1"/>
  <c r="D7838" i="106" s="1"/>
  <c r="G109" i="5"/>
  <c r="B6024" i="106" s="1"/>
  <c r="D6024" i="106" s="1"/>
  <c r="J109" i="5"/>
  <c r="B6352" i="106" s="1"/>
  <c r="D6352" i="106" s="1"/>
  <c r="I109" i="5"/>
  <c r="B6026" i="106" s="1"/>
  <c r="D6026" i="106" s="1"/>
  <c r="D109" i="5"/>
  <c r="B5356" i="106" s="1"/>
  <c r="D5356" i="106" s="1"/>
  <c r="H109" i="5"/>
  <c r="H4" i="4" s="1"/>
  <c r="B3725" i="106"/>
  <c r="D3725" i="106" s="1"/>
  <c r="J77" i="4"/>
  <c r="B6262" i="106" s="1"/>
  <c r="D6262" i="106" s="1"/>
  <c r="E44" i="4"/>
  <c r="E77" i="4" s="1"/>
  <c r="B3277" i="106" s="1"/>
  <c r="D3277" i="106" s="1"/>
  <c r="D77" i="4"/>
  <c r="B3238" i="106" s="1"/>
  <c r="D3238" i="106" s="1"/>
  <c r="G77" i="4"/>
  <c r="B3261" i="106" s="1"/>
  <c r="D3261" i="106" s="1"/>
  <c r="F77" i="4"/>
  <c r="B3255" i="106" s="1"/>
  <c r="D3255" i="106" s="1"/>
  <c r="B3235" i="106"/>
  <c r="D3235" i="106" s="1"/>
  <c r="K76" i="4"/>
  <c r="K77" i="4" s="1"/>
  <c r="B3587" i="106" s="1"/>
  <c r="D3587" i="106" s="1"/>
  <c r="B1752" i="106"/>
  <c r="D1752" i="106" s="1"/>
  <c r="D11" i="7"/>
  <c r="B1768" i="106" s="1"/>
  <c r="D1768" i="106" s="1"/>
  <c r="E26" i="108"/>
  <c r="F15" i="184"/>
  <c r="B1274" i="106"/>
  <c r="D1274" i="106" s="1"/>
  <c r="G26" i="108"/>
  <c r="K127" i="29"/>
  <c r="B1146" i="106"/>
  <c r="D1146" i="106" s="1"/>
  <c r="B5592" i="106"/>
  <c r="D5592" i="106" s="1"/>
  <c r="F5" i="4"/>
  <c r="B3408" i="106" s="1"/>
  <c r="D3408" i="106" s="1"/>
  <c r="B5557" i="106"/>
  <c r="D5557" i="106" s="1"/>
  <c r="F109" i="5"/>
  <c r="B3274" i="106"/>
  <c r="D3274" i="106" s="1"/>
  <c r="E139" i="29"/>
  <c r="B4202" i="106"/>
  <c r="D4202" i="106" s="1"/>
  <c r="B1308" i="106"/>
  <c r="D1308" i="106" s="1"/>
  <c r="B1109" i="106"/>
  <c r="D1109" i="106" s="1"/>
  <c r="K42" i="29"/>
  <c r="K12" i="12"/>
  <c r="B7712" i="106"/>
  <c r="D7712" i="106" s="1"/>
  <c r="B1473" i="106"/>
  <c r="D1473" i="106" s="1"/>
  <c r="F71" i="34"/>
  <c r="B1492" i="106"/>
  <c r="D1492" i="106" s="1"/>
  <c r="K270" i="29"/>
  <c r="B1500" i="106" s="1"/>
  <c r="D1500" i="106" s="1"/>
  <c r="B2805" i="106"/>
  <c r="D2805" i="106" s="1"/>
  <c r="F56" i="34"/>
  <c r="B7832" i="106" s="1"/>
  <c r="D7832" i="106" s="1"/>
  <c r="D14" i="4"/>
  <c r="B2570" i="106" s="1"/>
  <c r="D2570" i="106" s="1"/>
  <c r="F69" i="34"/>
  <c r="B7078" i="106"/>
  <c r="D7078" i="106" s="1"/>
  <c r="F64" i="34"/>
  <c r="B4211" i="106"/>
  <c r="D4211" i="106" s="1"/>
  <c r="B7076" i="106"/>
  <c r="D7076" i="106" s="1"/>
  <c r="F68" i="34"/>
  <c r="G151" i="29"/>
  <c r="B1258" i="106"/>
  <c r="D1258" i="106" s="1"/>
  <c r="B1233" i="106"/>
  <c r="D1233" i="106" s="1"/>
  <c r="D151" i="29"/>
  <c r="B1234" i="106" s="1"/>
  <c r="D1234" i="106" s="1"/>
  <c r="B5513" i="106"/>
  <c r="D5513" i="106" s="1"/>
  <c r="E109" i="5"/>
  <c r="K92" i="29"/>
  <c r="B2089" i="106" s="1"/>
  <c r="D2089" i="106" s="1"/>
  <c r="B6995" i="106"/>
  <c r="D6995" i="106" s="1"/>
  <c r="B1324" i="106"/>
  <c r="D1324" i="106" s="1"/>
  <c r="K168" i="29"/>
  <c r="B1523" i="106"/>
  <c r="D1523" i="106" s="1"/>
  <c r="C312" i="29"/>
  <c r="B1524" i="106" s="1"/>
  <c r="D1524" i="106" s="1"/>
  <c r="B7778" i="106"/>
  <c r="D7778" i="106" s="1"/>
  <c r="H12" i="12"/>
  <c r="B1972" i="106"/>
  <c r="D1972" i="106" s="1"/>
  <c r="B3586" i="106"/>
  <c r="D3586" i="106" s="1"/>
  <c r="B3318" i="106"/>
  <c r="D3318" i="106" s="1"/>
  <c r="I77" i="4"/>
  <c r="B3319" i="106" s="1"/>
  <c r="D3319" i="106" s="1"/>
  <c r="B5121" i="106"/>
  <c r="D5121" i="106" s="1"/>
  <c r="C4" i="4"/>
  <c r="B2551" i="106" s="1"/>
  <c r="D2551" i="106" s="1"/>
  <c r="B3296" i="106"/>
  <c r="D3296" i="106" s="1"/>
  <c r="H77" i="4"/>
  <c r="B3299" i="106" s="1"/>
  <c r="D3299" i="106" s="1"/>
  <c r="B6028" i="106"/>
  <c r="D6028" i="106" s="1"/>
  <c r="K4" i="4"/>
  <c r="B1760" i="106"/>
  <c r="D1760" i="106" s="1"/>
  <c r="D19" i="7"/>
  <c r="B1775" i="106" s="1"/>
  <c r="D1775" i="106" s="1"/>
  <c r="B280" i="106"/>
  <c r="D280" i="106" s="1"/>
  <c r="M41" i="3"/>
  <c r="B2917" i="106"/>
  <c r="D2917" i="106" s="1"/>
  <c r="D53" i="36"/>
  <c r="N41" i="3"/>
  <c r="B287" i="106"/>
  <c r="D287" i="106" s="1"/>
  <c r="B4997" i="106"/>
  <c r="D4997" i="106" s="1"/>
  <c r="H32" i="118"/>
  <c r="K32" i="118" s="1"/>
  <c r="O31" i="118" s="1"/>
  <c r="O33" i="118" s="1"/>
  <c r="A7260" i="106"/>
  <c r="D7259" i="106"/>
  <c r="B1358" i="106" l="1"/>
  <c r="D1358" i="106" s="1"/>
  <c r="K160" i="29"/>
  <c r="B2091" i="106"/>
  <c r="D2091" i="106" s="1"/>
  <c r="K110" i="29"/>
  <c r="F128" i="34"/>
  <c r="B7860" i="106" s="1"/>
  <c r="D7860" i="106" s="1"/>
  <c r="C266" i="5"/>
  <c r="B5320" i="106" s="1"/>
  <c r="D5320" i="106" s="1"/>
  <c r="K170" i="5"/>
  <c r="F67" i="34"/>
  <c r="B7074" i="106"/>
  <c r="D7074" i="106" s="1"/>
  <c r="B6899" i="106"/>
  <c r="D6899" i="106" s="1"/>
  <c r="F50" i="34"/>
  <c r="J342" i="29"/>
  <c r="B7223" i="106" s="1"/>
  <c r="D7223" i="106" s="1"/>
  <c r="B7206" i="106"/>
  <c r="D7206" i="106" s="1"/>
  <c r="B7205" i="106"/>
  <c r="D7205" i="106" s="1"/>
  <c r="I342" i="29"/>
  <c r="C151" i="29"/>
  <c r="B1226" i="106" s="1"/>
  <c r="D1226" i="106" s="1"/>
  <c r="J266" i="5"/>
  <c r="B7041" i="106" s="1"/>
  <c r="D7041" i="106" s="1"/>
  <c r="B6839" i="106"/>
  <c r="D6839" i="106" s="1"/>
  <c r="B7231" i="106"/>
  <c r="D7231" i="106" s="1"/>
  <c r="J352" i="29"/>
  <c r="B7180" i="106"/>
  <c r="D7180" i="106" s="1"/>
  <c r="E63" i="184"/>
  <c r="N63" i="184" s="1"/>
  <c r="F44" i="34"/>
  <c r="B6887" i="106"/>
  <c r="D6887" i="106" s="1"/>
  <c r="E61" i="184"/>
  <c r="N61" i="184" s="1"/>
  <c r="B7162" i="106"/>
  <c r="D7162" i="106" s="1"/>
  <c r="K100" i="29"/>
  <c r="B7013" i="106" s="1"/>
  <c r="D7013" i="106" s="1"/>
  <c r="B6997" i="106"/>
  <c r="D6997" i="106" s="1"/>
  <c r="E59" i="184"/>
  <c r="N59" i="184" s="1"/>
  <c r="B7144" i="106"/>
  <c r="D7144" i="106" s="1"/>
  <c r="B7230" i="106"/>
  <c r="D7230" i="106" s="1"/>
  <c r="I352" i="29"/>
  <c r="G312" i="29"/>
  <c r="B1548" i="106" s="1"/>
  <c r="D1548" i="106" s="1"/>
  <c r="B1547" i="106"/>
  <c r="D1547" i="106" s="1"/>
  <c r="B1501" i="106"/>
  <c r="D1501" i="106" s="1"/>
  <c r="K277" i="29"/>
  <c r="B1508" i="106" s="1"/>
  <c r="D1508" i="106" s="1"/>
  <c r="B901" i="106"/>
  <c r="D901" i="106" s="1"/>
  <c r="F74" i="29"/>
  <c r="B1130" i="106"/>
  <c r="D1130" i="106" s="1"/>
  <c r="E30" i="108"/>
  <c r="G30" i="108"/>
  <c r="K137" i="29"/>
  <c r="B7776" i="106"/>
  <c r="D7776" i="106" s="1"/>
  <c r="B1345" i="106"/>
  <c r="D1345" i="106" s="1"/>
  <c r="D210" i="29"/>
  <c r="B1346" i="106" s="1"/>
  <c r="D1346" i="106" s="1"/>
  <c r="B1511" i="106"/>
  <c r="D1511" i="106" s="1"/>
  <c r="G14" i="4"/>
  <c r="B2609" i="106" s="1"/>
  <c r="D2609" i="106" s="1"/>
  <c r="F72" i="34"/>
  <c r="B7792" i="106"/>
  <c r="D7792" i="106" s="1"/>
  <c r="K357" i="29"/>
  <c r="B1142" i="106"/>
  <c r="D1142" i="106" s="1"/>
  <c r="E38" i="108"/>
  <c r="G38" i="108"/>
  <c r="B1553" i="106"/>
  <c r="D1553" i="106" s="1"/>
  <c r="H312" i="29"/>
  <c r="B1554" i="106" s="1"/>
  <c r="D1554" i="106" s="1"/>
  <c r="F52" i="34"/>
  <c r="B7831" i="106" s="1"/>
  <c r="D7831" i="106" s="1"/>
  <c r="B1144" i="106"/>
  <c r="D1144" i="106" s="1"/>
  <c r="C14" i="4"/>
  <c r="B2558" i="106" s="1"/>
  <c r="D2558" i="106" s="1"/>
  <c r="E39" i="108"/>
  <c r="G39" i="108"/>
  <c r="K194" i="29"/>
  <c r="B3007" i="106"/>
  <c r="D3007" i="106" s="1"/>
  <c r="K53" i="29"/>
  <c r="B1120" i="106"/>
  <c r="D1120" i="106" s="1"/>
  <c r="K243" i="29"/>
  <c r="B1485" i="106" s="1"/>
  <c r="D1485" i="106" s="1"/>
  <c r="B1482" i="106"/>
  <c r="D1482" i="106" s="1"/>
  <c r="B5394" i="106"/>
  <c r="D5394" i="106" s="1"/>
  <c r="D169" i="5"/>
  <c r="B7201" i="106"/>
  <c r="D7201" i="106" s="1"/>
  <c r="E342" i="29"/>
  <c r="B7218" i="106" s="1"/>
  <c r="D7218" i="106" s="1"/>
  <c r="H208" i="29"/>
  <c r="B1375" i="106" s="1"/>
  <c r="D1375" i="106" s="1"/>
  <c r="B4156" i="106"/>
  <c r="D4156" i="106" s="1"/>
  <c r="H129" i="29"/>
  <c r="B6917" i="106"/>
  <c r="D6917" i="106" s="1"/>
  <c r="J74" i="29"/>
  <c r="K303" i="29"/>
  <c r="B1555" i="106"/>
  <c r="D1555" i="106" s="1"/>
  <c r="F31" i="108"/>
  <c r="B1131" i="106"/>
  <c r="D1131" i="106" s="1"/>
  <c r="D31" i="108"/>
  <c r="E16" i="184"/>
  <c r="H16" i="184" s="1"/>
  <c r="E64" i="184"/>
  <c r="N64" i="184" s="1"/>
  <c r="B7189" i="106"/>
  <c r="D7189" i="106" s="1"/>
  <c r="B6858" i="106"/>
  <c r="D6858" i="106" s="1"/>
  <c r="F36" i="34"/>
  <c r="B7828" i="106" s="1"/>
  <c r="D7828" i="106" s="1"/>
  <c r="E17" i="184"/>
  <c r="H17" i="184" s="1"/>
  <c r="K72" i="29"/>
  <c r="B1141" i="106" s="1"/>
  <c r="D1141" i="106" s="1"/>
  <c r="E33" i="108"/>
  <c r="B1134" i="106"/>
  <c r="D1134" i="106" s="1"/>
  <c r="G33" i="108"/>
  <c r="F124" i="34"/>
  <c r="B7856" i="106" s="1"/>
  <c r="D7856" i="106" s="1"/>
  <c r="B5232" i="106"/>
  <c r="D5232" i="106" s="1"/>
  <c r="B843" i="106"/>
  <c r="D843" i="106" s="1"/>
  <c r="E74" i="29"/>
  <c r="B1017" i="106"/>
  <c r="D1017" i="106" s="1"/>
  <c r="H74" i="29"/>
  <c r="K293" i="29"/>
  <c r="B1512" i="106"/>
  <c r="D1512" i="106" s="1"/>
  <c r="E266" i="5"/>
  <c r="B6835" i="106"/>
  <c r="D6835" i="106" s="1"/>
  <c r="F129" i="29"/>
  <c r="B4398" i="106"/>
  <c r="D4398" i="106" s="1"/>
  <c r="G266" i="5"/>
  <c r="B3390" i="106"/>
  <c r="D3390" i="106" s="1"/>
  <c r="K229" i="29"/>
  <c r="B1123" i="106"/>
  <c r="D1123" i="106" s="1"/>
  <c r="K57" i="29"/>
  <c r="B7784" i="106"/>
  <c r="D7784" i="106" s="1"/>
  <c r="K285" i="29"/>
  <c r="B3654" i="106"/>
  <c r="D3654" i="106" s="1"/>
  <c r="H352" i="29"/>
  <c r="C342" i="29"/>
  <c r="B7216" i="106" s="1"/>
  <c r="D7216" i="106" s="1"/>
  <c r="B7199" i="106"/>
  <c r="D7199" i="106" s="1"/>
  <c r="F51" i="34"/>
  <c r="B6901" i="106"/>
  <c r="D6901" i="106" s="1"/>
  <c r="B1364" i="106"/>
  <c r="D1364" i="106" s="1"/>
  <c r="G210" i="29"/>
  <c r="F28" i="108"/>
  <c r="E28" i="108"/>
  <c r="B1128" i="106"/>
  <c r="D1128" i="106" s="1"/>
  <c r="K257" i="29"/>
  <c r="B1488" i="106" s="1"/>
  <c r="D1488" i="106" s="1"/>
  <c r="B1486" i="106"/>
  <c r="D1486" i="106" s="1"/>
  <c r="E57" i="184"/>
  <c r="B7126" i="106"/>
  <c r="D7126" i="106" s="1"/>
  <c r="K330" i="29"/>
  <c r="F47" i="34"/>
  <c r="B6893" i="106"/>
  <c r="D6893" i="106" s="1"/>
  <c r="F48" i="34"/>
  <c r="B6895" i="106"/>
  <c r="D6895" i="106" s="1"/>
  <c r="B2081" i="106"/>
  <c r="D2081" i="106" s="1"/>
  <c r="H102" i="29"/>
  <c r="B1047" i="106" s="1"/>
  <c r="D1047" i="106" s="1"/>
  <c r="I312" i="29"/>
  <c r="B7116" i="106" s="1"/>
  <c r="D7116" i="106" s="1"/>
  <c r="B7103" i="106"/>
  <c r="D7103" i="106" s="1"/>
  <c r="B7047" i="106"/>
  <c r="D7047" i="106" s="1"/>
  <c r="H149" i="29"/>
  <c r="B1272" i="106" s="1"/>
  <c r="D1272" i="106" s="1"/>
  <c r="D342" i="29"/>
  <c r="B7217" i="106" s="1"/>
  <c r="D7217" i="106" s="1"/>
  <c r="B7200" i="106"/>
  <c r="D7200" i="106" s="1"/>
  <c r="B1475" i="106"/>
  <c r="D1475" i="106" s="1"/>
  <c r="K238" i="29"/>
  <c r="F312" i="29"/>
  <c r="B1542" i="106" s="1"/>
  <c r="D1542" i="106" s="1"/>
  <c r="B1541" i="106"/>
  <c r="D1541" i="106" s="1"/>
  <c r="F127" i="34"/>
  <c r="B7859" i="106" s="1"/>
  <c r="D7859" i="106" s="1"/>
  <c r="B5260" i="106"/>
  <c r="D5260" i="106" s="1"/>
  <c r="E62" i="184"/>
  <c r="N62" i="184" s="1"/>
  <c r="B7171" i="106"/>
  <c r="D7171" i="106" s="1"/>
  <c r="B5178" i="106"/>
  <c r="D5178" i="106" s="1"/>
  <c r="F112" i="34"/>
  <c r="B3640" i="106"/>
  <c r="D3640" i="106" s="1"/>
  <c r="F352" i="29"/>
  <c r="D27" i="108"/>
  <c r="F27" i="108"/>
  <c r="B1127" i="106"/>
  <c r="D1127" i="106" s="1"/>
  <c r="B2789" i="106"/>
  <c r="D2789" i="106" s="1"/>
  <c r="E102" i="29"/>
  <c r="B2790" i="106" s="1"/>
  <c r="D2790" i="106" s="1"/>
  <c r="B5304" i="106"/>
  <c r="D5304" i="106" s="1"/>
  <c r="F133" i="34"/>
  <c r="B7865" i="106" s="1"/>
  <c r="D7865" i="106" s="1"/>
  <c r="B7209" i="106"/>
  <c r="D7209" i="106" s="1"/>
  <c r="K340" i="29"/>
  <c r="F266" i="5"/>
  <c r="B5713" i="106" s="1"/>
  <c r="D5713" i="106" s="1"/>
  <c r="B4397" i="106"/>
  <c r="D4397" i="106" s="1"/>
  <c r="B4373" i="106"/>
  <c r="D4373" i="106" s="1"/>
  <c r="I267" i="5"/>
  <c r="E12" i="184"/>
  <c r="B1121" i="106"/>
  <c r="D1121" i="106" s="1"/>
  <c r="C210" i="29"/>
  <c r="B1340" i="106" s="1"/>
  <c r="D1340" i="106" s="1"/>
  <c r="B1339" i="106"/>
  <c r="D1339" i="106" s="1"/>
  <c r="B1137" i="106"/>
  <c r="D1137" i="106" s="1"/>
  <c r="D36" i="108"/>
  <c r="F36" i="108"/>
  <c r="G352" i="29"/>
  <c r="B3647" i="106"/>
  <c r="D3647" i="106" s="1"/>
  <c r="D26" i="108"/>
  <c r="B1126" i="106"/>
  <c r="D1126" i="106" s="1"/>
  <c r="F26" i="108"/>
  <c r="E15" i="184"/>
  <c r="K65" i="29"/>
  <c r="B1133" i="106" s="1"/>
  <c r="D1133" i="106" s="1"/>
  <c r="K261" i="29"/>
  <c r="B1491" i="106" s="1"/>
  <c r="D1491" i="106" s="1"/>
  <c r="B1489" i="106"/>
  <c r="D1489" i="106" s="1"/>
  <c r="B1135" i="106"/>
  <c r="D1135" i="106" s="1"/>
  <c r="E34" i="108"/>
  <c r="G34" i="108"/>
  <c r="K266" i="5"/>
  <c r="B6840" i="106"/>
  <c r="D6840" i="106" s="1"/>
  <c r="B4396" i="106"/>
  <c r="D4396" i="106" s="1"/>
  <c r="D266" i="5"/>
  <c r="J129" i="29"/>
  <c r="B6897" i="106"/>
  <c r="D6897" i="106" s="1"/>
  <c r="F49" i="34"/>
  <c r="B7198" i="106"/>
  <c r="D7198" i="106" s="1"/>
  <c r="E65" i="184"/>
  <c r="N65" i="184" s="1"/>
  <c r="B1314" i="106"/>
  <c r="D1314" i="106" s="1"/>
  <c r="H172" i="29"/>
  <c r="G342" i="29"/>
  <c r="B7203" i="106"/>
  <c r="D7203" i="106" s="1"/>
  <c r="B7204" i="106"/>
  <c r="D7204" i="106" s="1"/>
  <c r="H342" i="29"/>
  <c r="B7221" i="106" s="1"/>
  <c r="D7221" i="106" s="1"/>
  <c r="B1093" i="106"/>
  <c r="D1093" i="106" s="1"/>
  <c r="K33" i="29"/>
  <c r="B3626" i="106"/>
  <c r="D3626" i="106" s="1"/>
  <c r="D352" i="29"/>
  <c r="B7696" i="106"/>
  <c r="D7696" i="106" s="1"/>
  <c r="E66" i="184"/>
  <c r="N66" i="184" s="1"/>
  <c r="B1529" i="106"/>
  <c r="D1529" i="106" s="1"/>
  <c r="D312" i="29"/>
  <c r="B1530" i="106" s="1"/>
  <c r="D1530" i="106" s="1"/>
  <c r="B7705" i="106"/>
  <c r="D7705" i="106" s="1"/>
  <c r="E67" i="184"/>
  <c r="N67" i="184" s="1"/>
  <c r="B7202" i="106"/>
  <c r="D7202" i="106" s="1"/>
  <c r="F342" i="29"/>
  <c r="B7219" i="106" s="1"/>
  <c r="D7219" i="106" s="1"/>
  <c r="B6396" i="106"/>
  <c r="D6396" i="106" s="1"/>
  <c r="J170" i="5"/>
  <c r="B1116" i="106"/>
  <c r="D1116" i="106" s="1"/>
  <c r="K47" i="29"/>
  <c r="B1136" i="106"/>
  <c r="D1136" i="106" s="1"/>
  <c r="G35" i="108"/>
  <c r="E35" i="108"/>
  <c r="I210" i="29"/>
  <c r="B7063" i="106"/>
  <c r="D7063" i="106" s="1"/>
  <c r="I129" i="29"/>
  <c r="C74" i="29"/>
  <c r="B727" i="106"/>
  <c r="D727" i="106" s="1"/>
  <c r="B5899" i="106"/>
  <c r="D5899" i="106" s="1"/>
  <c r="H170" i="5"/>
  <c r="F70" i="34"/>
  <c r="B1470" i="106"/>
  <c r="D1470" i="106" s="1"/>
  <c r="F37" i="108"/>
  <c r="D37" i="108"/>
  <c r="B1139" i="106"/>
  <c r="D1139" i="106" s="1"/>
  <c r="E14" i="184"/>
  <c r="H14" i="184" s="1"/>
  <c r="B1124" i="106"/>
  <c r="D1124" i="106" s="1"/>
  <c r="B6885" i="106"/>
  <c r="D6885" i="106" s="1"/>
  <c r="F43" i="34"/>
  <c r="E196" i="29"/>
  <c r="B2823" i="106"/>
  <c r="D2823" i="106" s="1"/>
  <c r="B4357" i="106"/>
  <c r="D4357" i="106" s="1"/>
  <c r="G169" i="5"/>
  <c r="K362" i="29"/>
  <c r="B3675" i="106"/>
  <c r="D3675" i="106" s="1"/>
  <c r="B4363" i="106"/>
  <c r="D4363" i="106" s="1"/>
  <c r="I170" i="5"/>
  <c r="B7135" i="106"/>
  <c r="D7135" i="106" s="1"/>
  <c r="E58" i="184"/>
  <c r="N58" i="184" s="1"/>
  <c r="B7107" i="106"/>
  <c r="D7107" i="106" s="1"/>
  <c r="K310" i="29"/>
  <c r="K204" i="29"/>
  <c r="B1383" i="106"/>
  <c r="D1383" i="106" s="1"/>
  <c r="B2828" i="106"/>
  <c r="D2828" i="106" s="1"/>
  <c r="H196" i="29"/>
  <c r="B7064" i="106"/>
  <c r="D7064" i="106" s="1"/>
  <c r="J210" i="29"/>
  <c r="B7072" i="106" s="1"/>
  <c r="D7072" i="106" s="1"/>
  <c r="G29" i="108"/>
  <c r="B1129" i="106"/>
  <c r="D1129" i="106" s="1"/>
  <c r="E29" i="108"/>
  <c r="F38" i="34"/>
  <c r="B7830" i="106" s="1"/>
  <c r="D7830" i="106" s="1"/>
  <c r="B1107" i="106"/>
  <c r="D1107" i="106" s="1"/>
  <c r="D74" i="29"/>
  <c r="B785" i="106"/>
  <c r="D785" i="106" s="1"/>
  <c r="B7786" i="106"/>
  <c r="D7786" i="106" s="1"/>
  <c r="K334" i="29"/>
  <c r="H266" i="5"/>
  <c r="B6838" i="106"/>
  <c r="D6838" i="106" s="1"/>
  <c r="B6881" i="106"/>
  <c r="D6881" i="106" s="1"/>
  <c r="F41" i="34"/>
  <c r="B6848" i="106"/>
  <c r="D6848" i="106" s="1"/>
  <c r="F34" i="34"/>
  <c r="B7826" i="106" s="1"/>
  <c r="D7826" i="106" s="1"/>
  <c r="B6883" i="106"/>
  <c r="D6883" i="106" s="1"/>
  <c r="F42" i="34"/>
  <c r="F46" i="34"/>
  <c r="B6891" i="106"/>
  <c r="D6891" i="106" s="1"/>
  <c r="B6916" i="106"/>
  <c r="D6916" i="106" s="1"/>
  <c r="I74" i="29"/>
  <c r="B1283" i="106"/>
  <c r="D1283" i="106" s="1"/>
  <c r="K147" i="29"/>
  <c r="F37" i="34"/>
  <c r="B7829" i="106" s="1"/>
  <c r="D7829" i="106" s="1"/>
  <c r="B1104" i="106"/>
  <c r="D1104" i="106" s="1"/>
  <c r="D279" i="29"/>
  <c r="B1417" i="106"/>
  <c r="D1417" i="106" s="1"/>
  <c r="E60" i="184"/>
  <c r="N60" i="184" s="1"/>
  <c r="B7153" i="106"/>
  <c r="D7153" i="106" s="1"/>
  <c r="F158" i="34"/>
  <c r="B7866" i="106" s="1"/>
  <c r="D7866" i="106" s="1"/>
  <c r="B6400" i="106"/>
  <c r="D6400" i="106" s="1"/>
  <c r="J267" i="5"/>
  <c r="B7104" i="106"/>
  <c r="D7104" i="106" s="1"/>
  <c r="J312" i="29"/>
  <c r="B7117" i="106" s="1"/>
  <c r="D7117" i="106" s="1"/>
  <c r="E312" i="29"/>
  <c r="B1536" i="106" s="1"/>
  <c r="D1536" i="106" s="1"/>
  <c r="B1535" i="106"/>
  <c r="D1535" i="106" s="1"/>
  <c r="B1329" i="106"/>
  <c r="D1329" i="106" s="1"/>
  <c r="F61" i="34"/>
  <c r="K84" i="29"/>
  <c r="B2973" i="106"/>
  <c r="D2973" i="106" s="1"/>
  <c r="B3633" i="106"/>
  <c r="D3633" i="106" s="1"/>
  <c r="E352" i="29"/>
  <c r="H365" i="29"/>
  <c r="B7242" i="106" s="1"/>
  <c r="D7242" i="106" s="1"/>
  <c r="B3658" i="106"/>
  <c r="D3658" i="106" s="1"/>
  <c r="B4087" i="106"/>
  <c r="D4087" i="106" s="1"/>
  <c r="K184" i="29"/>
  <c r="F35" i="34"/>
  <c r="B7827" i="106" s="1"/>
  <c r="D7827" i="106" s="1"/>
  <c r="B6853" i="106"/>
  <c r="D6853" i="106" s="1"/>
  <c r="B5618" i="106"/>
  <c r="D5618" i="106" s="1"/>
  <c r="F169" i="5"/>
  <c r="G74" i="29"/>
  <c r="B959" i="106"/>
  <c r="D959" i="106" s="1"/>
  <c r="B6889" i="106"/>
  <c r="D6889" i="106" s="1"/>
  <c r="F45" i="34"/>
  <c r="B4395" i="106"/>
  <c r="D4395" i="106" s="1"/>
  <c r="F125" i="34"/>
  <c r="B7857" i="106" s="1"/>
  <c r="D7857" i="106" s="1"/>
  <c r="F39" i="34"/>
  <c r="B6877" i="106"/>
  <c r="D6877" i="106" s="1"/>
  <c r="B6879" i="106"/>
  <c r="D6879" i="106" s="1"/>
  <c r="F40" i="34"/>
  <c r="E13" i="184"/>
  <c r="H13" i="184" s="1"/>
  <c r="B2724" i="106"/>
  <c r="D2724" i="106" s="1"/>
  <c r="H295" i="29"/>
  <c r="B1454" i="106" s="1"/>
  <c r="D1454" i="106" s="1"/>
  <c r="B1452" i="106"/>
  <c r="D1452" i="106" s="1"/>
  <c r="F126" i="34"/>
  <c r="B7858" i="106" s="1"/>
  <c r="D7858" i="106" s="1"/>
  <c r="B5246" i="106"/>
  <c r="D5246" i="106" s="1"/>
  <c r="B5537" i="106"/>
  <c r="D5537" i="106" s="1"/>
  <c r="E170" i="5"/>
  <c r="B1053" i="106"/>
  <c r="D1053" i="106" s="1"/>
  <c r="H112" i="29"/>
  <c r="B7018" i="106" s="1"/>
  <c r="D7018" i="106" s="1"/>
  <c r="B5214" i="106"/>
  <c r="D5214" i="106" s="1"/>
  <c r="G4" i="4"/>
  <c r="B2603" i="106" s="1"/>
  <c r="D2603" i="106" s="1"/>
  <c r="J4" i="4"/>
  <c r="I4" i="4"/>
  <c r="B3225" i="106" s="1"/>
  <c r="D3225" i="106" s="1"/>
  <c r="I268" i="5"/>
  <c r="B5946" i="106" s="1"/>
  <c r="D5946" i="106" s="1"/>
  <c r="B6025" i="106"/>
  <c r="D6025" i="106" s="1"/>
  <c r="D4" i="4"/>
  <c r="B2564" i="106" s="1"/>
  <c r="D2564" i="106" s="1"/>
  <c r="F58" i="34"/>
  <c r="B1259" i="106"/>
  <c r="D1259" i="106" s="1"/>
  <c r="B1115" i="106"/>
  <c r="D1115" i="106" s="1"/>
  <c r="E21" i="108"/>
  <c r="G21" i="108"/>
  <c r="F19" i="184"/>
  <c r="H15" i="184"/>
  <c r="K172" i="29"/>
  <c r="K174" i="29" s="1"/>
  <c r="B1328" i="106"/>
  <c r="D1328" i="106" s="1"/>
  <c r="E4" i="4"/>
  <c r="B2630" i="106" s="1"/>
  <c r="D2630" i="106" s="1"/>
  <c r="B5527" i="106"/>
  <c r="D5527" i="106" s="1"/>
  <c r="B7719" i="106"/>
  <c r="D7719" i="106" s="1"/>
  <c r="K24" i="12"/>
  <c r="B4203" i="106"/>
  <c r="D4203" i="106" s="1"/>
  <c r="E151" i="29"/>
  <c r="B1242" i="106" s="1"/>
  <c r="D1242" i="106" s="1"/>
  <c r="B1279" i="106"/>
  <c r="D1279" i="106" s="1"/>
  <c r="K129" i="29"/>
  <c r="H14" i="12"/>
  <c r="B1977" i="106"/>
  <c r="D1977" i="106" s="1"/>
  <c r="F4" i="4"/>
  <c r="B2591" i="106" s="1"/>
  <c r="D2591" i="106" s="1"/>
  <c r="B5588" i="106"/>
  <c r="D5588" i="106" s="1"/>
  <c r="F60" i="34"/>
  <c r="E15" i="4"/>
  <c r="B1323" i="106"/>
  <c r="D1323" i="106" s="1"/>
  <c r="K112" i="29"/>
  <c r="B1151" i="106"/>
  <c r="D1151" i="106" s="1"/>
  <c r="B6220" i="106"/>
  <c r="D6220" i="106" s="1"/>
  <c r="B3569" i="106"/>
  <c r="D3569" i="106" s="1"/>
  <c r="B5223" i="106"/>
  <c r="D5223" i="106" s="1"/>
  <c r="C6" i="4"/>
  <c r="B2655" i="106"/>
  <c r="D2655" i="106" s="1"/>
  <c r="B281" i="106"/>
  <c r="D281" i="106" s="1"/>
  <c r="D54" i="36"/>
  <c r="A7261" i="106"/>
  <c r="D7260" i="106"/>
  <c r="B288" i="106"/>
  <c r="D288" i="106" s="1"/>
  <c r="C267" i="5" l="1"/>
  <c r="K6" i="4"/>
  <c r="B3570" i="106" s="1"/>
  <c r="D3570" i="106" s="1"/>
  <c r="B6014" i="106"/>
  <c r="D6014" i="106" s="1"/>
  <c r="I114" i="29"/>
  <c r="B6977" i="106"/>
  <c r="D6977" i="106" s="1"/>
  <c r="F74" i="34"/>
  <c r="B7790" i="106"/>
  <c r="D7790" i="106" s="1"/>
  <c r="J15" i="4"/>
  <c r="B7796" i="106" s="1"/>
  <c r="D7796" i="106" s="1"/>
  <c r="B5906" i="106"/>
  <c r="D5906" i="106" s="1"/>
  <c r="H6" i="4"/>
  <c r="B2656" i="106" s="1"/>
  <c r="D2656" i="106" s="1"/>
  <c r="I151" i="29"/>
  <c r="B7037" i="106"/>
  <c r="D7037" i="106" s="1"/>
  <c r="B6397" i="106"/>
  <c r="D6397" i="106" s="1"/>
  <c r="J6" i="4"/>
  <c r="G19" i="108"/>
  <c r="E19" i="108"/>
  <c r="B1108" i="106"/>
  <c r="D1108" i="106" s="1"/>
  <c r="C12" i="4"/>
  <c r="B2556" i="106" s="1"/>
  <c r="D2556" i="106" s="1"/>
  <c r="B7038" i="106"/>
  <c r="D7038" i="106" s="1"/>
  <c r="J151" i="29"/>
  <c r="B7052" i="106" s="1"/>
  <c r="D7052" i="106" s="1"/>
  <c r="B4442" i="106"/>
  <c r="D4442" i="106" s="1"/>
  <c r="K267" i="5"/>
  <c r="F41" i="108"/>
  <c r="G43" i="108" s="1"/>
  <c r="B3649" i="106"/>
  <c r="D3649" i="106" s="1"/>
  <c r="G367" i="29"/>
  <c r="B3650" i="106" s="1"/>
  <c r="D3650" i="106" s="1"/>
  <c r="B4435" i="106"/>
  <c r="D4435" i="106" s="1"/>
  <c r="I7" i="4"/>
  <c r="B4444" i="106" s="1"/>
  <c r="D4444" i="106" s="1"/>
  <c r="J16" i="4"/>
  <c r="B6226" i="106" s="1"/>
  <c r="D6226" i="106" s="1"/>
  <c r="B7215" i="106"/>
  <c r="D7215" i="106" s="1"/>
  <c r="B1045" i="106"/>
  <c r="D1045" i="106" s="1"/>
  <c r="H114" i="29"/>
  <c r="B1054" i="106" s="1"/>
  <c r="D1054" i="106" s="1"/>
  <c r="H13" i="4"/>
  <c r="K312" i="29"/>
  <c r="B1560" i="106" s="1"/>
  <c r="D1560" i="106" s="1"/>
  <c r="B1559" i="106"/>
  <c r="D1559" i="106" s="1"/>
  <c r="D170" i="5"/>
  <c r="B5412" i="106"/>
  <c r="D5412" i="106" s="1"/>
  <c r="B5544" i="106"/>
  <c r="D5544" i="106" s="1"/>
  <c r="E6" i="4"/>
  <c r="B2631" i="106" s="1"/>
  <c r="D2631" i="106" s="1"/>
  <c r="B7054" i="106"/>
  <c r="D7054" i="106" s="1"/>
  <c r="J7" i="4"/>
  <c r="B6222" i="106" s="1"/>
  <c r="D6222" i="106" s="1"/>
  <c r="F75" i="34"/>
  <c r="B7886" i="106" s="1"/>
  <c r="D7886" i="106" s="1"/>
  <c r="B7220" i="106"/>
  <c r="D7220" i="106" s="1"/>
  <c r="B5501" i="106"/>
  <c r="D5501" i="106" s="1"/>
  <c r="D267" i="5"/>
  <c r="B3642" i="106"/>
  <c r="D3642" i="106" s="1"/>
  <c r="F367" i="29"/>
  <c r="B3643" i="106" s="1"/>
  <c r="D3643" i="106" s="1"/>
  <c r="E68" i="184"/>
  <c r="N57" i="184"/>
  <c r="N68" i="184" s="1"/>
  <c r="B3656" i="106"/>
  <c r="D3656" i="106" s="1"/>
  <c r="H367" i="29"/>
  <c r="B3660" i="106" s="1"/>
  <c r="D3660" i="106" s="1"/>
  <c r="G24" i="108"/>
  <c r="E24" i="108"/>
  <c r="B1125" i="106"/>
  <c r="D1125" i="106" s="1"/>
  <c r="B5863" i="106"/>
  <c r="D5863" i="106" s="1"/>
  <c r="G267" i="5"/>
  <c r="E267" i="5"/>
  <c r="B7747" i="106"/>
  <c r="D7747" i="106" s="1"/>
  <c r="B6978" i="106"/>
  <c r="D6978" i="106" s="1"/>
  <c r="J114" i="29"/>
  <c r="B7021" i="106" s="1"/>
  <c r="D7021" i="106" s="1"/>
  <c r="B1122" i="106"/>
  <c r="D1122" i="106" s="1"/>
  <c r="G23" i="108"/>
  <c r="E23" i="108"/>
  <c r="B987" i="106"/>
  <c r="D987" i="106" s="1"/>
  <c r="G114" i="29"/>
  <c r="K102" i="29"/>
  <c r="B2088" i="106"/>
  <c r="D2088" i="106" s="1"/>
  <c r="B7048" i="106"/>
  <c r="D7048" i="106" s="1"/>
  <c r="K149" i="29"/>
  <c r="K208" i="29"/>
  <c r="B4157" i="106"/>
  <c r="D4157" i="106" s="1"/>
  <c r="K365" i="29"/>
  <c r="B3676" i="106"/>
  <c r="D3676" i="106" s="1"/>
  <c r="B1352" i="106"/>
  <c r="D1352" i="106" s="1"/>
  <c r="E210" i="29"/>
  <c r="B1353" i="106" s="1"/>
  <c r="D1353" i="106" s="1"/>
  <c r="F66" i="34"/>
  <c r="B7071" i="106"/>
  <c r="D7071" i="106" s="1"/>
  <c r="K74" i="29"/>
  <c r="B1119" i="106"/>
  <c r="D1119" i="106" s="1"/>
  <c r="E22" i="108"/>
  <c r="G22" i="108"/>
  <c r="D367" i="29"/>
  <c r="B3629" i="106" s="1"/>
  <c r="D3629" i="106" s="1"/>
  <c r="B3628" i="106"/>
  <c r="D3628" i="106" s="1"/>
  <c r="B1317" i="106"/>
  <c r="D1317" i="106" s="1"/>
  <c r="H174" i="29"/>
  <c r="B1318" i="106" s="1"/>
  <c r="D1318" i="106" s="1"/>
  <c r="D41" i="108"/>
  <c r="E43" i="108" s="1"/>
  <c r="B871" i="106"/>
  <c r="D871" i="106" s="1"/>
  <c r="E114" i="29"/>
  <c r="B873" i="106" s="1"/>
  <c r="D873" i="106" s="1"/>
  <c r="K15" i="4"/>
  <c r="B3573" i="106" s="1"/>
  <c r="D3573" i="106" s="1"/>
  <c r="B3674" i="106"/>
  <c r="D3674" i="106" s="1"/>
  <c r="B2093" i="106"/>
  <c r="D2093" i="106" s="1"/>
  <c r="K139" i="29"/>
  <c r="F114" i="29"/>
  <c r="B931" i="106" s="1"/>
  <c r="D931" i="106" s="1"/>
  <c r="B929" i="106"/>
  <c r="D929" i="106" s="1"/>
  <c r="I367" i="29"/>
  <c r="B7244" i="106" s="1"/>
  <c r="D7244" i="106" s="1"/>
  <c r="B7234" i="106"/>
  <c r="D7234" i="106" s="1"/>
  <c r="B7235" i="106"/>
  <c r="D7235" i="106" s="1"/>
  <c r="J367" i="29"/>
  <c r="B7245" i="106" s="1"/>
  <c r="D7245" i="106" s="1"/>
  <c r="J268" i="5"/>
  <c r="B7055" i="106" s="1"/>
  <c r="D7055" i="106" s="1"/>
  <c r="B5644" i="106"/>
  <c r="D5644" i="106" s="1"/>
  <c r="F170" i="5"/>
  <c r="F13" i="4"/>
  <c r="B2596" i="106" s="1"/>
  <c r="D2596" i="106" s="1"/>
  <c r="B1381" i="106"/>
  <c r="D1381" i="106" s="1"/>
  <c r="B3635" i="106"/>
  <c r="D3635" i="106" s="1"/>
  <c r="E367" i="29"/>
  <c r="B3636" i="106" s="1"/>
  <c r="D3636" i="106" s="1"/>
  <c r="D295" i="29"/>
  <c r="B1448" i="106" s="1"/>
  <c r="D1448" i="106" s="1"/>
  <c r="B1446" i="106"/>
  <c r="D1446" i="106" s="1"/>
  <c r="B4441" i="106"/>
  <c r="D4441" i="106" s="1"/>
  <c r="H267" i="5"/>
  <c r="B813" i="106"/>
  <c r="D813" i="106" s="1"/>
  <c r="D114" i="29"/>
  <c r="B815" i="106" s="1"/>
  <c r="D815" i="106" s="1"/>
  <c r="H210" i="29"/>
  <c r="B1376" i="106" s="1"/>
  <c r="D1376" i="106" s="1"/>
  <c r="B2830" i="106"/>
  <c r="D2830" i="106" s="1"/>
  <c r="H15" i="4"/>
  <c r="B2660" i="106" s="1"/>
  <c r="D2660" i="106" s="1"/>
  <c r="B2102" i="106"/>
  <c r="D2102" i="106" s="1"/>
  <c r="I6" i="4"/>
  <c r="B4216" i="106"/>
  <c r="D4216" i="106" s="1"/>
  <c r="B5770" i="106"/>
  <c r="D5770" i="106" s="1"/>
  <c r="G170" i="5"/>
  <c r="C114" i="29"/>
  <c r="B757" i="106" s="1"/>
  <c r="D757" i="106" s="1"/>
  <c r="B755" i="106"/>
  <c r="D755" i="106" s="1"/>
  <c r="E19" i="184"/>
  <c r="H12" i="184"/>
  <c r="H19" i="184" s="1"/>
  <c r="L20" i="184" s="1"/>
  <c r="B7847" i="106"/>
  <c r="D7847" i="106" s="1"/>
  <c r="F175" i="34"/>
  <c r="B7877" i="106" s="1"/>
  <c r="D7877" i="106" s="1"/>
  <c r="K279" i="29"/>
  <c r="B1481" i="106"/>
  <c r="D1481" i="106" s="1"/>
  <c r="K342" i="29"/>
  <c r="B7207" i="106"/>
  <c r="D7207" i="106" s="1"/>
  <c r="J13" i="4"/>
  <c r="F65" i="34"/>
  <c r="B1365" i="106"/>
  <c r="D1365" i="106" s="1"/>
  <c r="F73" i="34"/>
  <c r="G15" i="4"/>
  <c r="B6032" i="106" s="1"/>
  <c r="D6032" i="106" s="1"/>
  <c r="B3724" i="106"/>
  <c r="D3724" i="106" s="1"/>
  <c r="G12" i="4"/>
  <c r="B2607" i="106" s="1"/>
  <c r="D2607" i="106" s="1"/>
  <c r="B1474" i="106"/>
  <c r="D1474" i="106" s="1"/>
  <c r="F151" i="29"/>
  <c r="B1250" i="106" s="1"/>
  <c r="D1250" i="106" s="1"/>
  <c r="B1249" i="106"/>
  <c r="D1249" i="106" s="1"/>
  <c r="G16" i="4"/>
  <c r="B2611" i="106" s="1"/>
  <c r="D2611" i="106" s="1"/>
  <c r="B1515" i="106"/>
  <c r="D1515" i="106" s="1"/>
  <c r="H151" i="29"/>
  <c r="B1273" i="106" s="1"/>
  <c r="D1273" i="106" s="1"/>
  <c r="B1266" i="106"/>
  <c r="D1266" i="106" s="1"/>
  <c r="B2837" i="106"/>
  <c r="D2837" i="106" s="1"/>
  <c r="K196" i="29"/>
  <c r="F76" i="34"/>
  <c r="B7887" i="106" s="1"/>
  <c r="D7887" i="106" s="1"/>
  <c r="B7222" i="106"/>
  <c r="D7222" i="106" s="1"/>
  <c r="F267" i="5"/>
  <c r="B7019" i="106"/>
  <c r="D7019" i="106" s="1"/>
  <c r="C16" i="4"/>
  <c r="B2560" i="106" s="1"/>
  <c r="D2560" i="106" s="1"/>
  <c r="B2633" i="106"/>
  <c r="D2633" i="106" s="1"/>
  <c r="B1331" i="106"/>
  <c r="D1331" i="106" s="1"/>
  <c r="E16" i="4"/>
  <c r="B2634" i="106" s="1"/>
  <c r="D2634" i="106" s="1"/>
  <c r="F10" i="34"/>
  <c r="B1332" i="106"/>
  <c r="D1332" i="106" s="1"/>
  <c r="H23" i="12"/>
  <c r="B7720" i="106"/>
  <c r="D7720" i="106" s="1"/>
  <c r="B1281" i="106"/>
  <c r="D1281" i="106" s="1"/>
  <c r="D13" i="4"/>
  <c r="B2569" i="106" s="1"/>
  <c r="D2569" i="106" s="1"/>
  <c r="K26" i="12"/>
  <c r="B7743" i="106" s="1"/>
  <c r="D7743" i="106" s="1"/>
  <c r="B7733" i="106"/>
  <c r="D7733" i="106" s="1"/>
  <c r="B2553" i="106"/>
  <c r="D2553" i="106" s="1"/>
  <c r="A7262" i="106"/>
  <c r="D7261" i="106"/>
  <c r="B5326" i="106" l="1"/>
  <c r="D5326" i="106" s="1"/>
  <c r="C7" i="4"/>
  <c r="C268" i="5"/>
  <c r="B5327" i="106" s="1"/>
  <c r="D5327" i="106" s="1"/>
  <c r="K343" i="29"/>
  <c r="B7225" i="106" s="1"/>
  <c r="D7225" i="106" s="1"/>
  <c r="B7042" i="106"/>
  <c r="D7042" i="106" s="1"/>
  <c r="J17" i="4"/>
  <c r="B5011" i="106"/>
  <c r="D5011" i="106" s="1"/>
  <c r="I8" i="4"/>
  <c r="K268" i="5"/>
  <c r="K7" i="4"/>
  <c r="B6022" i="106"/>
  <c r="D6022" i="106" s="1"/>
  <c r="B6221" i="106"/>
  <c r="D6221" i="106" s="1"/>
  <c r="J8" i="4"/>
  <c r="B1382" i="106"/>
  <c r="D1382" i="106" s="1"/>
  <c r="F63" i="34"/>
  <c r="F15" i="4"/>
  <c r="K210" i="29"/>
  <c r="B5778" i="106"/>
  <c r="D5778" i="106" s="1"/>
  <c r="G268" i="5"/>
  <c r="G6" i="4"/>
  <c r="C13" i="4"/>
  <c r="B1143" i="106"/>
  <c r="D1143" i="106" s="1"/>
  <c r="K114" i="29"/>
  <c r="B1387" i="106"/>
  <c r="D1387" i="106" s="1"/>
  <c r="F16" i="4"/>
  <c r="B2599" i="106" s="1"/>
  <c r="D2599" i="106" s="1"/>
  <c r="B1145" i="106"/>
  <c r="D1145" i="106" s="1"/>
  <c r="C15" i="4"/>
  <c r="B2559" i="106" s="1"/>
  <c r="D2559" i="106" s="1"/>
  <c r="F53" i="34"/>
  <c r="F7" i="4"/>
  <c r="B2594" i="106" s="1"/>
  <c r="D2594" i="106" s="1"/>
  <c r="B5719" i="106"/>
  <c r="D5719" i="106" s="1"/>
  <c r="B7224" i="106"/>
  <c r="D7224" i="106" s="1"/>
  <c r="F13" i="34"/>
  <c r="K295" i="29"/>
  <c r="B1510" i="106"/>
  <c r="D1510" i="106" s="1"/>
  <c r="G13" i="4"/>
  <c r="B1287" i="106"/>
  <c r="D1287" i="106" s="1"/>
  <c r="D16" i="4"/>
  <c r="B2572" i="106" s="1"/>
  <c r="D2572" i="106" s="1"/>
  <c r="B989" i="106"/>
  <c r="D989" i="106" s="1"/>
  <c r="F54" i="34"/>
  <c r="E7" i="4"/>
  <c r="E268" i="5"/>
  <c r="B4434" i="106"/>
  <c r="D4434" i="106" s="1"/>
  <c r="D7" i="4"/>
  <c r="B5507" i="106"/>
  <c r="D5507" i="106" s="1"/>
  <c r="B2659" i="106"/>
  <c r="D2659" i="106" s="1"/>
  <c r="H17" i="4"/>
  <c r="E41" i="108"/>
  <c r="E44" i="108" s="1"/>
  <c r="E45" i="108" s="1"/>
  <c r="B7020" i="106"/>
  <c r="D7020" i="106" s="1"/>
  <c r="F55" i="34"/>
  <c r="F17" i="11"/>
  <c r="H268" i="5"/>
  <c r="H7" i="4"/>
  <c r="B5914" i="106"/>
  <c r="D5914" i="106" s="1"/>
  <c r="F6" i="4"/>
  <c r="F268" i="5"/>
  <c r="B5653" i="106"/>
  <c r="D5653" i="106" s="1"/>
  <c r="B1282" i="106"/>
  <c r="D1282" i="106" s="1"/>
  <c r="F57" i="34"/>
  <c r="D15" i="4"/>
  <c r="K16" i="4"/>
  <c r="B3574" i="106" s="1"/>
  <c r="D3574" i="106" s="1"/>
  <c r="B7243" i="106"/>
  <c r="D7243" i="106" s="1"/>
  <c r="B5869" i="106"/>
  <c r="D5869" i="106" s="1"/>
  <c r="G7" i="4"/>
  <c r="B2605" i="106" s="1"/>
  <c r="D2605" i="106" s="1"/>
  <c r="D268" i="5"/>
  <c r="B5421" i="106"/>
  <c r="D5421" i="106" s="1"/>
  <c r="D6" i="4"/>
  <c r="G41" i="108"/>
  <c r="G44" i="108" s="1"/>
  <c r="G45" i="108" s="1"/>
  <c r="F59" i="34"/>
  <c r="B7051" i="106"/>
  <c r="D7051" i="106" s="1"/>
  <c r="K151" i="29"/>
  <c r="B1982" i="106"/>
  <c r="D1982" i="106" s="1"/>
  <c r="H24" i="12"/>
  <c r="E17" i="4"/>
  <c r="A7263" i="106"/>
  <c r="D7262" i="106"/>
  <c r="B2554" i="106" l="1"/>
  <c r="D2554" i="106" s="1"/>
  <c r="C8" i="4"/>
  <c r="B2657" i="106"/>
  <c r="D2657" i="106" s="1"/>
  <c r="H8" i="4"/>
  <c r="B4443" i="106"/>
  <c r="D4443" i="106" s="1"/>
  <c r="E8" i="4"/>
  <c r="E20" i="4" s="1"/>
  <c r="E78" i="4" s="1"/>
  <c r="F77" i="34"/>
  <c r="B7834" i="106" s="1"/>
  <c r="D7834" i="106" s="1"/>
  <c r="B2604" i="106"/>
  <c r="D2604" i="106" s="1"/>
  <c r="G8" i="4"/>
  <c r="B2598" i="106"/>
  <c r="D2598" i="106" s="1"/>
  <c r="F17" i="4"/>
  <c r="E8" i="146"/>
  <c r="E10" i="146" s="1"/>
  <c r="I10" i="4"/>
  <c r="B4128" i="106" s="1"/>
  <c r="D4128" i="106" s="1"/>
  <c r="B3226" i="106"/>
  <c r="D3226" i="106" s="1"/>
  <c r="I20" i="4"/>
  <c r="B5508" i="106"/>
  <c r="D5508" i="106" s="1"/>
  <c r="K152" i="29"/>
  <c r="B1289" i="106" s="1"/>
  <c r="D1289" i="106" s="1"/>
  <c r="B5720" i="106"/>
  <c r="D5720" i="106" s="1"/>
  <c r="K211" i="29"/>
  <c r="B1389" i="106" s="1"/>
  <c r="D1389" i="106" s="1"/>
  <c r="B5915" i="106"/>
  <c r="D5915" i="106" s="1"/>
  <c r="K313" i="29"/>
  <c r="B1561" i="106" s="1"/>
  <c r="D1561" i="106" s="1"/>
  <c r="B2567" i="106"/>
  <c r="D2567" i="106" s="1"/>
  <c r="D10" i="171"/>
  <c r="D19" i="171" s="1"/>
  <c r="D32" i="171" s="1"/>
  <c r="D49" i="171" s="1"/>
  <c r="B2608" i="106"/>
  <c r="D2608" i="106" s="1"/>
  <c r="G17" i="4"/>
  <c r="B1152" i="106"/>
  <c r="D1152" i="106" s="1"/>
  <c r="F8" i="34"/>
  <c r="K115" i="29"/>
  <c r="B1153" i="106" s="1"/>
  <c r="D1153" i="106" s="1"/>
  <c r="K296" i="29"/>
  <c r="B1518" i="106" s="1"/>
  <c r="D1518" i="106" s="1"/>
  <c r="B5870" i="106"/>
  <c r="D5870" i="106" s="1"/>
  <c r="B2571" i="106"/>
  <c r="D2571" i="106" s="1"/>
  <c r="D17" i="4"/>
  <c r="B2593" i="106"/>
  <c r="D2593" i="106" s="1"/>
  <c r="F8" i="4"/>
  <c r="I17" i="11"/>
  <c r="B7624" i="106"/>
  <c r="B2661" i="106"/>
  <c r="D2661" i="106" s="1"/>
  <c r="H19" i="4"/>
  <c r="B4141" i="106" s="1"/>
  <c r="D4141" i="106" s="1"/>
  <c r="B3718" i="106"/>
  <c r="D3718" i="106" s="1"/>
  <c r="K8" i="4"/>
  <c r="J19" i="4"/>
  <c r="B6229" i="106" s="1"/>
  <c r="D6229" i="106" s="1"/>
  <c r="B6227" i="106"/>
  <c r="D6227" i="106" s="1"/>
  <c r="B1288" i="106"/>
  <c r="D1288" i="106" s="1"/>
  <c r="F9" i="34"/>
  <c r="D8" i="4"/>
  <c r="B2566" i="106"/>
  <c r="D2566" i="106" s="1"/>
  <c r="K175" i="29"/>
  <c r="B1333" i="106" s="1"/>
  <c r="D1333" i="106" s="1"/>
  <c r="B5552" i="106"/>
  <c r="D5552" i="106" s="1"/>
  <c r="F12" i="34"/>
  <c r="B1517" i="106"/>
  <c r="D1517" i="106" s="1"/>
  <c r="B2557" i="106"/>
  <c r="D2557" i="106" s="1"/>
  <c r="C17" i="4"/>
  <c r="F11" i="34"/>
  <c r="B1388" i="106"/>
  <c r="D1388" i="106" s="1"/>
  <c r="J10" i="4"/>
  <c r="B6225" i="106" s="1"/>
  <c r="D6225" i="106" s="1"/>
  <c r="B6223" i="106"/>
  <c r="D6223" i="106" s="1"/>
  <c r="J20" i="4"/>
  <c r="B6023" i="106"/>
  <c r="D6023" i="106" s="1"/>
  <c r="E19" i="4"/>
  <c r="B4138" i="106" s="1"/>
  <c r="D4138" i="106" s="1"/>
  <c r="B2635" i="106"/>
  <c r="D2635" i="106" s="1"/>
  <c r="H26" i="12"/>
  <c r="B7740" i="106" s="1"/>
  <c r="D7740" i="106" s="1"/>
  <c r="B1983" i="106"/>
  <c r="D1983" i="106" s="1"/>
  <c r="A7264" i="106"/>
  <c r="D7263" i="106"/>
  <c r="C10" i="4" l="1"/>
  <c r="B4122" i="106" s="1"/>
  <c r="D4122" i="106" s="1"/>
  <c r="B8" i="146"/>
  <c r="B2555" i="106"/>
  <c r="D2555" i="106" s="1"/>
  <c r="B6230" i="106"/>
  <c r="D6230" i="106" s="1"/>
  <c r="J78" i="4"/>
  <c r="H18" i="118"/>
  <c r="D20" i="4"/>
  <c r="D16" i="37"/>
  <c r="D10" i="4"/>
  <c r="B4123" i="106" s="1"/>
  <c r="D4123" i="106" s="1"/>
  <c r="H13" i="118"/>
  <c r="B2568" i="106"/>
  <c r="D2568" i="106" s="1"/>
  <c r="C8" i="146"/>
  <c r="C20" i="4"/>
  <c r="B9" i="146"/>
  <c r="C19" i="4"/>
  <c r="B4136" i="106" s="1"/>
  <c r="D4136" i="106" s="1"/>
  <c r="B2561" i="106"/>
  <c r="D2561" i="106" s="1"/>
  <c r="F16" i="37"/>
  <c r="H17" i="118"/>
  <c r="B3571" i="106"/>
  <c r="D3571" i="106" s="1"/>
  <c r="K10" i="4"/>
  <c r="B4130" i="106" s="1"/>
  <c r="D4130" i="106" s="1"/>
  <c r="B2632" i="106"/>
  <c r="D2632" i="106" s="1"/>
  <c r="E10" i="4"/>
  <c r="B4124" i="106" s="1"/>
  <c r="D4124" i="106" s="1"/>
  <c r="B7625" i="106"/>
  <c r="I18" i="11"/>
  <c r="G19" i="4"/>
  <c r="B4140" i="106" s="1"/>
  <c r="D4140" i="106" s="1"/>
  <c r="B2612" i="106"/>
  <c r="D2612" i="106" s="1"/>
  <c r="B2606" i="106"/>
  <c r="D2606" i="106" s="1"/>
  <c r="G10" i="4"/>
  <c r="B4126" i="106" s="1"/>
  <c r="D4126" i="106" s="1"/>
  <c r="G20" i="4"/>
  <c r="F20" i="4"/>
  <c r="F10" i="4"/>
  <c r="B4125" i="106" s="1"/>
  <c r="D4125" i="106" s="1"/>
  <c r="B2595" i="106"/>
  <c r="D2595" i="106" s="1"/>
  <c r="D8" i="146"/>
  <c r="B2573" i="106"/>
  <c r="D2573" i="106" s="1"/>
  <c r="C9" i="146"/>
  <c r="D19" i="4"/>
  <c r="B4137" i="106" s="1"/>
  <c r="D4137" i="106" s="1"/>
  <c r="H10" i="4"/>
  <c r="B4127" i="106" s="1"/>
  <c r="D4127" i="106" s="1"/>
  <c r="H20" i="4"/>
  <c r="B2658" i="106"/>
  <c r="D2658" i="106" s="1"/>
  <c r="F14" i="34"/>
  <c r="B3227" i="106"/>
  <c r="D3227" i="106" s="1"/>
  <c r="I78" i="4"/>
  <c r="B2600" i="106"/>
  <c r="D2600" i="106" s="1"/>
  <c r="F19" i="4"/>
  <c r="B4139" i="106" s="1"/>
  <c r="D4139" i="106" s="1"/>
  <c r="D9" i="146"/>
  <c r="B2636" i="106"/>
  <c r="D2636" i="106" s="1"/>
  <c r="B3278" i="106"/>
  <c r="D3278" i="106" s="1"/>
  <c r="E81" i="4"/>
  <c r="A7265" i="106"/>
  <c r="D7264" i="106"/>
  <c r="H16" i="37" l="1"/>
  <c r="F78" i="34"/>
  <c r="B7822" i="106"/>
  <c r="F177" i="34"/>
  <c r="B7631" i="106"/>
  <c r="B2574" i="106"/>
  <c r="D2574" i="106" s="1"/>
  <c r="D78" i="4"/>
  <c r="H25" i="118"/>
  <c r="K24" i="118" s="1"/>
  <c r="O23" i="118" s="1"/>
  <c r="O25" i="118" s="1"/>
  <c r="K17" i="118"/>
  <c r="O16" i="118" s="1"/>
  <c r="F9" i="146"/>
  <c r="B10" i="146"/>
  <c r="B3320" i="106"/>
  <c r="D3320" i="106" s="1"/>
  <c r="I81" i="4"/>
  <c r="H78" i="4"/>
  <c r="B2662" i="106"/>
  <c r="D2662" i="106" s="1"/>
  <c r="F78" i="4"/>
  <c r="B2601" i="106"/>
  <c r="D2601" i="106" s="1"/>
  <c r="B2562" i="106"/>
  <c r="D2562" i="106" s="1"/>
  <c r="C78" i="4"/>
  <c r="B6263" i="106"/>
  <c r="D6263" i="106" s="1"/>
  <c r="J81" i="4"/>
  <c r="D10" i="146"/>
  <c r="G78" i="4"/>
  <c r="B2613" i="106"/>
  <c r="D2613" i="106" s="1"/>
  <c r="C10" i="146"/>
  <c r="F8" i="146"/>
  <c r="B2912" i="106"/>
  <c r="D2912" i="106" s="1"/>
  <c r="I41" i="3"/>
  <c r="D64" i="36"/>
  <c r="B6215" i="106"/>
  <c r="D6215" i="106" s="1"/>
  <c r="J41" i="3"/>
  <c r="E82" i="4"/>
  <c r="B1658" i="106"/>
  <c r="D1658" i="106" s="1"/>
  <c r="B212" i="106"/>
  <c r="D212" i="106" s="1"/>
  <c r="H41" i="3"/>
  <c r="A7266" i="106"/>
  <c r="D7265" i="106"/>
  <c r="F10" i="146" l="1"/>
  <c r="B3262" i="106"/>
  <c r="D3262" i="106" s="1"/>
  <c r="G81" i="4"/>
  <c r="D61" i="36" s="1"/>
  <c r="B3233" i="106"/>
  <c r="D3233" i="106" s="1"/>
  <c r="C81" i="4"/>
  <c r="D57" i="36" s="1"/>
  <c r="E11" i="146"/>
  <c r="I82" i="4"/>
  <c r="B3323" i="106"/>
  <c r="D3323" i="106" s="1"/>
  <c r="F81" i="4"/>
  <c r="D60" i="36" s="1"/>
  <c r="B3256" i="106"/>
  <c r="D3256" i="106" s="1"/>
  <c r="D63" i="36"/>
  <c r="J82" i="4"/>
  <c r="B6266" i="106"/>
  <c r="D6266" i="106" s="1"/>
  <c r="B3239" i="106"/>
  <c r="D3239" i="106" s="1"/>
  <c r="D81" i="4"/>
  <c r="B3300" i="106"/>
  <c r="D3300" i="106" s="1"/>
  <c r="H81" i="4"/>
  <c r="F176" i="34"/>
  <c r="B7835" i="106"/>
  <c r="D7835" i="106" s="1"/>
  <c r="F80" i="34"/>
  <c r="B7837" i="106" s="1"/>
  <c r="D7837" i="106" s="1"/>
  <c r="J20" i="118"/>
  <c r="B189" i="106"/>
  <c r="D189" i="106" s="1"/>
  <c r="G41" i="3"/>
  <c r="E41" i="3"/>
  <c r="D59" i="36"/>
  <c r="B140" i="106"/>
  <c r="D140" i="106" s="1"/>
  <c r="C41" i="3"/>
  <c r="D76" i="36"/>
  <c r="B92" i="106"/>
  <c r="D92" i="106" s="1"/>
  <c r="D51" i="36"/>
  <c r="B6216" i="106"/>
  <c r="D6216" i="106" s="1"/>
  <c r="B170" i="106"/>
  <c r="D170" i="106" s="1"/>
  <c r="F41" i="3"/>
  <c r="B123" i="106"/>
  <c r="D123" i="106" s="1"/>
  <c r="D41" i="3"/>
  <c r="D58" i="36"/>
  <c r="B2913" i="106"/>
  <c r="D2913" i="106" s="1"/>
  <c r="D50" i="36"/>
  <c r="D49" i="36"/>
  <c r="B213" i="106"/>
  <c r="D213" i="106" s="1"/>
  <c r="B6269" i="106"/>
  <c r="D6269" i="106" s="1"/>
  <c r="E83" i="4"/>
  <c r="B6278" i="106" s="1"/>
  <c r="D6278" i="106" s="1"/>
  <c r="B3567" i="106"/>
  <c r="D3567" i="106" s="1"/>
  <c r="K41" i="3"/>
  <c r="A7267" i="106"/>
  <c r="D7266" i="106"/>
  <c r="F82" i="4" l="1"/>
  <c r="B1672" i="106"/>
  <c r="D1672" i="106" s="1"/>
  <c r="D11" i="146"/>
  <c r="J16" i="37"/>
  <c r="B4269" i="106" s="1"/>
  <c r="D4269" i="106" s="1"/>
  <c r="B1630" i="106"/>
  <c r="D1630" i="106" s="1"/>
  <c r="C82" i="4"/>
  <c r="H12" i="118"/>
  <c r="K12" i="118" s="1"/>
  <c r="O11" i="118" s="1"/>
  <c r="O13" i="118" s="1"/>
  <c r="B11" i="146"/>
  <c r="F178" i="34"/>
  <c r="B7878" i="106"/>
  <c r="D7878" i="106" s="1"/>
  <c r="B6274" i="106"/>
  <c r="D6274" i="106" s="1"/>
  <c r="J83" i="4"/>
  <c r="B6283" i="106" s="1"/>
  <c r="D6283" i="106" s="1"/>
  <c r="H82" i="4"/>
  <c r="B1700" i="106"/>
  <c r="D1700" i="106" s="1"/>
  <c r="D62" i="36"/>
  <c r="B1644" i="106"/>
  <c r="D1644" i="106" s="1"/>
  <c r="C11" i="146"/>
  <c r="D82" i="4"/>
  <c r="B6273" i="106"/>
  <c r="D6273" i="106" s="1"/>
  <c r="I83" i="4"/>
  <c r="B6282" i="106" s="1"/>
  <c r="D6282" i="106" s="1"/>
  <c r="G82" i="4"/>
  <c r="B1686" i="106"/>
  <c r="D1686" i="106" s="1"/>
  <c r="K20" i="118"/>
  <c r="O17" i="118"/>
  <c r="O20" i="118" s="1"/>
  <c r="B171" i="106"/>
  <c r="D171" i="106" s="1"/>
  <c r="D47" i="36"/>
  <c r="B93" i="106"/>
  <c r="D93" i="106" s="1"/>
  <c r="D44" i="36"/>
  <c r="D46" i="36"/>
  <c r="B141" i="106"/>
  <c r="D141" i="106" s="1"/>
  <c r="B3568" i="106"/>
  <c r="D3568" i="106" s="1"/>
  <c r="D52" i="36"/>
  <c r="B190" i="106"/>
  <c r="D190" i="106" s="1"/>
  <c r="D48" i="36"/>
  <c r="B124" i="106"/>
  <c r="D124" i="106" s="1"/>
  <c r="D45" i="36"/>
  <c r="B282" i="106"/>
  <c r="D282" i="106" s="1"/>
  <c r="N23" i="3"/>
  <c r="A7268" i="106"/>
  <c r="D7267" i="106"/>
  <c r="O35" i="118" l="1"/>
  <c r="O37" i="118" s="1"/>
  <c r="B6268" i="106"/>
  <c r="D6268" i="106" s="1"/>
  <c r="D83" i="4"/>
  <c r="B6277" i="106" s="1"/>
  <c r="D6277" i="106" s="1"/>
  <c r="F11" i="146"/>
  <c r="B6271" i="106"/>
  <c r="D6271" i="106" s="1"/>
  <c r="G83" i="4"/>
  <c r="B6280" i="106" s="1"/>
  <c r="D6280" i="106" s="1"/>
  <c r="H83" i="4"/>
  <c r="B6281" i="106" s="1"/>
  <c r="D6281" i="106" s="1"/>
  <c r="B6272" i="106"/>
  <c r="D6272" i="106" s="1"/>
  <c r="C83" i="4"/>
  <c r="B6276" i="106" s="1"/>
  <c r="D6276" i="106" s="1"/>
  <c r="B6267" i="106"/>
  <c r="D6267" i="106" s="1"/>
  <c r="B7879" i="106"/>
  <c r="D7879" i="106" s="1"/>
  <c r="F180" i="34"/>
  <c r="B7880" i="106" s="1"/>
  <c r="D7880" i="106" s="1"/>
  <c r="B6270" i="106"/>
  <c r="D6270" i="106" s="1"/>
  <c r="F83" i="4"/>
  <c r="B6279" i="106" s="1"/>
  <c r="D6279" i="106" s="1"/>
  <c r="D55" i="36"/>
  <c r="B284" i="106"/>
  <c r="D284" i="106" s="1"/>
  <c r="A7269" i="106"/>
  <c r="D7268" i="106"/>
  <c r="C12" i="146" l="1"/>
  <c r="D29" i="36"/>
  <c r="J24" i="24" s="1"/>
  <c r="A7270" i="106"/>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K348" i="29"/>
  <c r="K350" i="29" s="1"/>
  <c r="B3617" i="106"/>
  <c r="D3617" i="106" s="1"/>
  <c r="C350" i="29"/>
  <c r="C352" i="29" s="1"/>
  <c r="B3619" i="106"/>
  <c r="D3619" i="106" s="1"/>
  <c r="K352" i="29" l="1"/>
  <c r="B3670" i="106"/>
  <c r="D3670" i="106" s="1"/>
  <c r="C367" i="29"/>
  <c r="B3622" i="106" s="1"/>
  <c r="D3622" i="106" s="1"/>
  <c r="B3621" i="106"/>
  <c r="D3621" i="106" s="1"/>
  <c r="B3668" i="106"/>
  <c r="D3668" i="106" s="1"/>
  <c r="K367" i="29" l="1"/>
  <c r="K13" i="4"/>
  <c r="B3672" i="106"/>
  <c r="D3672" i="106" s="1"/>
  <c r="K17" i="4" l="1"/>
  <c r="B3572" i="106"/>
  <c r="D3572" i="106" s="1"/>
  <c r="K368" i="29"/>
  <c r="B3681" i="106" s="1"/>
  <c r="D3681" i="106" s="1"/>
  <c r="B3678" i="106"/>
  <c r="D3678" i="106" s="1"/>
  <c r="K20" i="4" l="1"/>
  <c r="K19" i="4"/>
  <c r="B4144" i="106" s="1"/>
  <c r="D4144" i="106" s="1"/>
  <c r="B3575" i="106"/>
  <c r="D3575" i="106" s="1"/>
  <c r="K78" i="4" l="1"/>
  <c r="B3576" i="106"/>
  <c r="D3576" i="106" s="1"/>
  <c r="K81" i="4" l="1"/>
  <c r="B3588" i="106"/>
  <c r="D3588" i="106" s="1"/>
  <c r="K82" i="4" l="1"/>
  <c r="B3591" i="106"/>
  <c r="D3591" i="106" s="1"/>
  <c r="D65" i="36"/>
  <c r="K83" i="4" l="1"/>
  <c r="B6284" i="106" s="1"/>
  <c r="D6284" i="106" s="1"/>
  <c r="B6275" i="106"/>
  <c r="D6275"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<sst xmlns="http://schemas.openxmlformats.org/spreadsheetml/2006/main" count="5201" uniqueCount="2103">
  <si>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</si>
  <si>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</si>
  <si>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</si>
  <si>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</si>
  <si>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</si>
  <si>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</si>
  <si>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</si>
  <si>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</si>
  <si>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</si>
  <si>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</si>
  <si>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</si>
  <si>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</si>
  <si>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</si>
  <si>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</si>
  <si>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</si>
  <si>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</si>
  <si>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</si>
  <si>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</si>
  <si>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</si>
  <si>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</si>
  <si>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</si>
  <si>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</si>
  <si>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</si>
  <si>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</si>
  <si>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</si>
  <si>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</si>
  <si>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</si>
  <si>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</si>
  <si>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</si>
  <si>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</si>
  <si>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</si>
  <si>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</si>
  <si>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</si>
  <si>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</si>
  <si>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</si>
  <si>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</si>
  <si>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</si>
  <si>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</si>
  <si>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</si>
  <si>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</si>
  <si>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</si>
  <si>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</si>
  <si>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</si>
  <si>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</si>
  <si>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</si>
  <si>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</si>
  <si>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</si>
  <si>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</si>
  <si>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</si>
  <si>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</si>
  <si>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</si>
  <si>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</si>
  <si>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</si>
  <si>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</si>
  <si>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</si>
  <si>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</si>
  <si>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</si>
  <si>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</si>
  <si>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</si>
  <si>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</si>
  <si>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</si>
  <si>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</si>
  <si>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</si>
  <si>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</si>
  <si>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</si>
  <si>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</si>
  <si>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</si>
  <si>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</si>
  <si>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</si>
  <si>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</si>
  <si>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</si>
  <si>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</si>
  <si>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</si>
  <si>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</si>
  <si>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</si>
  <si>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</si>
  <si>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</si>
  <si>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</si>
  <si>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</si>
  <si>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</si>
  <si>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</si>
  <si>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</si>
  <si>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</si>
  <si>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</si>
  <si>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</si>
  <si>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</si>
  <si>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</si>
  <si>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</si>
  <si>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</si>
  <si>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</si>
  <si>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</si>
  <si>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</si>
  <si>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</si>
  <si>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</si>
  <si>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</si>
  <si>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</si>
  <si>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</si>
  <si>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</si>
  <si>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</si>
  <si>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</si>
  <si>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</si>
  <si>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</si>
  <si>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</si>
  <si>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</si>
  <si>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</si>
  <si>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</si>
  <si>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</si>
  <si>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</si>
  <si>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</si>
  <si>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</si>
  <si>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</si>
  <si>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</si>
  <si>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</si>
  <si>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</si>
  <si>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</si>
  <si>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</si>
  <si>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</si>
  <si>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</si>
  <si>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</si>
  <si>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</si>
  <si>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</si>
  <si>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</si>
  <si>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</si>
  <si>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</si>
  <si>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</si>
  <si>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</si>
  <si>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</si>
  <si>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</si>
  <si>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</si>
  <si>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</si>
  <si>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</si>
  <si>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</si>
  <si>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</si>
  <si>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</si>
  <si>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</si>
  <si>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</si>
  <si>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</si>
  <si>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</si>
  <si>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</si>
  <si>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</si>
  <si>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</si>
  <si>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</si>
  <si>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</si>
  <si>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</si>
  <si>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</si>
  <si>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</si>
  <si>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</si>
  <si>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</si>
  <si>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</si>
  <si>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</si>
  <si>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</si>
  <si>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</si>
  <si>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</si>
  <si>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</si>
  <si>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</si>
  <si>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</si>
  <si>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</si>
  <si>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</si>
  <si>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</si>
  <si>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</si>
  <si>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</si>
  <si>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</si>
  <si>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</si>
  <si>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</si>
  <si>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</si>
  <si>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</si>
  <si>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</si>
  <si>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</si>
  <si>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</si>
  <si>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</si>
  <si>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</si>
  <si>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</si>
  <si>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</si>
  <si>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</si>
  <si>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</si>
  <si>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</si>
  <si>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</si>
  <si>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</si>
  <si>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</si>
  <si>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</si>
  <si>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</si>
  <si>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</si>
  <si>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</si>
  <si>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</si>
  <si>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</si>
  <si>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</si>
  <si>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</si>
  <si>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</si>
  <si>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</si>
  <si>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</si>
  <si>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</si>
  <si>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</si>
  <si>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</si>
  <si>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</si>
  <si>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</si>
  <si>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</si>
  <si>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</si>
  <si>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</si>
  <si>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</si>
  <si>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</si>
  <si>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</si>
  <si>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</si>
  <si>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</si>
  <si>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</si>
  <si>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</si>
  <si>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</si>
  <si>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</si>
  <si>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</si>
  <si>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</si>
  <si>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</si>
  <si>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</si>
  <si>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</si>
  <si>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</si>
  <si>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</si>
  <si>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</si>
  <si>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</si>
  <si>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</si>
  <si>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</si>
  <si>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</si>
  <si>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</si>
  <si>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</si>
  <si>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</si>
  <si>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</si>
  <si>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</si>
  <si>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</si>
  <si>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</si>
  <si>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</si>
  <si>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</si>
  <si>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</si>
  <si>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</si>
  <si>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</si>
  <si>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</si>
  <si>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</si>
  <si>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</si>
  <si>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</si>
  <si>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</si>
  <si>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</si>
  <si>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</si>
  <si>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</si>
  <si>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</si>
  <si>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</si>
  <si>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</si>
  <si>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</si>
  <si>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</si>
  <si>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</si>
  <si>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</si>
  <si>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</si>
  <si>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</si>
  <si>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</si>
  <si>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</si>
  <si>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</si>
  <si>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</si>
  <si>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</si>
  <si>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</si>
  <si>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</si>
  <si>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</si>
  <si>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</si>
  <si>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</si>
  <si>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</si>
  <si>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</si>
  <si>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</si>
  <si>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</si>
  <si>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</si>
  <si>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</si>
  <si>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</si>
  <si>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</si>
  <si>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</si>
  <si>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</si>
  <si>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</si>
  <si>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</si>
  <si>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</si>
  <si>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</si>
  <si>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</si>
  <si>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</si>
  <si>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</si>
  <si>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</si>
  <si>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</si>
  <si>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</si>
  <si>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</si>
  <si>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</si>
  <si>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</si>
  <si>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</si>
  <si>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</si>
  <si>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</si>
  <si>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</si>
  <si>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</si>
  <si>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</si>
  <si>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</si>
  <si>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</si>
  <si>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</si>
  <si>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</si>
  <si>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</si>
  <si>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</si>
  <si>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</si>
  <si>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</si>
  <si>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</si>
  <si>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</si>
  <si>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</si>
  <si>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</si>
  <si>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</si>
  <si>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</si>
  <si>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</si>
  <si>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</si>
  <si>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</si>
  <si>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</si>
  <si>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</si>
  <si>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</si>
  <si>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</si>
  <si>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</si>
  <si>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</si>
  <si>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</si>
  <si>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</si>
  <si>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</si>
  <si>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</si>
  <si>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</si>
  <si>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</si>
  <si>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</si>
  <si>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</si>
  <si>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</si>
  <si>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</si>
  <si>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</si>
  <si>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</si>
  <si>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</si>
  <si>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</si>
  <si>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</si>
  <si>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</si>
  <si>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</si>
  <si>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</si>
  <si>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</si>
  <si>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</si>
  <si>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</si>
  <si>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</si>
  <si>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</si>
  <si>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</si>
  <si>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</si>
  <si>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</si>
  <si>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</si>
  <si>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</si>
  <si>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</si>
  <si>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</si>
  <si>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</si>
  <si>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</si>
  <si>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</si>
  <si>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</si>
  <si>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</si>
  <si>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</si>
  <si>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</si>
  <si>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</si>
  <si>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</si>
  <si>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</si>
  <si>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</si>
  <si>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</si>
  <si>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</si>
  <si>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</si>
  <si>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</si>
  <si>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</si>
  <si>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</si>
  <si>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</si>
  <si>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</si>
  <si>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</si>
  <si>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</si>
  <si>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</si>
  <si>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</si>
  <si>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</si>
  <si>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</si>
  <si>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</si>
  <si>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</si>
  <si>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</si>
  <si>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</si>
  <si>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</si>
  <si>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</si>
  <si>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</si>
  <si>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</si>
  <si>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</si>
  <si>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</si>
  <si>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</si>
  <si>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</si>
  <si>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</si>
  <si>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</si>
  <si>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</si>
  <si>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</si>
  <si>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</si>
  <si>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</si>
  <si>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</si>
  <si>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</si>
  <si>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</si>
  <si>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</si>
  <si>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</si>
  <si>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</si>
  <si>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</si>
  <si>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</si>
  <si>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</si>
  <si>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</si>
  <si>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</si>
  <si>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</si>
  <si>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</si>
  <si>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</si>
  <si>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</si>
  <si>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</si>
  <si>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</si>
  <si>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</si>
  <si>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</si>
  <si>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</si>
  <si>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</si>
  <si>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</si>
  <si>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</si>
  <si>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</si>
  <si>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</si>
  <si>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</si>
  <si>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</si>
  <si>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</si>
  <si>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</si>
  <si>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</si>
  <si>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</si>
  <si>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</si>
  <si>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</si>
  <si>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</si>
  <si>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</si>
  <si>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</si>
  <si>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</si>
  <si>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</si>
  <si>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</si>
  <si>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</si>
  <si>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</si>
  <si>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</si>
  <si>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</si>
  <si>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</si>
  <si>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</si>
  <si>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</si>
  <si>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</si>
  <si>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</si>
  <si>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</si>
  <si>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</si>
  <si>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</si>
  <si>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</si>
  <si>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</si>
  <si>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</si>
  <si>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</si>
  <si>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</si>
  <si>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</si>
  <si>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</si>
  <si>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</si>
  <si>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</si>
  <si>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</si>
  <si>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</si>
  <si>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</si>
  <si>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</si>
  <si>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</si>
  <si>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</si>
  <si>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</si>
  <si>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</si>
  <si>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</si>
  <si>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</si>
  <si>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</si>
  <si>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</si>
  <si>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</si>
  <si>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</si>
  <si>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</si>
  <si>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</si>
  <si>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</si>
  <si>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</si>
  <si>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</si>
  <si>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</si>
  <si>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</si>
  <si>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</si>
  <si>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</si>
  <si>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</si>
  <si>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</si>
  <si>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</si>
  <si>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</si>
  <si>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</si>
  <si>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</si>
  <si>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</si>
  <si>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</si>
  <si>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</si>
  <si>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</si>
  <si>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</si>
  <si>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</si>
  <si>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</si>
  <si>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</si>
  <si>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</si>
  <si>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</si>
  <si>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</si>
  <si>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</si>
  <si>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</si>
  <si>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</si>
  <si>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</si>
  <si>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</si>
  <si>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</si>
  <si>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</si>
  <si>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</si>
  <si>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</si>
  <si>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</si>
  <si>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</si>
  <si>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</si>
  <si>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</si>
  <si>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</si>
  <si>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</si>
  <si>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</si>
  <si>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</si>
  <si>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</si>
  <si>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</si>
  <si>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</si>
  <si>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</si>
  <si>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</si>
  <si>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</si>
  <si>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</si>
  <si>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</si>
  <si>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</si>
  <si>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</si>
  <si>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</si>
  <si>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</si>
  <si>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</si>
  <si>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</si>
  <si>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</si>
  <si>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</si>
  <si>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</si>
  <si>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</si>
  <si>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</si>
  <si>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</si>
  <si>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</si>
  <si>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</si>
  <si>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</si>
  <si>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</si>
  <si>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</si>
  <si>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</si>
  <si>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</si>
  <si>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</si>
  <si>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</si>
  <si>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</si>
  <si>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</si>
  <si>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</si>
  <si>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</si>
  <si>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</si>
  <si>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</si>
  <si>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</si>
  <si>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</si>
  <si>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</si>
  <si>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</si>
  <si>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</si>
  <si>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</si>
  <si>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</si>
  <si>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</si>
  <si>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</si>
  <si>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</si>
  <si>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</si>
  <si>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</si>
  <si>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</si>
  <si>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</si>
  <si>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</si>
  <si>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</si>
  <si>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</si>
  <si>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</si>
  <si>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</si>
  <si>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</si>
  <si>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</si>
  <si>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</si>
  <si>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</si>
  <si>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</si>
  <si>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</si>
  <si>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</si>
  <si>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</si>
  <si>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</si>
  <si>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</si>
  <si>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</si>
  <si>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</si>
  <si>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</si>
  <si>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</si>
  <si>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</si>
  <si>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</si>
  <si>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</si>
  <si>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</si>
  <si>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</si>
  <si>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</si>
  <si>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</si>
  <si>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</si>
  <si>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</si>
  <si>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</si>
  <si>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</si>
  <si>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</si>
  <si>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</si>
  <si>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</si>
  <si>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</si>
  <si>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</si>
  <si>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</si>
  <si>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</si>
  <si>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</si>
  <si>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</si>
  <si>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</si>
  <si>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</si>
  <si>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</si>
  <si>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</si>
  <si>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</si>
  <si>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</si>
  <si>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</si>
  <si>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</si>
  <si>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</si>
  <si>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</si>
  <si>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</si>
  <si>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</si>
  <si>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</si>
  <si>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</si>
  <si>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</si>
  <si>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</si>
  <si>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</si>
  <si>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</si>
  <si>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</si>
  <si>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</si>
  <si>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</si>
  <si>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</si>
  <si>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</si>
  <si>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</si>
  <si>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</si>
  <si>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</si>
  <si>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</si>
  <si>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</si>
  <si>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</si>
  <si>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</si>
  <si>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</si>
  <si>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</si>
  <si>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</si>
  <si>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</si>
  <si>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</si>
  <si>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</si>
  <si>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</si>
  <si>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</si>
  <si>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</si>
  <si>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</si>
  <si>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</si>
  <si>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</si>
  <si>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</si>
  <si>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</si>
  <si>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</si>
  <si>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</si>
  <si>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</si>
  <si>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</si>
  <si>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</si>
  <si>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</si>
  <si>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</si>
  <si>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</si>
  <si>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</si>
  <si>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</si>
  <si>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</si>
  <si>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</si>
  <si>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</si>
  <si>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</si>
  <si>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</si>
  <si>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</si>
  <si>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</si>
  <si>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</si>
  <si>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</si>
  <si>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</si>
  <si>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</si>
  <si>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</si>
  <si>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</si>
  <si>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</si>
  <si>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</si>
  <si>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</si>
  <si>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</si>
  <si>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</si>
  <si>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</si>
  <si>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</si>
  <si>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</si>
  <si>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</si>
  <si>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</si>
  <si>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</si>
  <si>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</si>
  <si>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</si>
  <si>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</si>
  <si>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</si>
  <si>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</si>
  <si>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</si>
  <si>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</si>
  <si>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</si>
  <si>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</si>
  <si>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</si>
  <si>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</si>
  <si>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</si>
  <si>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</si>
  <si>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</si>
  <si>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</si>
  <si>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</si>
  <si>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</si>
  <si>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</si>
  <si>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</si>
  <si>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</si>
  <si>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</si>
  <si>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</si>
  <si>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</si>
  <si>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</si>
  <si>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</si>
  <si>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</si>
  <si>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</si>
  <si>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</si>
  <si>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</si>
  <si>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</si>
  <si>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</si>
  <si>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</si>
  <si>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</si>
  <si>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</si>
  <si>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</si>
  <si>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</si>
  <si>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</si>
  <si>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</si>
  <si>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</si>
  <si>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</si>
  <si>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</si>
  <si>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</si>
  <si>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</si>
  <si>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</si>
  <si>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</si>
  <si>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</si>
  <si>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</si>
  <si>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</si>
  <si>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</si>
  <si>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</si>
  <si>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</si>
  <si>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</si>
  <si>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</si>
  <si>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</si>
  <si>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</si>
  <si>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</si>
  <si>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</si>
  <si>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</si>
  <si>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</si>
  <si>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</si>
  <si>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</si>
  <si>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</si>
  <si>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</si>
  <si>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</si>
  <si>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</si>
  <si>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</si>
  <si>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</si>
  <si>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</si>
  <si>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</si>
  <si>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</si>
  <si>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</si>
  <si>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</si>
  <si>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</si>
  <si>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</si>
  <si>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</si>
  <si>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</si>
  <si>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</si>
  <si>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</si>
  <si>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</si>
  <si>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</si>
  <si>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</si>
  <si>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</si>
  <si>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</si>
  <si>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</si>
  <si>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</si>
  <si>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</si>
  <si>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</si>
  <si>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</si>
  <si>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</si>
  <si>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</si>
  <si>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</si>
  <si>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</si>
  <si>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</si>
  <si>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</si>
  <si>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</si>
  <si>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</si>
  <si>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</si>
  <si>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</si>
  <si>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</si>
  <si>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</si>
  <si>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</si>
  <si>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</si>
  <si>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</si>
  <si>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</si>
  <si>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</si>
  <si>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</si>
  <si>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</si>
  <si>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</si>
  <si>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</si>
  <si>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</si>
  <si>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</si>
  <si>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</si>
  <si>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</si>
  <si>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</si>
  <si>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</si>
  <si>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</si>
  <si>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</si>
  <si>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</si>
  <si>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</si>
  <si>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</si>
  <si>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</si>
  <si>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</si>
  <si>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</si>
  <si>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</si>
  <si>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</si>
  <si>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</si>
  <si>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</si>
  <si>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</si>
  <si>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</si>
  <si>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</si>
  <si>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</si>
  <si>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</si>
  <si>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</si>
  <si>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</si>
  <si>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</si>
  <si>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</si>
  <si>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</si>
  <si>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</si>
  <si>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</si>
  <si>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</si>
  <si>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</si>
  <si>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</si>
  <si>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</si>
  <si>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</si>
  <si>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</si>
  <si>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</si>
  <si>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</si>
  <si>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</si>
  <si>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</si>
  <si>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</si>
  <si>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</si>
  <si>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</si>
  <si>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</si>
  <si>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</si>
  <si>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</si>
  <si>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</si>
  <si>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</si>
  <si>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</si>
  <si>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</si>
  <si>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</si>
  <si>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</si>
  <si>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</si>
  <si>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</si>
  <si>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</si>
  <si>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</si>
  <si>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</si>
  <si>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</si>
  <si>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</si>
  <si>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</si>
  <si>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</si>
  <si>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</si>
  <si>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</si>
  <si>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</si>
  <si>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</si>
  <si>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</si>
  <si>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</si>
  <si>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</si>
  <si>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</si>
  <si>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</si>
  <si>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</si>
  <si>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</si>
  <si>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</si>
  <si>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</si>
  <si>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</si>
  <si>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</si>
  <si>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</si>
  <si>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</si>
  <si>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</si>
  <si>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</si>
  <si>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</si>
  <si>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</si>
  <si>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</si>
  <si>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</si>
  <si>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</si>
  <si>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</si>
  <si>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</si>
  <si>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</si>
  <si>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</si>
  <si>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</si>
  <si>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</si>
  <si>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</si>
  <si>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</si>
  <si>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</si>
  <si>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</si>
  <si>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</si>
  <si>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</si>
  <si>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</si>
  <si>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</si>
  <si>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</si>
  <si>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</si>
  <si>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</si>
  <si>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</si>
  <si>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</si>
  <si>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</si>
  <si>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</si>
  <si>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</si>
  <si>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</si>
  <si>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</si>
  <si>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</si>
  <si>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</si>
  <si>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</si>
  <si>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</si>
  <si>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</si>
  <si>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</si>
  <si>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</si>
  <si>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</si>
  <si>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</si>
  <si>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</si>
  <si>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</si>
  <si>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</si>
  <si>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</si>
  <si>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</si>
  <si>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</si>
  <si>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</si>
  <si>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</si>
  <si>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</si>
  <si>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</si>
  <si>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</si>
  <si>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</si>
  <si>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</si>
  <si>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</si>
  <si>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</si>
  <si>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</si>
  <si>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</si>
  <si>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</si>
  <si>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</si>
  <si>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</si>
  <si>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</si>
  <si>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</si>
  <si>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</si>
  <si>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</si>
  <si>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</si>
  <si>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</si>
  <si>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</si>
  <si>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</si>
  <si>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</si>
  <si>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</si>
  <si>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</si>
  <si>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</si>
  <si>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</si>
  <si>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</si>
  <si>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</si>
  <si>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</si>
  <si>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</si>
  <si>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</si>
  <si>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</si>
  <si>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</si>
  <si>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</si>
  <si>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</si>
  <si>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</si>
  <si>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</si>
  <si>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</si>
  <si>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</si>
  <si>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</si>
  <si>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</si>
  <si>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</si>
  <si>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</si>
  <si>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</si>
  <si>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</si>
  <si>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</si>
  <si>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</si>
  <si>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</si>
  <si>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</si>
  <si>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</si>
  <si>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</si>
  <si>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</si>
  <si>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</si>
  <si>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</si>
  <si>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</si>
  <si>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</si>
  <si>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</si>
  <si>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</si>
  <si>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</si>
  <si>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</si>
  <si>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</si>
  <si>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</si>
  <si>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</si>
  <si>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</si>
  <si>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</si>
  <si>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</si>
  <si>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</si>
  <si>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</si>
  <si>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</si>
  <si>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</si>
  <si>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</si>
  <si>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</si>
  <si>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</si>
  <si>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</si>
  <si>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</si>
  <si>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</si>
  <si>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</si>
  <si>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</si>
  <si>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</si>
  <si>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</si>
  <si>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</si>
  <si>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</si>
  <si>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</si>
  <si>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</si>
  <si>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</si>
  <si>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</si>
  <si>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</si>
  <si>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</si>
  <si>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</si>
  <si>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</si>
  <si>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</si>
  <si>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</si>
  <si>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</si>
  <si>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</si>
  <si>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</si>
  <si>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</si>
  <si>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</si>
  <si>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</si>
  <si>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</si>
  <si>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</si>
  <si>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</si>
  <si>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</si>
  <si>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</si>
  <si>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</si>
  <si>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</si>
  <si>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</si>
  <si>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</si>
  <si>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</si>
  <si>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</si>
  <si>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</si>
  <si>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</si>
  <si>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</si>
  <si>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</si>
  <si>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</si>
  <si>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</si>
  <si>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</si>
  <si>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</si>
  <si>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</si>
  <si>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</si>
  <si>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</si>
  <si>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</si>
  <si>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</si>
  <si>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</si>
  <si>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</si>
  <si>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</si>
  <si>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</si>
  <si>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</si>
  <si>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</si>
  <si>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</si>
  <si>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</si>
  <si>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</si>
  <si>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</si>
  <si>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</si>
  <si>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</si>
  <si>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</si>
  <si>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</si>
  <si>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</si>
  <si>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</si>
  <si>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</si>
  <si>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</si>
  <si>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</si>
  <si>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</si>
  <si>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</si>
  <si>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</si>
  <si>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</si>
  <si>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</si>
  <si>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</si>
  <si>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</si>
  <si>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</si>
  <si>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</si>
  <si>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</si>
  <si>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</si>
  <si>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</si>
  <si>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</si>
  <si>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</si>
  <si>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</si>
  <si>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</si>
  <si>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</si>
  <si>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</si>
  <si>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</si>
  <si>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</si>
  <si>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</si>
  <si>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</si>
  <si>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</si>
  <si>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</si>
  <si>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</si>
  <si>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</si>
  <si>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</si>
  <si>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</si>
  <si>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</si>
  <si>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</si>
  <si>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</si>
  <si>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</si>
  <si>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</si>
  <si>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</si>
  <si>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</si>
  <si>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</si>
  <si>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</si>
  <si>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</si>
  <si>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</si>
  <si>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</si>
  <si>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</si>
  <si>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</si>
  <si>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</si>
  <si>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</si>
  <si>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</si>
  <si>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</si>
  <si>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</si>
  <si>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</si>
  <si>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</si>
  <si>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</si>
  <si>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</si>
  <si>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</si>
  <si>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</si>
  <si>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</si>
  <si>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</si>
  <si>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</si>
  <si>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</si>
  <si>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</si>
  <si>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</si>
  <si>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</si>
  <si>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</si>
  <si>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</si>
  <si>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</si>
  <si>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</si>
  <si>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</si>
  <si>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</si>
  <si>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</si>
  <si>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</si>
  <si>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</si>
  <si>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</si>
  <si>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</si>
  <si>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</si>
  <si>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</si>
  <si>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</si>
  <si>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</si>
  <si>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</si>
  <si>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</si>
  <si>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</si>
  <si>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</si>
  <si>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</si>
  <si>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</si>
  <si>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</si>
  <si>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</si>
  <si>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</si>
  <si>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</si>
  <si>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</si>
  <si>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</si>
  <si>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</si>
  <si>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</si>
  <si>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</si>
  <si>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</si>
  <si>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</si>
  <si>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</si>
  <si>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</si>
  <si>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</si>
  <si>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</si>
  <si>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</si>
  <si>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</si>
  <si>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</si>
  <si>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</si>
  <si>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</si>
  <si>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</si>
  <si>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</si>
  <si>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</si>
  <si>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</si>
  <si>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</si>
  <si>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</si>
  <si>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</si>
  <si>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</si>
  <si>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</si>
  <si>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</si>
  <si>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</si>
  <si>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</si>
  <si>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</si>
  <si>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</si>
  <si>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</si>
  <si>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</si>
  <si>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</si>
  <si>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</si>
  <si>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</si>
  <si>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</si>
  <si>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</si>
  <si>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</si>
  <si>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</si>
  <si>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</si>
  <si>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</si>
  <si>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</si>
  <si>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</si>
  <si>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</si>
  <si>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</si>
  <si>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</si>
  <si>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</si>
  <si>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</si>
  <si>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</si>
  <si>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</si>
  <si>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</si>
  <si>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</si>
  <si>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</si>
  <si>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</si>
  <si>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</si>
  <si>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</si>
  <si>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</si>
  <si>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</si>
  <si>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</si>
  <si>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</si>
  <si>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</si>
  <si>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</si>
  <si>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</si>
  <si>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</si>
  <si>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</si>
  <si>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</si>
  <si>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</si>
  <si>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</si>
  <si>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</si>
  <si>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</si>
  <si>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</si>
  <si>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</si>
  <si>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</si>
  <si>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</si>
  <si>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</si>
  <si>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</si>
  <si>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</si>
  <si>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</si>
  <si>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</si>
  <si>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</si>
  <si>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</si>
  <si>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</si>
  <si>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</si>
  <si>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</si>
  <si>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</si>
  <si>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</si>
  <si>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</si>
  <si>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</si>
  <si>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</si>
  <si>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</si>
  <si>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</si>
  <si>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</si>
  <si>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</si>
  <si>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</si>
  <si>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</si>
  <si>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</si>
  <si>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</si>
  <si>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</si>
  <si>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</si>
  <si>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</si>
  <si>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</si>
  <si>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</si>
  <si>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</si>
  <si>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</si>
  <si>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</si>
  <si>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</si>
  <si>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</si>
  <si>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</si>
  <si>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</si>
  <si>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</si>
  <si>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</si>
  <si>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</si>
  <si>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</si>
  <si>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</si>
  <si>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</si>
  <si>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</si>
  <si>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</si>
  <si>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</si>
  <si>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</si>
  <si>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</si>
  <si>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</si>
  <si>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</si>
  <si>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</si>
  <si>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</si>
  <si>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</si>
  <si>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</si>
  <si>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</si>
  <si>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</si>
  <si>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</si>
  <si>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</si>
  <si>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</si>
  <si>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</si>
  <si>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</si>
  <si>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</si>
  <si>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</si>
  <si>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</si>
  <si>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</si>
  <si>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</si>
  <si>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</si>
  <si>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</si>
  <si>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</si>
  <si>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</si>
  <si>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</si>
  <si>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</si>
  <si>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</si>
  <si>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</si>
  <si>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</si>
  <si>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</si>
  <si>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</si>
  <si>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</si>
  <si>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</si>
  <si>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</si>
  <si>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</si>
  <si>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</si>
  <si>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</si>
  <si>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</si>
  <si>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</si>
  <si>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</si>
  <si>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</si>
  <si>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</si>
  <si>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</si>
  <si>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</si>
  <si>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</si>
  <si>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</si>
  <si>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</si>
  <si>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</si>
  <si>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</si>
  <si>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</si>
  <si>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</si>
  <si>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</si>
  <si>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</si>
  <si>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</si>
  <si>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</si>
  <si>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</si>
  <si>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</si>
  <si>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</si>
  <si>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</si>
  <si>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</si>
  <si>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</si>
  <si>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</si>
  <si>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</si>
  <si>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</si>
  <si>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</si>
  <si>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</si>
  <si>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</si>
  <si>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</si>
  <si>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</si>
  <si>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</si>
  <si>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</si>
  <si>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</si>
  <si>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</si>
  <si>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</si>
  <si>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</si>
  <si>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</si>
  <si>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</si>
  <si>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</si>
  <si>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</si>
  <si>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</si>
  <si>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</si>
  <si>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</si>
  <si>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</si>
  <si>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</si>
  <si>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</si>
  <si>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</si>
  <si>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</si>
  <si>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</si>
  <si>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</si>
  <si>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</si>
  <si>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</si>
  <si>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</si>
  <si>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</si>
  <si>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</si>
  <si>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</si>
  <si>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</si>
  <si>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</si>
  <si>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</si>
  <si>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</si>
  <si>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</si>
  <si>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</si>
  <si>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</si>
  <si>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</si>
  <si>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</si>
  <si>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</si>
  <si>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</si>
  <si>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</si>
  <si>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</si>
  <si>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</si>
  <si>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</si>
  <si>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</si>
  <si>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</si>
  <si>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</si>
  <si>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</si>
  <si>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</si>
  <si>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</si>
  <si>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</si>
  <si>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</si>
  <si>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</si>
  <si>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</si>
  <si>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</si>
  <si>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</si>
  <si>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</si>
  <si>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</si>
  <si>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</si>
  <si>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</si>
  <si>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</si>
  <si>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</si>
  <si>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</si>
  <si>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</si>
  <si>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</si>
  <si>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</si>
  <si>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</si>
  <si>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</si>
  <si>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</si>
  <si>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</si>
  <si>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</si>
  <si>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</si>
  <si>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</si>
  <si>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</si>
  <si>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</si>
  <si>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</si>
  <si>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</si>
  <si>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</si>
  <si>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</si>
  <si>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</si>
  <si>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</si>
  <si>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</si>
  <si>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</si>
  <si>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</si>
  <si>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</si>
  <si>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</si>
  <si>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</si>
  <si>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</si>
  <si>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</si>
  <si>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</si>
  <si>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</si>
  <si>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</si>
  <si>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</si>
  <si>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</si>
  <si>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</si>
  <si>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</si>
  <si>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</si>
  <si>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</si>
  <si>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</si>
  <si>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</si>
  <si>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</si>
  <si>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</si>
  <si>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</si>
  <si>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</si>
  <si>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</si>
  <si>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</si>
  <si>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</si>
  <si>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</si>
  <si>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</si>
  <si>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</si>
  <si>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</si>
  <si>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</si>
  <si>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</si>
  <si>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</si>
  <si>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</si>
  <si>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</si>
  <si>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</si>
  <si>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</si>
  <si>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</si>
  <si>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</si>
  <si>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</si>
  <si>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</si>
  <si>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</si>
  <si>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</si>
  <si>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</si>
  <si>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</si>
  <si>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</si>
  <si>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</si>
  <si>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</si>
  <si>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</si>
  <si>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</si>
  <si>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</si>
  <si>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</si>
  <si>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</si>
  <si>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</si>
  <si>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</si>
  <si>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</si>
  <si>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</si>
  <si>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</si>
  <si>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</si>
  <si>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</si>
  <si>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</si>
  <si>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</si>
  <si>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</si>
  <si>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</si>
  <si>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</si>
  <si>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</si>
  <si>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</si>
  <si>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</si>
  <si>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</si>
  <si>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</si>
  <si>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</si>
  <si>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</si>
  <si>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</si>
  <si>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</si>
  <si>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</si>
  <si>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</si>
  <si>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</si>
  <si>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</si>
  <si>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</si>
  <si>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</si>
  <si>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</si>
  <si>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</si>
  <si>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</si>
  <si>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</si>
  <si>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</si>
  <si>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</si>
  <si>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</si>
  <si>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</si>
  <si>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</si>
  <si>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</si>
  <si>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</si>
  <si>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</si>
  <si>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</si>
  <si>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</si>
  <si>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</si>
  <si>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</si>
  <si>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</si>
  <si>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</si>
  <si>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</si>
  <si>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</si>
  <si>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</si>
  <si>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</si>
  <si>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</si>
  <si>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</si>
  <si>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</si>
  <si>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</si>
  <si>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</si>
  <si>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</si>
  <si>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</si>
  <si>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</si>
  <si>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</si>
  <si>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</si>
  <si>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</si>
  <si>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</si>
  <si>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</si>
  <si>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</si>
  <si>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</si>
  <si>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</si>
  <si>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</si>
  <si>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</si>
  <si>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</si>
  <si>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</si>
  <si>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</si>
  <si>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</si>
  <si>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</si>
  <si>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</si>
  <si>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</si>
  <si>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</si>
  <si>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</si>
  <si>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</si>
  <si>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</si>
  <si>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</si>
  <si>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</si>
  <si>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</si>
  <si>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</si>
  <si>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</si>
  <si>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</si>
  <si>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</si>
  <si>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</si>
  <si>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</si>
  <si>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</si>
  <si>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</si>
  <si>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</si>
  <si>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</si>
  <si>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</si>
  <si>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</si>
  <si>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</si>
  <si>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</si>
  <si>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</si>
  <si>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</si>
  <si>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</si>
  <si>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</si>
  <si>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</si>
  <si>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</si>
  <si>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</si>
  <si>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</si>
  <si>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</si>
  <si>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</si>
  <si>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</si>
  <si>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</si>
  <si>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</si>
  <si>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</si>
  <si>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</si>
  <si>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</si>
  <si>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</si>
  <si>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</si>
  <si>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</si>
  <si>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</si>
  <si>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</si>
  <si>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</si>
  <si>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</si>
  <si>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</si>
  <si>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</si>
  <si>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</si>
  <si>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</si>
  <si>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</si>
  <si>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</si>
  <si>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</si>
  <si>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</si>
  <si>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</si>
  <si>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</si>
  <si>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</si>
  <si>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</si>
  <si>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</si>
  <si>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</si>
  <si>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</si>
  <si>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</si>
  <si>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</si>
  <si>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</si>
  <si>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</si>
  <si>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</si>
  <si>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</si>
  <si>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</si>
  <si>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</si>
  <si>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</si>
  <si>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</si>
  <si>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</si>
  <si>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</si>
  <si>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</si>
  <si>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</si>
  <si>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</si>
  <si>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</si>
  <si>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</si>
  <si>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</si>
  <si>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</si>
  <si>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</si>
  <si>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</si>
  <si>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</si>
  <si>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</si>
  <si>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</si>
  <si>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</si>
  <si>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</si>
  <si>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</si>
  <si>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</si>
  <si>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</si>
  <si>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</si>
  <si>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</si>
  <si>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</si>
  <si>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</si>
  <si>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</si>
  <si>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</si>
  <si>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</si>
  <si>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</si>
  <si>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</si>
  <si>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</si>
  <si>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</si>
  <si>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</si>
  <si>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</si>
  <si>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</si>
  <si>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</si>
  <si>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</si>
  <si>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</si>
  <si>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</si>
  <si>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</si>
  <si>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</si>
  <si>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</si>
  <si>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</si>
  <si>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</si>
  <si>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</si>
  <si>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</si>
  <si>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</si>
  <si>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</si>
  <si>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</si>
  <si>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</si>
  <si>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</si>
  <si>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</si>
  <si>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</si>
  <si>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</si>
  <si>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</si>
  <si>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</si>
  <si>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</si>
  <si>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</si>
  <si>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</si>
  <si>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</si>
  <si>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</si>
  <si>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</si>
  <si>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</si>
  <si>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</si>
  <si>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</si>
  <si>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</si>
  <si>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</si>
  <si>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</si>
  <si>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</si>
  <si>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</si>
  <si>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</si>
  <si>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</si>
  <si>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</si>
  <si>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</si>
  <si>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</si>
  <si>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</si>
  <si>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</si>
  <si>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</si>
  <si>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</si>
  <si>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</si>
  <si>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</si>
  <si>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</si>
  <si>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</si>
  <si>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</si>
  <si>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</si>
  <si>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</si>
  <si>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</si>
  <si>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</si>
  <si>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</si>
  <si>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</si>
  <si>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</si>
  <si>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</si>
  <si>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</si>
  <si>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</si>
  <si>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</si>
  <si>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</si>
  <si>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</si>
  <si>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</si>
  <si>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</si>
  <si>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</si>
  <si>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</si>
  <si>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</si>
  <si>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</si>
  <si>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</si>
  <si>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</si>
  <si>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</si>
  <si>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</si>
  <si>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</si>
  <si>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</si>
  <si>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</si>
  <si>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</si>
  <si>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</si>
  <si>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</si>
  <si>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</si>
  <si>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</si>
  <si>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</si>
  <si>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</si>
  <si>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</si>
  <si>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</si>
  <si>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</si>
  <si>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</si>
  <si>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</si>
  <si>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</si>
  <si>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</si>
  <si>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</si>
  <si>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</si>
  <si>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</si>
  <si>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</si>
  <si>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</si>
  <si>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</si>
  <si>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</si>
  <si>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</si>
  <si>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</si>
  <si>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</si>
  <si>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</si>
  <si>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</si>
  <si>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</si>
  <si>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</si>
  <si>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</si>
  <si>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</si>
  <si>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</si>
  <si>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</si>
  <si>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</si>
  <si>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</si>
  <si>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</si>
  <si>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</si>
  <si>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</si>
  <si>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</si>
  <si>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</si>
  <si>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</si>
  <si>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</si>
  <si>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</si>
  <si>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</si>
  <si>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</si>
  <si>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</si>
  <si>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</si>
  <si>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</si>
  <si>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</si>
  <si>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</si>
  <si>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</si>
  <si>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</si>
  <si>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</si>
  <si>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</si>
  <si>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</si>
  <si>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</si>
  <si>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</si>
  <si>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</si>
  <si>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</si>
  <si>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</si>
  <si>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</si>
  <si>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</si>
  <si>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</si>
  <si>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</si>
  <si>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</si>
  <si>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</si>
  <si>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</si>
  <si>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</si>
  <si>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</si>
  <si>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</si>
  <si>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</si>
  <si>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</si>
  <si>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</si>
  <si>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</si>
  <si>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</si>
  <si>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</si>
  <si>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</si>
  <si>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</si>
  <si>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</si>
  <si>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</si>
  <si>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</si>
  <si>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</si>
  <si>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</si>
  <si>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</si>
  <si>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</si>
  <si>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</si>
  <si>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</si>
  <si>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</si>
  <si>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</si>
  <si>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</si>
  <si>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</si>
  <si>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</si>
  <si>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</si>
  <si>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</si>
  <si>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</si>
  <si>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</si>
  <si>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</si>
  <si>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</si>
  <si>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</si>
  <si>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</si>
  <si>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</si>
  <si>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</si>
  <si>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</si>
  <si>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</si>
  <si>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</si>
  <si>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</si>
  <si>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</si>
  <si>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</si>
  <si>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</si>
  <si>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</si>
  <si>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</si>
  <si>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</si>
  <si>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</si>
  <si>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</si>
  <si>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</si>
  <si>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</si>
  <si>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</si>
  <si>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</si>
  <si>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</si>
  <si>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</si>
  <si>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</si>
  <si>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</si>
  <si>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</si>
  <si>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</si>
  <si>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</si>
  <si>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</si>
  <si>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</si>
  <si>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</si>
  <si>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</si>
  <si>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</si>
  <si>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</si>
  <si>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</si>
  <si>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</si>
  <si>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</si>
  <si>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</si>
  <si>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</si>
  <si>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</si>
  <si>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</si>
  <si>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</si>
  <si>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</si>
  <si>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</si>
  <si>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</si>
  <si>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</si>
  <si>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</si>
  <si>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</si>
  <si>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</si>
  <si>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</si>
  <si>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</si>
  <si>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</si>
  <si>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</si>
  <si>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</si>
  <si>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</si>
  <si>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</si>
  <si>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</si>
  <si>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</si>
  <si>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</si>
  <si>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</si>
  <si>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</si>
  <si>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</si>
  <si>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</si>
  <si>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</si>
  <si>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</si>
  <si>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</si>
  <si>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</si>
  <si>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</si>
  <si>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</si>
  <si>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</si>
  <si>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</si>
  <si>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</si>
  <si>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</si>
  <si>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</si>
  <si>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</si>
  <si>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</si>
  <si>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</si>
  <si>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</si>
  <si>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</si>
  <si>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</si>
  <si>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</si>
  <si>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</si>
  <si>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</si>
  <si>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</si>
  <si>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</si>
  <si>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</si>
  <si>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</si>
  <si>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</si>
  <si>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</si>
  <si>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</si>
  <si>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</si>
  <si>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</si>
  <si>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</si>
  <si>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</si>
  <si>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</si>
  <si>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</si>
  <si>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</si>
  <si>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</si>
  <si>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</si>
  <si>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</si>
  <si>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</si>
  <si>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</si>
  <si>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</si>
  <si>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</si>
  <si>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</si>
  <si>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</si>
  <si>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</si>
  <si>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</si>
  <si>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</si>
  <si>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</si>
  <si>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</si>
  <si>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</si>
  <si>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</si>
  <si>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</si>
  <si>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</si>
  <si>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</si>
  <si>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</si>
  <si>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</si>
  <si>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</si>
  <si>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</si>
  <si>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</si>
  <si>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</si>
  <si>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</si>
  <si>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</si>
  <si>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</si>
  <si>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</si>
  <si>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</si>
  <si>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</si>
  <si>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</si>
  <si>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</si>
  <si>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</si>
  <si>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</si>
  <si>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</si>
  <si>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</si>
  <si>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</si>
  <si>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</si>
  <si>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</si>
  <si>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</si>
  <si>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</si>
  <si>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</si>
  <si>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</si>
  <si>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</si>
  <si>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</si>
  <si>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</si>
  <si>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</si>
  <si>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</si>
  <si>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</si>
  <si>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</si>
  <si>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</si>
  <si>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</si>
  <si>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</si>
  <si>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</si>
  <si>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</si>
  <si>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</si>
  <si>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</si>
  <si>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</si>
  <si>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</si>
  <si>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</si>
  <si>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</si>
  <si>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</si>
  <si>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</si>
  <si>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</si>
  <si>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</si>
  <si>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</si>
  <si>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</si>
  <si>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</si>
  <si>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</si>
  <si>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</si>
  <si>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</si>
  <si>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</si>
  <si>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</si>
  <si>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</si>
  <si>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</si>
  <si>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</si>
  <si>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</si>
  <si>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</si>
  <si>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</si>
  <si>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</si>
  <si>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</si>
  <si>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</si>
  <si>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</si>
  <si>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</si>
  <si>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</si>
  <si>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</si>
  <si>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</si>
  <si>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</si>
  <si>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</si>
  <si>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</si>
  <si>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</si>
  <si>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</si>
  <si>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</si>
  <si>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</si>
  <si>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</si>
  <si>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</si>
  <si>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</si>
  <si>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</si>
  <si>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</si>
  <si>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</si>
  <si>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</si>
  <si>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</si>
  <si>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</si>
  <si>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</si>
  <si>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</si>
  <si>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</si>
  <si>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</si>
  <si>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</si>
  <si>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</si>
  <si>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</si>
  <si>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</si>
  <si>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</si>
  <si>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</si>
  <si>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</si>
  <si>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</si>
  <si>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</si>
  <si>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</si>
  <si>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</si>
  <si>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</si>
  <si>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</si>
  <si>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</si>
  <si>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</si>
  <si>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</si>
  <si>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</si>
  <si>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</si>
  <si>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</si>
  <si>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</si>
  <si>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MCHENRY</t>
  </si>
  <si>
    <t>110 FRANKS ROAD</t>
  </si>
  <si>
    <t>MARENGO</t>
  </si>
  <si>
    <t>ENGELBRECHTD@MCHS154.ORG</t>
  </si>
  <si>
    <t>60152-3598</t>
  </si>
  <si>
    <t>EDER, CASELLA &amp; CO.</t>
  </si>
  <si>
    <t>CHERYDEN JUERGENSEN</t>
  </si>
  <si>
    <t>5400 WEST ELM STREET, SUITE 203</t>
  </si>
  <si>
    <t>IL</t>
  </si>
  <si>
    <t>815-344-1300</t>
  </si>
  <si>
    <t>066-005142</t>
  </si>
  <si>
    <t>CPAS@EDERCASELLA.COM</t>
  </si>
  <si>
    <t>EDER, CASELLA &amp; COMPANY</t>
  </si>
  <si>
    <t>NORTHERN IL FOOD COOP</t>
  </si>
  <si>
    <t>CLIC</t>
  </si>
  <si>
    <t>SEDOM</t>
  </si>
  <si>
    <t>MCHENRY COUNTY COOPERATIVE FOR EMPLOYMENT EDUCATION</t>
  </si>
  <si>
    <t>CITY OF MARENGO, MARENGO POLICE DEPARTMENT</t>
  </si>
  <si>
    <t>1.) RILEY COMMUNITY CONSOLIDATED SCHOOL DISTRICT NO 18, MARENGO-UNION ELEMENTARY CONSOLIDATED SCHOOL DISTRICT NO 165</t>
  </si>
  <si>
    <t>CAPITAL APPRECIATION SCHOOL BONDS, SERIES 200</t>
  </si>
  <si>
    <t>Page 11, Line 107 - Other Local Revenues - Rebates and Other Miscellaneous Income</t>
  </si>
  <si>
    <t>Page 12, Line 168 - Other Restricted Revenue from State Sources - State Library Grant</t>
  </si>
  <si>
    <t>Page 13, Line 220 - CTE - Other - Perkins Grant</t>
  </si>
  <si>
    <t>Page 15, Line 41 - Other Support Services - Pupils - Aide &amp; Additional Support Salaries</t>
  </si>
  <si>
    <t>Page 16, Line 56 - Other Support Services - School Admin - Salary/Wages</t>
  </si>
  <si>
    <t>Page 16, Line 73 - Other Support Services - Title I Closet Supplies</t>
  </si>
  <si>
    <t>Page 16, Line 83 - Other Payments to In-State Govt. Units - Resource Officer</t>
  </si>
  <si>
    <t>Page 19, Line 237 - Other Support Services - Pupils</t>
  </si>
  <si>
    <t>Page 20, Line 260 - Other Support Services - School Administration - IMRF Payroll</t>
  </si>
  <si>
    <t>Cecilia B Frank</t>
  </si>
  <si>
    <t>Education-Instruction Improvement- Purchased Services</t>
  </si>
  <si>
    <t>Transportation-Pupil Transp Services -Lease</t>
  </si>
  <si>
    <t xml:space="preserve">Midwest Transit </t>
  </si>
  <si>
    <t>Education-Special Ed-Purchased Services</t>
  </si>
  <si>
    <t>Mueller Speech Therapy</t>
  </si>
  <si>
    <t>Education-Special Ed-Professional Services</t>
  </si>
  <si>
    <t>Oconomowoc Developmental</t>
  </si>
  <si>
    <t>Prader-Willi Homes</t>
  </si>
  <si>
    <t>Education-Food Services-Supplies</t>
  </si>
  <si>
    <t>Pepsi-Cola</t>
  </si>
  <si>
    <t>Building-Operations-Gas</t>
  </si>
  <si>
    <t>Constellation New Energy</t>
  </si>
  <si>
    <t>Building-Operations-Electric</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</si>
  <si>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</si>
  <si>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</si>
  <si>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</si>
  <si>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</si>
  <si>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</si>
  <si>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</si>
  <si>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</si>
  <si>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</si>
  <si>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</si>
  <si>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</si>
  <si>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</si>
  <si>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</si>
  <si>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</si>
  <si>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</si>
  <si>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</si>
  <si>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</si>
  <si>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</si>
  <si>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</si>
  <si>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</si>
  <si>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</si>
  <si>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</si>
  <si>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</si>
  <si>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</si>
  <si>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</si>
  <si>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</si>
  <si>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</si>
  <si>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</si>
  <si>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</si>
  <si>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</si>
  <si>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</si>
  <si>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</si>
  <si>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</si>
  <si>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</si>
  <si>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</si>
  <si>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</si>
  <si>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</si>
  <si>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</si>
  <si>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</si>
  <si>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</si>
  <si>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14, Line 265 - Other Restricted Revenue from Federal Sources - STEP Grant</t>
  </si>
  <si>
    <t>815-344-1320</t>
  </si>
  <si>
    <t>PDF in Opinion Page with Signature</t>
  </si>
  <si>
    <t>25,000</t>
  </si>
  <si>
    <t>Marengo CHSD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</si>
</sst>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39997558519241921"/>
        <bgColor indexed="64"/>
      </patternFill>
    </fill>
    <fill>
      <patternFill patternType="solid">
        <fgColor theme="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4687">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185" fontId="165" fillId="0" borderId="0" applyFont="0" applyFill="0" applyBorder="0" applyAlignment="0" applyProtection="0"/>
    <xf numFmtId="186" fontId="165" fillId="0" borderId="0" applyFont="0" applyFill="0" applyBorder="0" applyAlignment="0" applyProtection="0"/>
    <xf numFmtId="43" fontId="14" fillId="0" borderId="0" applyAlignment="0"/>
    <xf numFmtId="0" fontId="7" fillId="0" borderId="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187" fontId="165" fillId="0" borderId="0" applyFont="0" applyFill="0" applyBorder="0" applyAlignment="0" applyProtection="0"/>
    <xf numFmtId="188" fontId="165" fillId="0" borderId="0" applyFont="0" applyFill="0" applyBorder="0" applyAlignment="0" applyProtection="0"/>
    <xf numFmtId="43" fontId="14" fillId="0" borderId="0" applyAlignment="0"/>
    <xf numFmtId="189" fontId="165" fillId="0" borderId="0" applyFont="0" applyFill="0" applyBorder="0" applyAlignment="0" applyProtection="0">
      <alignment horizontal="right"/>
    </xf>
    <xf numFmtId="190" fontId="165" fillId="0" borderId="0" applyFont="0" applyFill="0" applyBorder="0" applyAlignment="0" applyProtection="0"/>
    <xf numFmtId="191" fontId="165" fillId="0" borderId="0" applyFont="0" applyFill="0" applyBorder="0" applyAlignment="0" applyProtection="0">
      <alignment horizontal="right"/>
    </xf>
    <xf numFmtId="192" fontId="165" fillId="0" borderId="0" applyFont="0" applyFill="0" applyBorder="0" applyAlignment="0" applyProtection="0">
      <alignment horizontal="right"/>
    </xf>
    <xf numFmtId="193" fontId="165" fillId="0" borderId="0" applyFont="0" applyFill="0" applyBorder="0" applyAlignment="0" applyProtection="0">
      <alignment horizontal="right"/>
    </xf>
    <xf numFmtId="194" fontId="165" fillId="0" borderId="0" applyFont="0" applyFill="0" applyBorder="0" applyAlignment="0" applyProtection="0"/>
    <xf numFmtId="0" fontId="147" fillId="26" borderId="0" applyNumberFormat="0" applyBorder="0" applyAlignment="0" applyProtection="0"/>
    <xf numFmtId="0" fontId="147" fillId="26" borderId="0" applyNumberFormat="0" applyBorder="0" applyAlignment="0" applyProtection="0"/>
    <xf numFmtId="0" fontId="159" fillId="27"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47" fillId="29" borderId="0" applyNumberFormat="0" applyBorder="0" applyAlignment="0" applyProtection="0"/>
    <xf numFmtId="0" fontId="147" fillId="30" borderId="0" applyNumberFormat="0" applyBorder="0" applyAlignment="0" applyProtection="0"/>
    <xf numFmtId="0" fontId="159" fillId="31"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59" fillId="32" borderId="0" applyNumberFormat="0" applyBorder="0" applyAlignment="0" applyProtection="0"/>
    <xf numFmtId="0" fontId="147" fillId="29" borderId="0" applyNumberFormat="0" applyBorder="0" applyAlignment="0" applyProtection="0"/>
    <xf numFmtId="0" fontId="147" fillId="33" borderId="0" applyNumberFormat="0" applyBorder="0" applyAlignment="0" applyProtection="0"/>
    <xf numFmtId="0" fontId="159" fillId="30"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59" fillId="31" borderId="0" applyNumberFormat="0" applyBorder="0" applyAlignment="0" applyProtection="0"/>
    <xf numFmtId="0" fontId="147" fillId="26" borderId="0" applyNumberFormat="0" applyBorder="0" applyAlignment="0" applyProtection="0"/>
    <xf numFmtId="0" fontId="147" fillId="30" borderId="0" applyNumberFormat="0" applyBorder="0" applyAlignment="0" applyProtection="0"/>
    <xf numFmtId="0" fontId="159" fillId="30"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59" fillId="28" borderId="0" applyNumberFormat="0" applyBorder="0" applyAlignment="0" applyProtection="0"/>
    <xf numFmtId="0" fontId="147" fillId="34" borderId="0" applyNumberFormat="0" applyBorder="0" applyAlignment="0" applyProtection="0"/>
    <xf numFmtId="0" fontId="147" fillId="26" borderId="0" applyNumberFormat="0" applyBorder="0" applyAlignment="0" applyProtection="0"/>
    <xf numFmtId="0" fontId="159" fillId="27"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59" fillId="35" borderId="0" applyNumberFormat="0" applyBorder="0" applyAlignment="0" applyProtection="0"/>
    <xf numFmtId="0" fontId="147" fillId="29" borderId="0" applyNumberFormat="0" applyBorder="0" applyAlignment="0" applyProtection="0"/>
    <xf numFmtId="0" fontId="147" fillId="36" borderId="0" applyNumberFormat="0" applyBorder="0" applyAlignment="0" applyProtection="0"/>
    <xf numFmtId="0" fontId="159" fillId="36"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1" fillId="38" borderId="0" applyNumberFormat="0" applyBorder="0" applyAlignment="0" applyProtection="0"/>
    <xf numFmtId="0" fontId="165" fillId="0" borderId="164" applyNumberFormat="0" applyFill="0" applyAlignment="0" applyProtection="0"/>
    <xf numFmtId="195" fontId="166" fillId="0" borderId="164" applyNumberFormat="0" applyFill="0" applyAlignment="0" applyProtection="0">
      <alignment horizontal="center"/>
    </xf>
    <xf numFmtId="195" fontId="166" fillId="0" borderId="78" applyFill="0" applyAlignment="0" applyProtection="0">
      <alignment horizontal="center"/>
    </xf>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56" fillId="31" borderId="165" applyNumberFormat="0" applyAlignment="0" applyProtection="0"/>
    <xf numFmtId="0" fontId="167" fillId="0" borderId="0" applyProtection="0"/>
    <xf numFmtId="195" fontId="166" fillId="0" borderId="0" applyFill="0" applyBorder="0" applyProtection="0">
      <alignment horizontal="center"/>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7"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6" fillId="0" borderId="0" applyProtection="0"/>
    <xf numFmtId="196" fontId="165" fillId="0" borderId="0" applyFont="0" applyFill="0" applyBorder="0" applyAlignment="0" applyProtection="0"/>
    <xf numFmtId="195" fontId="166" fillId="0" borderId="166" applyNumberFormat="0" applyFill="0" applyAlignment="0" applyProtection="0"/>
    <xf numFmtId="0" fontId="165" fillId="0" borderId="166" applyNumberFormat="0" applyFill="0" applyAlignment="0" applyProtection="0"/>
    <xf numFmtId="0" fontId="158" fillId="40" borderId="0" applyNumberFormat="0" applyBorder="0" applyAlignment="0" applyProtection="0"/>
    <xf numFmtId="0" fontId="158" fillId="41" borderId="0" applyNumberFormat="0" applyBorder="0" applyAlignment="0" applyProtection="0"/>
    <xf numFmtId="0" fontId="158" fillId="42" borderId="0" applyNumberFormat="0" applyBorder="0" applyAlignment="0" applyProtection="0"/>
    <xf numFmtId="0" fontId="168" fillId="0" borderId="0" applyProtection="0"/>
    <xf numFmtId="0" fontId="15" fillId="0" borderId="0" applyProtection="0"/>
    <xf numFmtId="0" fontId="169" fillId="0" borderId="0" applyProtection="0"/>
    <xf numFmtId="0" fontId="170" fillId="0" borderId="0" applyProtection="0"/>
    <xf numFmtId="0" fontId="171" fillId="0" borderId="0" applyProtection="0"/>
    <xf numFmtId="0" fontId="172" fillId="0" borderId="0" applyProtection="0"/>
    <xf numFmtId="0" fontId="173" fillId="0" borderId="0" applyProtection="0"/>
    <xf numFmtId="2" fontId="146" fillId="0" borderId="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49" fillId="0" borderId="167"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0" fillId="0" borderId="168"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16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74" fillId="0" borderId="0" applyProtection="0"/>
    <xf numFmtId="0" fontId="141" fillId="0" borderId="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7" fontId="165" fillId="0" borderId="0" applyFont="0" applyFill="0" applyBorder="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63" fillId="0" borderId="170" applyNumberFormat="0" applyFill="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53" fillId="43" borderId="0" applyNumberFormat="0" applyBorder="0" applyAlignment="0" applyProtection="0"/>
    <xf numFmtId="0" fontId="166" fillId="0" borderId="0" applyNumberFormat="0" applyFill="0" applyAlignment="0" applyProtection="0"/>
    <xf numFmtId="0" fontId="14" fillId="0" borderId="0"/>
    <xf numFmtId="0" fontId="14" fillId="0" borderId="0"/>
    <xf numFmtId="0" fontId="14" fillId="0" borderId="0"/>
    <xf numFmtId="0" fontId="14" fillId="0" borderId="0"/>
    <xf numFmtId="0" fontId="7" fillId="0" borderId="0"/>
    <xf numFmtId="0" fontId="145" fillId="0" borderId="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198" fontId="166" fillId="0" borderId="0" applyFill="0" applyBorder="0" applyProtection="0">
      <alignment horizontal="right"/>
    </xf>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199" fontId="166" fillId="0" borderId="0" applyProtection="0"/>
    <xf numFmtId="0" fontId="148" fillId="0" borderId="0" applyNumberFormat="0" applyFill="0" applyBorder="0" applyAlignment="0" applyProtection="0"/>
    <xf numFmtId="0" fontId="166" fillId="0" borderId="78" applyNumberFormat="0" applyFill="0" applyAlignment="0" applyProtection="0"/>
    <xf numFmtId="8" fontId="175" fillId="0" borderId="0" applyNumberFormat="0" applyFill="0" applyBorder="0" applyAlignment="0" applyProtection="0"/>
    <xf numFmtId="0" fontId="164" fillId="0" borderId="0" applyNumberFormat="0" applyBorder="0" applyAlignment="0"/>
    <xf numFmtId="0" fontId="176" fillId="0" borderId="0" applyNumberFormat="0" applyBorder="0" applyAlignment="0"/>
    <xf numFmtId="0" fontId="165" fillId="0" borderId="172" applyNumberFormat="0" applyFont="0" applyFill="0" applyAlignment="0" applyProtection="0"/>
    <xf numFmtId="0" fontId="165" fillId="0" borderId="173" applyNumberFormat="0" applyFont="0" applyFill="0" applyAlignment="0" applyProtection="0"/>
    <xf numFmtId="0" fontId="165" fillId="0" borderId="139" applyNumberFormat="0" applyFon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43" fontId="14" fillId="0" borderId="0" applyAlignment="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4"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8"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49"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1"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52"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47"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0"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47" fillId="53"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4"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1"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2"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7"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2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8"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32"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59"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31"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60"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28"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35"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56"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37"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59" fillId="61"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61" fillId="38"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7" fillId="45" borderId="0" applyNumberFormat="0" applyBorder="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31"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0" fontId="156" fillId="63" borderId="165"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33"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49" fillId="0" borderId="167"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0" fillId="0" borderId="175"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50"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1" fillId="0" borderId="168"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51" fillId="0" borderId="169"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176" applyNumberFormat="0" applyFill="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1"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6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83" fillId="0" borderId="170" applyNumberFormat="0" applyFill="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43"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53" fillId="64"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5" fillId="0" borderId="0"/>
    <xf numFmtId="0" fontId="14" fillId="0" borderId="0"/>
    <xf numFmtId="0" fontId="14" fillId="0" borderId="0"/>
    <xf numFmtId="0" fontId="14" fillId="0" borderId="0"/>
    <xf numFmtId="0" fontId="14" fillId="0" borderId="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7" fillId="0" borderId="0"/>
    <xf numFmtId="0" fontId="14" fillId="0" borderId="0"/>
    <xf numFmtId="43" fontId="7" fillId="0" borderId="0" applyFont="0" applyFill="0" applyBorder="0" applyAlignment="0" applyProtection="0"/>
    <xf numFmtId="5" fontId="14" fillId="0" borderId="0" applyFont="0" applyFill="0" applyBorder="0" applyAlignment="0" applyProtection="0"/>
    <xf numFmtId="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7" fillId="0" borderId="0"/>
    <xf numFmtId="0" fontId="7" fillId="0" borderId="0"/>
    <xf numFmtId="0" fontId="55" fillId="0" borderId="0"/>
    <xf numFmtId="0" fontId="7" fillId="0" borderId="0"/>
    <xf numFmtId="43" fontId="7" fillId="0" borderId="0" applyFont="0" applyFill="0" applyBorder="0" applyAlignment="0" applyProtection="0"/>
    <xf numFmtId="0" fontId="7" fillId="0" borderId="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65" fillId="0" borderId="139" applyNumberFormat="0" applyFont="0" applyFill="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160" fillId="0" borderId="0" applyNumberFormat="0" applyFill="0" applyBorder="0" applyAlignment="0" applyProtection="0">
      <alignment vertical="top"/>
      <protection locked="0"/>
    </xf>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5" fillId="62" borderId="171" applyNumberFormat="0" applyAlignment="0" applyProtection="0"/>
    <xf numFmtId="0" fontId="158" fillId="0" borderId="177" applyNumberFormat="0" applyFill="0" applyAlignment="0" applyProtection="0"/>
    <xf numFmtId="43" fontId="7" fillId="0" borderId="0" applyFont="0" applyFill="0" applyBorder="0" applyAlignment="0" applyProtection="0"/>
    <xf numFmtId="0" fontId="7" fillId="0" borderId="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65" fillId="0" borderId="139" applyNumberFormat="0" applyFon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65" fillId="0" borderId="139" applyNumberFormat="0" applyFon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58" fillId="0" borderId="174" applyNumberFormat="0" applyFill="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29"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4" fillId="65" borderId="2" applyNumberFormat="0" applyFon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36"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54" fillId="4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62" fillId="39"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78" fillId="62" borderId="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4" fillId="29" borderId="2" applyNumberFormat="0" applyFon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54" fillId="36"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62" fillId="39" borderId="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4"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39"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0" fontId="155" fillId="62" borderId="171" applyNumberFormat="0" applyAlignment="0" applyProtection="0"/>
    <xf numFmtId="43" fontId="7" fillId="0" borderId="0" applyFont="0" applyFill="0" applyBorder="0" applyAlignment="0" applyProtection="0"/>
    <xf numFmtId="0" fontId="7" fillId="0" borderId="0"/>
    <xf numFmtId="0" fontId="7" fillId="0" borderId="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155" fillId="39" borderId="171" applyNumberFormat="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158" fillId="0" borderId="174" applyNumberFormat="0" applyFill="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158" fillId="0" borderId="177" applyNumberFormat="0" applyFill="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43"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 fillId="0" borderId="0" applyAlignment="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14" fillId="0" borderId="0"/>
    <xf numFmtId="0" fontId="7" fillId="0" borderId="0"/>
    <xf numFmtId="43" fontId="14" fillId="0" borderId="0" applyAlignment="0"/>
    <xf numFmtId="43" fontId="14" fillId="0" borderId="0" applyAlignment="0"/>
    <xf numFmtId="43" fontId="7"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cellStyleXfs>
  <cellXfs count="2645">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3" xfId="12" applyNumberFormat="1" applyFont="1" applyBorder="1" applyAlignment="1" applyProtection="1">
      <alignment horizontal="right" vertical="center"/>
    </xf>
    <xf numFmtId="0" fontId="18" fillId="0" borderId="126" xfId="12" applyFont="1" applyBorder="1" applyAlignment="1" applyProtection="1">
      <alignment vertical="center"/>
    </xf>
    <xf numFmtId="0" fontId="18" fillId="0" borderId="124" xfId="12" applyFont="1" applyBorder="1" applyAlignment="1" applyProtection="1">
      <alignment vertical="center"/>
    </xf>
    <xf numFmtId="1" fontId="14" fillId="0" borderId="0" xfId="0" applyNumberFormat="1" applyFont="1" applyAlignment="1">
      <alignment horizontal="center" vertical="center"/>
    </xf>
    <xf numFmtId="0" fontId="15" fillId="0" borderId="133"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9" xfId="0" applyFont="1" applyFill="1" applyBorder="1" applyAlignment="1" applyProtection="1">
      <alignment horizontal="left" vertical="center"/>
    </xf>
    <xf numFmtId="164" fontId="58" fillId="17" borderId="119" xfId="0" applyNumberFormat="1" applyFont="1" applyFill="1" applyBorder="1" applyAlignment="1" applyProtection="1">
      <alignment horizontal="center" vertical="center"/>
    </xf>
    <xf numFmtId="164" fontId="68" fillId="17" borderId="119" xfId="0" applyNumberFormat="1" applyFont="1" applyFill="1" applyBorder="1" applyAlignment="1" applyProtection="1">
      <alignment vertical="center"/>
    </xf>
    <xf numFmtId="0" fontId="81" fillId="10" borderId="120"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5"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8"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3"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5"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3"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4" xfId="0" applyNumberFormat="1" applyFont="1" applyFill="1" applyBorder="1" applyAlignment="1">
      <alignment horizontal="center" vertical="center"/>
    </xf>
    <xf numFmtId="49" fontId="66" fillId="0" borderId="125"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3"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0" fontId="61" fillId="0" borderId="0" xfId="3" applyFont="1" applyAlignment="1">
      <alignment horizontal="left" wrapText="1" indent="2"/>
    </xf>
    <xf numFmtId="0" fontId="61" fillId="0" borderId="0" xfId="3" applyFont="1" applyAlignment="1">
      <alignment vertical="top" wrapText="1"/>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0" xfId="0" applyFont="1" applyBorder="1"/>
    <xf numFmtId="0" fontId="59" fillId="0" borderId="13" xfId="0" applyFont="1" applyBorder="1"/>
    <xf numFmtId="0" fontId="59" fillId="0" borderId="123" xfId="0" applyFont="1" applyBorder="1" applyAlignment="1">
      <alignment horizontal="left" vertical="top"/>
    </xf>
    <xf numFmtId="164" fontId="117" fillId="0" borderId="126" xfId="0" applyNumberFormat="1" applyFont="1" applyBorder="1" applyAlignment="1">
      <alignment horizontal="right" vertical="top"/>
    </xf>
    <xf numFmtId="0" fontId="59" fillId="0" borderId="126" xfId="0" applyNumberFormat="1" applyFont="1" applyBorder="1" applyAlignment="1">
      <alignment horizontal="left" vertical="center" wrapText="1" indent="1"/>
    </xf>
    <xf numFmtId="0" fontId="89" fillId="0" borderId="125" xfId="0" applyFont="1" applyBorder="1" applyAlignment="1">
      <alignment horizontal="left" vertical="center" wrapText="1"/>
    </xf>
    <xf numFmtId="0" fontId="59" fillId="0" borderId="126" xfId="0" applyFont="1" applyBorder="1" applyAlignment="1">
      <alignment horizontal="left" vertical="top"/>
    </xf>
    <xf numFmtId="0" fontId="59" fillId="0" borderId="0" xfId="0" applyFont="1" applyBorder="1" applyAlignment="1">
      <alignment vertical="top"/>
    </xf>
    <xf numFmtId="0" fontId="119" fillId="0" borderId="126" xfId="0" applyNumberFormat="1" applyFont="1" applyBorder="1" applyAlignment="1">
      <alignment horizontal="left" vertical="center"/>
    </xf>
    <xf numFmtId="0" fontId="117" fillId="0" borderId="126" xfId="0" applyFont="1" applyBorder="1" applyAlignment="1">
      <alignment vertical="top"/>
    </xf>
    <xf numFmtId="0" fontId="117" fillId="0" borderId="126" xfId="0" applyFont="1" applyBorder="1" applyAlignment="1">
      <alignment horizontal="left" vertical="top"/>
    </xf>
    <xf numFmtId="0" fontId="59" fillId="0" borderId="123" xfId="0" applyFont="1" applyBorder="1" applyAlignment="1"/>
    <xf numFmtId="164" fontId="117" fillId="0" borderId="126" xfId="0" applyNumberFormat="1" applyFont="1" applyBorder="1" applyAlignment="1"/>
    <xf numFmtId="0" fontId="59" fillId="0" borderId="126" xfId="0" applyFont="1" applyBorder="1" applyAlignment="1"/>
    <xf numFmtId="0" fontId="66" fillId="0" borderId="124"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2"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3" xfId="0" applyFont="1" applyFill="1" applyBorder="1" applyAlignment="1"/>
    <xf numFmtId="0" fontId="58" fillId="0" borderId="126" xfId="0" applyFont="1" applyFill="1" applyBorder="1" applyAlignment="1">
      <alignment horizontal="left" vertical="top"/>
    </xf>
    <xf numFmtId="0" fontId="58" fillId="0" borderId="124"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4"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1" xfId="3" quotePrefix="1" applyNumberFormat="1" applyFont="1" applyBorder="1" applyAlignment="1" applyProtection="1">
      <alignment horizontal="left"/>
    </xf>
    <xf numFmtId="0" fontId="66" fillId="0" borderId="142" xfId="3" applyNumberFormat="1" applyFont="1" applyBorder="1" applyAlignment="1" applyProtection="1">
      <alignment horizontal="center"/>
    </xf>
    <xf numFmtId="0" fontId="66" fillId="0" borderId="142" xfId="3" applyNumberFormat="1" applyFont="1" applyBorder="1" applyProtection="1"/>
    <xf numFmtId="0" fontId="59" fillId="0" borderId="141" xfId="3" applyNumberFormat="1" applyFont="1" applyBorder="1" applyAlignment="1" applyProtection="1"/>
    <xf numFmtId="0" fontId="66" fillId="0" borderId="143" xfId="3" applyNumberFormat="1" applyFont="1" applyBorder="1" applyAlignment="1" applyProtection="1">
      <alignment horizontal="centerContinuous"/>
    </xf>
    <xf numFmtId="0" fontId="59" fillId="0" borderId="141" xfId="3" applyNumberFormat="1" applyFont="1" applyBorder="1" applyAlignment="1" applyProtection="1">
      <alignment horizontal="left"/>
    </xf>
    <xf numFmtId="0" fontId="66" fillId="0" borderId="143" xfId="3" applyNumberFormat="1" applyFont="1" applyBorder="1" applyProtection="1"/>
    <xf numFmtId="0" fontId="66" fillId="0" borderId="142"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1"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5"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2"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6"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4" xfId="3" applyFont="1" applyBorder="1" applyProtection="1"/>
    <xf numFmtId="0" fontId="59" fillId="0" borderId="145" xfId="3" applyFont="1" applyBorder="1" applyProtection="1">
      <protection locked="0"/>
    </xf>
    <xf numFmtId="0" fontId="59" fillId="0" borderId="144"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0" fontId="58" fillId="20" borderId="0" xfId="3" applyFont="1" applyFill="1" applyProtection="1"/>
    <xf numFmtId="169" fontId="61" fillId="20" borderId="0" xfId="3" applyNumberFormat="1" applyFont="1" applyFill="1" applyProtection="1"/>
    <xf numFmtId="1" fontId="61" fillId="20" borderId="0" xfId="3" applyNumberFormat="1" applyFont="1" applyFill="1" applyProtection="1"/>
    <xf numFmtId="0" fontId="61" fillId="20" borderId="0" xfId="3" applyFont="1" applyFill="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2"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7"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9" xfId="3" applyFont="1" applyBorder="1" applyAlignment="1" applyProtection="1">
      <alignment horizontal="left"/>
    </xf>
    <xf numFmtId="0" fontId="61" fillId="0" borderId="149" xfId="3" applyFont="1" applyBorder="1" applyProtection="1"/>
    <xf numFmtId="0" fontId="61" fillId="0" borderId="149"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6"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7"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5" xfId="0" applyNumberFormat="1" applyFont="1" applyBorder="1" applyAlignment="1">
      <alignment horizontal="left" vertical="center" wrapText="1" indent="1"/>
    </xf>
    <xf numFmtId="3" fontId="66" fillId="0" borderId="123"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3" xfId="0" applyNumberFormat="1" applyFont="1" applyFill="1" applyBorder="1" applyAlignment="1">
      <alignment horizontal="center" vertical="center" wrapText="1"/>
    </xf>
    <xf numFmtId="38" fontId="58" fillId="6" borderId="153" xfId="0" applyNumberFormat="1" applyFont="1" applyFill="1" applyBorder="1" applyAlignment="1">
      <alignment horizontal="center" vertical="top" wrapText="1"/>
    </xf>
    <xf numFmtId="38" fontId="68" fillId="6" borderId="153"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2" borderId="129" xfId="0" applyNumberFormat="1" applyFont="1" applyFill="1" applyBorder="1" applyAlignment="1">
      <alignment horizontal="center"/>
    </xf>
    <xf numFmtId="3" fontId="59" fillId="22" borderId="129" xfId="0" applyNumberFormat="1" applyFont="1" applyFill="1" applyBorder="1" applyAlignment="1">
      <alignment horizontal="right"/>
    </xf>
    <xf numFmtId="3" fontId="59" fillId="22" borderId="130" xfId="0" applyNumberFormat="1" applyFont="1" applyFill="1" applyBorder="1" applyAlignment="1">
      <alignment horizontal="center"/>
    </xf>
    <xf numFmtId="3" fontId="69" fillId="22" borderId="123" xfId="0" applyNumberFormat="1" applyFont="1" applyFill="1" applyBorder="1" applyAlignment="1">
      <alignment horizontal="center" vertical="center" wrapText="1"/>
    </xf>
    <xf numFmtId="49" fontId="66" fillId="22" borderId="11" xfId="0" applyNumberFormat="1" applyFont="1" applyFill="1" applyBorder="1" applyAlignment="1">
      <alignment horizontal="center" vertical="center"/>
    </xf>
    <xf numFmtId="38" fontId="58" fillId="22" borderId="13" xfId="0" applyNumberFormat="1" applyFont="1" applyFill="1" applyBorder="1" applyAlignment="1" applyProtection="1">
      <alignment horizontal="right"/>
    </xf>
    <xf numFmtId="38" fontId="58" fillId="22" borderId="21" xfId="0" applyNumberFormat="1" applyFont="1" applyFill="1" applyBorder="1" applyAlignment="1" applyProtection="1">
      <alignment horizontal="right"/>
    </xf>
    <xf numFmtId="38" fontId="58" fillId="22" borderId="21" xfId="1" applyNumberFormat="1" applyFont="1" applyFill="1" applyBorder="1" applyAlignment="1" applyProtection="1">
      <alignment horizontal="right"/>
    </xf>
    <xf numFmtId="38" fontId="58" fillId="22" borderId="14" xfId="0" applyNumberFormat="1" applyFont="1" applyFill="1" applyBorder="1" applyAlignment="1" applyProtection="1">
      <alignment horizontal="right"/>
    </xf>
    <xf numFmtId="0" fontId="61" fillId="22" borderId="31" xfId="0" applyFont="1" applyFill="1" applyBorder="1" applyAlignment="1">
      <alignment horizontal="center" vertical="center"/>
    </xf>
    <xf numFmtId="3" fontId="58" fillId="22" borderId="13" xfId="0" applyNumberFormat="1" applyFont="1" applyFill="1" applyBorder="1" applyAlignment="1" applyProtection="1">
      <alignment horizontal="right" vertical="center"/>
    </xf>
    <xf numFmtId="3" fontId="58" fillId="22" borderId="21" xfId="0" applyNumberFormat="1" applyFont="1" applyFill="1" applyBorder="1" applyAlignment="1" applyProtection="1">
      <alignment horizontal="right" vertical="center"/>
    </xf>
    <xf numFmtId="3" fontId="58" fillId="22"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2" borderId="13" xfId="0" applyNumberFormat="1" applyFont="1" applyFill="1" applyBorder="1" applyAlignment="1" applyProtection="1">
      <alignment horizontal="center" vertical="center"/>
    </xf>
    <xf numFmtId="49" fontId="68" fillId="22" borderId="21" xfId="0" applyNumberFormat="1" applyFont="1" applyFill="1" applyBorder="1" applyAlignment="1" applyProtection="1">
      <alignment horizontal="center" vertical="center"/>
    </xf>
    <xf numFmtId="3" fontId="59" fillId="22" borderId="21" xfId="0" applyNumberFormat="1" applyFont="1" applyFill="1" applyBorder="1" applyAlignment="1" applyProtection="1">
      <alignment horizontal="center"/>
    </xf>
    <xf numFmtId="3" fontId="61" fillId="22" borderId="21" xfId="0" applyNumberFormat="1" applyFont="1" applyFill="1" applyBorder="1" applyAlignment="1" applyProtection="1">
      <alignment horizontal="center"/>
    </xf>
    <xf numFmtId="38" fontId="61" fillId="22" borderId="21" xfId="0" applyNumberFormat="1" applyFont="1" applyFill="1" applyBorder="1" applyAlignment="1" applyProtection="1">
      <alignment horizontal="center"/>
    </xf>
    <xf numFmtId="3" fontId="61" fillId="22" borderId="14" xfId="0" applyNumberFormat="1" applyFont="1" applyFill="1" applyBorder="1" applyAlignment="1" applyProtection="1">
      <alignment horizontal="center"/>
    </xf>
    <xf numFmtId="0" fontId="58" fillId="22" borderId="49" xfId="0" applyFont="1" applyFill="1" applyBorder="1" applyAlignment="1" applyProtection="1">
      <alignment horizontal="center" vertical="center" wrapText="1"/>
    </xf>
    <xf numFmtId="0" fontId="59" fillId="22" borderId="34"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wrapText="1"/>
    </xf>
    <xf numFmtId="0" fontId="61" fillId="22" borderId="31" xfId="0" applyFont="1" applyFill="1" applyBorder="1" applyAlignment="1">
      <alignment horizontal="center" vertical="center" wrapText="1"/>
    </xf>
    <xf numFmtId="164" fontId="58" fillId="22"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5"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3" xfId="0" applyNumberFormat="1" applyFont="1" applyFill="1" applyBorder="1" applyAlignment="1">
      <alignment horizontal="left" vertical="center" wrapText="1"/>
    </xf>
    <xf numFmtId="49" fontId="68" fillId="17" borderId="125"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3"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5" xfId="0" applyFont="1" applyFill="1" applyBorder="1" applyAlignment="1">
      <alignment horizontal="left" vertical="center" wrapText="1"/>
    </xf>
    <xf numFmtId="3" fontId="68" fillId="17" borderId="125"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2" borderId="13" xfId="0" applyFont="1" applyFill="1" applyBorder="1" applyAlignment="1">
      <alignment horizontal="left" vertical="center"/>
    </xf>
    <xf numFmtId="0" fontId="69" fillId="22" borderId="21" xfId="0" applyFont="1" applyFill="1" applyBorder="1" applyAlignment="1">
      <alignment horizontal="left" vertical="center"/>
    </xf>
    <xf numFmtId="0" fontId="69" fillId="22"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7" xfId="0" applyFont="1" applyBorder="1" applyAlignment="1">
      <alignment horizontal="centerContinuous" vertical="center"/>
    </xf>
    <xf numFmtId="0" fontId="59" fillId="0" borderId="158" xfId="0" applyFont="1" applyBorder="1" applyAlignment="1">
      <alignment horizontal="centerContinuous" vertical="center"/>
    </xf>
    <xf numFmtId="0" fontId="61" fillId="0" borderId="158" xfId="0" applyFont="1" applyBorder="1" applyAlignment="1">
      <alignment horizontal="centerContinuous" vertical="center"/>
    </xf>
    <xf numFmtId="0" fontId="68" fillId="0" borderId="105" xfId="0" applyFont="1" applyBorder="1" applyAlignment="1">
      <alignment horizontal="center"/>
    </xf>
    <xf numFmtId="0" fontId="61" fillId="22" borderId="16" xfId="3" applyFont="1" applyFill="1" applyBorder="1" applyAlignment="1">
      <alignment horizontal="left" vertical="center"/>
    </xf>
    <xf numFmtId="0" fontId="61" fillId="22" borderId="10" xfId="3" applyFont="1" applyFill="1" applyBorder="1" applyAlignment="1">
      <alignment horizontal="left" vertical="center"/>
    </xf>
    <xf numFmtId="0" fontId="68" fillId="0" borderId="5" xfId="3" applyFont="1" applyFill="1" applyBorder="1" applyAlignment="1" applyProtection="1"/>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9"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2" borderId="0" xfId="18" applyFont="1" applyFill="1" applyAlignment="1">
      <alignment horizontal="centerContinuous" vertical="center"/>
    </xf>
    <xf numFmtId="0" fontId="104" fillId="22" borderId="0" xfId="18" applyFont="1" applyFill="1" applyAlignment="1">
      <alignment horizontal="centerContinuous"/>
    </xf>
    <xf numFmtId="0" fontId="92" fillId="0" borderId="135"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60"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2"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7" xfId="18" applyFont="1" applyBorder="1" applyAlignment="1">
      <alignment horizontal="left" vertical="center" wrapText="1"/>
    </xf>
    <xf numFmtId="0" fontId="108" fillId="0" borderId="158"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0"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 fillId="0" borderId="0" xfId="18" applyFont="1"/>
    <xf numFmtId="0" fontId="52" fillId="0" borderId="138" xfId="18" applyFont="1" applyBorder="1" applyAlignment="1">
      <alignment vertical="top"/>
    </xf>
    <xf numFmtId="0" fontId="52" fillId="0" borderId="139" xfId="18" applyFont="1" applyBorder="1" applyAlignment="1">
      <alignment vertical="top"/>
    </xf>
    <xf numFmtId="0" fontId="53" fillId="15" borderId="76" xfId="18" applyFont="1" applyFill="1" applyBorder="1" applyAlignment="1">
      <alignment vertical="top"/>
    </xf>
    <xf numFmtId="0" fontId="52" fillId="0" borderId="138" xfId="18" applyFont="1" applyBorder="1" applyAlignment="1">
      <alignment vertical="top" wrapText="1"/>
    </xf>
    <xf numFmtId="0" fontId="52" fillId="0" borderId="139"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2" borderId="0" xfId="18" applyFont="1" applyFill="1" applyAlignment="1">
      <alignment horizontal="centerContinuous" vertical="center"/>
    </xf>
    <xf numFmtId="0" fontId="108" fillId="22" borderId="136" xfId="18" applyFont="1" applyFill="1" applyBorder="1" applyAlignment="1">
      <alignment horizontal="center" vertical="center" wrapText="1"/>
    </xf>
    <xf numFmtId="0" fontId="108" fillId="22" borderId="161" xfId="18" applyFont="1" applyFill="1" applyBorder="1" applyAlignment="1">
      <alignment horizontal="center" vertical="center" wrapText="1"/>
    </xf>
    <xf numFmtId="0" fontId="108" fillId="17" borderId="137"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7"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3" xfId="0" applyNumberFormat="1" applyFont="1" applyBorder="1" applyAlignment="1" applyProtection="1">
      <alignment horizontal="right" shrinkToFit="1"/>
      <protection locked="0"/>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0" borderId="26"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2" borderId="19" xfId="0" applyNumberFormat="1" applyFont="1" applyFill="1" applyBorder="1" applyAlignment="1" applyProtection="1">
      <alignment horizontal="right" shrinkToFit="1"/>
    </xf>
    <xf numFmtId="38" fontId="59" fillId="22" borderId="20" xfId="0" applyNumberFormat="1" applyFont="1" applyFill="1" applyBorder="1" applyAlignment="1" applyProtection="1">
      <alignment horizontal="right" shrinkToFit="1"/>
    </xf>
    <xf numFmtId="38" fontId="59" fillId="22" borderId="21" xfId="0" applyNumberFormat="1" applyFont="1" applyFill="1" applyBorder="1" applyAlignment="1" applyProtection="1">
      <alignment horizontal="right" shrinkToFit="1"/>
    </xf>
    <xf numFmtId="38" fontId="59" fillId="22"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2" borderId="13" xfId="0" applyNumberFormat="1" applyFont="1" applyFill="1" applyBorder="1" applyAlignment="1" applyProtection="1">
      <alignment horizontal="right" shrinkToFit="1"/>
    </xf>
    <xf numFmtId="38" fontId="59" fillId="22" borderId="11" xfId="0" applyNumberFormat="1" applyFont="1" applyFill="1" applyBorder="1" applyAlignment="1" applyProtection="1">
      <alignment horizontal="right" shrinkToFit="1"/>
    </xf>
    <xf numFmtId="38" fontId="59" fillId="0" borderId="13" xfId="0" applyNumberFormat="1" applyFont="1" applyFill="1" applyBorder="1" applyAlignment="1" applyProtection="1">
      <alignment horizontal="right" shrinkToFit="1"/>
      <protection locked="0"/>
    </xf>
    <xf numFmtId="38" fontId="59" fillId="0" borderId="26" xfId="0" applyNumberFormat="1" applyFont="1" applyBorder="1" applyAlignment="1" applyProtection="1">
      <alignment horizontal="right" shrinkToFit="1"/>
      <protection locked="0"/>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2" borderId="49" xfId="0" applyNumberFormat="1" applyFont="1" applyFill="1" applyBorder="1" applyAlignment="1" applyProtection="1">
      <alignment horizontal="right" shrinkToFit="1"/>
    </xf>
    <xf numFmtId="38" fontId="59" fillId="22"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2"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0" borderId="29" xfId="0" applyNumberFormat="1" applyFont="1" applyFill="1" applyBorder="1" applyAlignment="1" applyProtection="1">
      <alignment horizontal="right" shrinkToFit="1"/>
      <protection locked="0"/>
    </xf>
    <xf numFmtId="38" fontId="59" fillId="0" borderId="0" xfId="0" applyNumberFormat="1" applyFont="1" applyAlignment="1" applyProtection="1">
      <alignment horizontal="right" shrinkToFit="1"/>
      <protection locked="0"/>
    </xf>
    <xf numFmtId="38" fontId="59" fillId="0" borderId="13" xfId="0" applyNumberFormat="1" applyFont="1" applyBorder="1" applyAlignment="1" applyProtection="1">
      <alignment horizontal="right" shrinkToFit="1"/>
      <protection locked="0"/>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0" borderId="19" xfId="0" applyNumberFormat="1" applyFont="1" applyFill="1" applyBorder="1" applyAlignment="1" applyProtection="1">
      <alignment horizontal="right" shrinkToFit="1"/>
      <protection locked="0"/>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0" borderId="125" xfId="0" applyNumberFormat="1" applyFont="1" applyBorder="1" applyAlignment="1" applyProtection="1">
      <alignment horizontal="right" shrinkToFit="1"/>
      <protection locked="0"/>
    </xf>
    <xf numFmtId="38" fontId="59" fillId="3" borderId="125"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2" xfId="0" applyNumberFormat="1" applyFont="1" applyBorder="1" applyAlignment="1" applyProtection="1">
      <alignment horizontal="right" shrinkToFit="1"/>
      <protection locked="0"/>
    </xf>
    <xf numFmtId="38" fontId="59" fillId="0" borderId="37" xfId="0" applyNumberFormat="1" applyFont="1" applyBorder="1" applyAlignment="1" applyProtection="1">
      <alignment horizontal="right" shrinkToFit="1"/>
      <protection locked="0"/>
    </xf>
    <xf numFmtId="38" fontId="59" fillId="0" borderId="33" xfId="0" applyNumberFormat="1" applyFont="1" applyBorder="1" applyAlignment="1" applyProtection="1">
      <alignment horizontal="right" shrinkToFit="1"/>
      <protection locked="0"/>
    </xf>
    <xf numFmtId="38" fontId="59" fillId="0" borderId="36" xfId="0" applyNumberFormat="1" applyFont="1" applyFill="1" applyBorder="1" applyAlignment="1" applyProtection="1">
      <alignment horizontal="right" shrinkToFit="1"/>
      <protection locked="0"/>
    </xf>
    <xf numFmtId="38" fontId="59" fillId="0" borderId="27" xfId="0" applyNumberFormat="1" applyFont="1" applyBorder="1" applyAlignment="1" applyProtection="1">
      <alignment horizontal="right" shrinkToFit="1"/>
      <protection locked="0"/>
    </xf>
    <xf numFmtId="38" fontId="59" fillId="0" borderId="55" xfId="0" applyNumberFormat="1" applyFont="1" applyBorder="1" applyAlignment="1" applyProtection="1">
      <alignment horizontal="right" vertical="center" shrinkToFit="1"/>
      <protection locked="0"/>
    </xf>
    <xf numFmtId="38" fontId="59" fillId="0" borderId="32" xfId="0" applyNumberFormat="1" applyFont="1" applyBorder="1" applyAlignment="1" applyProtection="1">
      <alignment horizontal="right" vertical="center" shrinkToFit="1"/>
      <protection locked="0"/>
    </xf>
    <xf numFmtId="38" fontId="59" fillId="0" borderId="27" xfId="0" applyNumberFormat="1" applyFont="1" applyFill="1" applyBorder="1" applyAlignment="1" applyProtection="1">
      <alignment horizontal="right" vertical="center" shrinkToFit="1"/>
      <protection locked="0"/>
    </xf>
    <xf numFmtId="38" fontId="59" fillId="0" borderId="32"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8" fontId="59" fillId="0" borderId="122" xfId="0" applyNumberFormat="1" applyFont="1" applyFill="1" applyBorder="1" applyAlignment="1" applyProtection="1">
      <alignment horizontal="right" shrinkToFit="1"/>
      <protection locked="0"/>
    </xf>
    <xf numFmtId="38" fontId="59" fillId="0" borderId="121" xfId="0" applyNumberFormat="1" applyFont="1" applyFill="1" applyBorder="1" applyAlignment="1" applyProtection="1">
      <alignment horizontal="right" shrinkToFit="1"/>
      <protection locked="0"/>
    </xf>
    <xf numFmtId="38" fontId="59" fillId="0" borderId="111" xfId="0" applyNumberFormat="1" applyFont="1" applyFill="1" applyBorder="1" applyAlignment="1" applyProtection="1">
      <alignment horizontal="right" shrinkToFit="1"/>
      <protection locked="0"/>
    </xf>
    <xf numFmtId="3" fontId="59" fillId="3" borderId="125"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5" borderId="4" xfId="0" applyNumberFormat="1" applyFont="1" applyFill="1" applyBorder="1" applyAlignment="1" applyProtection="1">
      <alignment horizontal="right" shrinkToFit="1"/>
      <protection locked="0"/>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0" borderId="125" xfId="0" applyNumberFormat="1" applyFont="1" applyFill="1" applyBorder="1" applyAlignment="1" applyProtection="1">
      <alignment horizontal="right" shrinkToFit="1"/>
      <protection locked="0"/>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3" borderId="19" xfId="0" applyNumberFormat="1" applyFont="1" applyFill="1" applyBorder="1" applyAlignment="1">
      <alignment horizontal="right" shrinkToFit="1"/>
    </xf>
    <xf numFmtId="38" fontId="59" fillId="23" borderId="20" xfId="0" applyNumberFormat="1" applyFont="1" applyFill="1" applyBorder="1" applyAlignment="1">
      <alignment horizontal="right" shrinkToFit="1"/>
    </xf>
    <xf numFmtId="38" fontId="59" fillId="23"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0" borderId="29" xfId="0" applyNumberFormat="1" applyFont="1" applyBorder="1" applyAlignment="1" applyProtection="1">
      <alignment horizontal="right" shrinkToFit="1"/>
      <protection locked="0"/>
    </xf>
    <xf numFmtId="38" fontId="59" fillId="16" borderId="29" xfId="0" applyNumberFormat="1" applyFont="1" applyFill="1" applyBorder="1" applyAlignment="1">
      <alignment horizontal="right" shrinkToFit="1"/>
    </xf>
    <xf numFmtId="38" fontId="59" fillId="16" borderId="125"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125"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2" borderId="13" xfId="0" applyNumberFormat="1" applyFont="1" applyFill="1" applyBorder="1" applyAlignment="1">
      <alignment horizontal="right" shrinkToFit="1"/>
    </xf>
    <xf numFmtId="38" fontId="59" fillId="22" borderId="21" xfId="0" applyNumberFormat="1" applyFont="1" applyFill="1" applyBorder="1" applyAlignment="1">
      <alignment horizontal="right" shrinkToFit="1"/>
    </xf>
    <xf numFmtId="38" fontId="59" fillId="22"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5"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0" borderId="2" xfId="8" applyNumberFormat="1" applyFont="1" applyFill="1" applyBorder="1" applyAlignment="1" applyProtection="1">
      <alignment horizontal="right" shrinkToFit="1"/>
      <protection locked="0"/>
    </xf>
    <xf numFmtId="38" fontId="59" fillId="16" borderId="125" xfId="0" applyNumberFormat="1" applyFont="1" applyFill="1" applyBorder="1" applyAlignment="1" applyProtection="1">
      <alignment horizontal="right" vertical="center" shrinkToFit="1"/>
      <protection locked="0"/>
    </xf>
    <xf numFmtId="38" fontId="59" fillId="0" borderId="125" xfId="0" applyNumberFormat="1" applyFont="1" applyFill="1" applyBorder="1" applyAlignment="1" applyProtection="1">
      <alignment horizontal="right" vertical="center" shrinkToFit="1"/>
      <protection locked="0"/>
    </xf>
    <xf numFmtId="38" fontId="59" fillId="16" borderId="125"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10" xfId="0" applyNumberFormat="1" applyFont="1" applyFill="1" applyBorder="1" applyAlignment="1" applyProtection="1">
      <alignment horizontal="right" shrinkToFit="1"/>
      <protection locked="0"/>
    </xf>
    <xf numFmtId="42" fontId="53" fillId="10" borderId="110"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5"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5"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4" xfId="0" applyFont="1" applyFill="1" applyBorder="1" applyAlignment="1">
      <alignment shrinkToFit="1"/>
    </xf>
    <xf numFmtId="37" fontId="59" fillId="16" borderId="124" xfId="0" applyNumberFormat="1" applyFont="1" applyFill="1" applyBorder="1" applyAlignment="1">
      <alignment shrinkToFit="1"/>
    </xf>
    <xf numFmtId="37" fontId="59" fillId="16" borderId="126"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2"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0" fontId="68" fillId="20" borderId="44" xfId="3" applyFont="1" applyFill="1" applyBorder="1" applyAlignment="1" applyProtection="1">
      <alignment horizontal="center"/>
      <protection hidden="1"/>
    </xf>
    <xf numFmtId="0" fontId="68" fillId="21" borderId="44" xfId="3" applyFont="1" applyFill="1" applyBorder="1" applyAlignment="1" applyProtection="1">
      <alignment horizontal="center"/>
      <protection hidden="1"/>
    </xf>
    <xf numFmtId="169" fontId="66" fillId="0" borderId="8" xfId="3" applyNumberFormat="1" applyFont="1" applyBorder="1" applyAlignment="1" applyProtection="1">
      <alignment horizontal="center" shrinkToFit="1"/>
      <protection locked="0"/>
    </xf>
    <xf numFmtId="1" fontId="66" fillId="0" borderId="8" xfId="3" applyNumberFormat="1" applyFont="1" applyBorder="1" applyAlignment="1" applyProtection="1">
      <alignment horizontal="center" shrinkToFit="1"/>
      <protection locked="0"/>
    </xf>
    <xf numFmtId="3" fontId="66" fillId="0" borderId="8" xfId="3" applyNumberFormat="1" applyFont="1" applyBorder="1" applyAlignment="1" applyProtection="1">
      <alignment horizontal="center" shrinkToFi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3"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8" xfId="19" applyFont="1" applyBorder="1" applyAlignment="1">
      <alignment horizontal="left" vertical="top"/>
    </xf>
    <xf numFmtId="182" fontId="130" fillId="0" borderId="139" xfId="19" applyNumberFormat="1" applyFont="1" applyBorder="1" applyAlignment="1">
      <alignment horizontal="center" vertical="top"/>
    </xf>
    <xf numFmtId="0" fontId="130" fillId="0" borderId="139" xfId="19" applyFont="1" applyBorder="1" applyAlignment="1">
      <alignment horizontal="center" vertical="top"/>
    </xf>
    <xf numFmtId="0" fontId="130" fillId="0" borderId="140" xfId="19" applyFont="1" applyBorder="1" applyAlignment="1">
      <alignment horizontal="center" vertical="top"/>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129" fillId="22" borderId="154" xfId="19" applyFont="1" applyFill="1" applyBorder="1" applyAlignment="1">
      <alignment horizontal="center" vertical="center" wrapText="1"/>
    </xf>
    <xf numFmtId="182" fontId="129" fillId="22" borderId="154" xfId="19" applyNumberFormat="1" applyFont="1" applyFill="1" applyBorder="1" applyAlignment="1">
      <alignment horizontal="center" vertical="center" wrapText="1"/>
    </xf>
    <xf numFmtId="38" fontId="129" fillId="22" borderId="154" xfId="19" applyNumberFormat="1" applyFont="1" applyFill="1" applyBorder="1" applyAlignment="1">
      <alignment horizontal="center" vertical="center" wrapText="1"/>
    </xf>
    <xf numFmtId="0" fontId="131" fillId="20" borderId="155" xfId="19" applyFont="1" applyFill="1" applyBorder="1" applyAlignment="1" applyProtection="1">
      <alignment horizontal="left" vertical="top" wrapText="1"/>
    </xf>
    <xf numFmtId="0" fontId="131" fillId="20" borderId="155" xfId="19" applyFont="1" applyFill="1" applyBorder="1" applyAlignment="1" applyProtection="1">
      <alignment vertical="top"/>
    </xf>
    <xf numFmtId="38" fontId="131" fillId="20" borderId="155" xfId="19" applyNumberFormat="1" applyFont="1" applyFill="1" applyBorder="1" applyAlignment="1" applyProtection="1">
      <alignment horizontal="right" vertical="top"/>
    </xf>
    <xf numFmtId="38" fontId="131" fillId="20" borderId="155" xfId="19" applyNumberFormat="1" applyFont="1" applyFill="1" applyBorder="1" applyAlignment="1" applyProtection="1">
      <alignment vertical="top"/>
    </xf>
    <xf numFmtId="0" fontId="9" fillId="0" borderId="155" xfId="19" applyFont="1" applyBorder="1" applyAlignment="1" applyProtection="1">
      <alignment horizontal="left" vertical="top" wrapText="1"/>
      <protection locked="0"/>
    </xf>
    <xf numFmtId="0" fontId="9" fillId="0" borderId="155" xfId="19" applyFont="1" applyBorder="1" applyAlignment="1" applyProtection="1">
      <alignment vertical="top"/>
      <protection locked="0"/>
    </xf>
    <xf numFmtId="38" fontId="9" fillId="0" borderId="155" xfId="19" applyNumberFormat="1" applyBorder="1" applyAlignment="1" applyProtection="1">
      <alignment horizontal="right" vertical="top"/>
      <protection locked="0"/>
    </xf>
    <xf numFmtId="0" fontId="9" fillId="0" borderId="0" xfId="19" quotePrefix="1" applyNumberFormat="1" applyFont="1"/>
    <xf numFmtId="0" fontId="9" fillId="0" borderId="155" xfId="19" applyBorder="1" applyAlignment="1" applyProtection="1">
      <alignment horizontal="left" vertical="top" wrapText="1"/>
      <protection locked="0"/>
    </xf>
    <xf numFmtId="0" fontId="9" fillId="0" borderId="155" xfId="19" applyBorder="1" applyAlignment="1" applyProtection="1">
      <alignment vertical="top"/>
      <protection locked="0"/>
    </xf>
    <xf numFmtId="0" fontId="9" fillId="16" borderId="156" xfId="19" applyFill="1" applyBorder="1" applyAlignment="1" applyProtection="1">
      <alignment horizontal="left" vertical="top" wrapText="1"/>
    </xf>
    <xf numFmtId="0" fontId="9" fillId="16" borderId="156" xfId="19" applyFill="1" applyBorder="1" applyAlignment="1" applyProtection="1">
      <alignment vertical="top"/>
    </xf>
    <xf numFmtId="38" fontId="9" fillId="16" borderId="156" xfId="19" applyNumberFormat="1" applyFill="1" applyBorder="1" applyAlignment="1" applyProtection="1">
      <alignment horizontal="right" vertical="top"/>
    </xf>
    <xf numFmtId="38" fontId="9" fillId="16" borderId="156" xfId="19" applyNumberFormat="1" applyFont="1" applyFill="1" applyBorder="1" applyAlignment="1" applyProtection="1">
      <alignment horizontal="right" vertical="top"/>
    </xf>
    <xf numFmtId="38" fontId="9" fillId="16" borderId="156"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6" xfId="19" applyFont="1" applyBorder="1" applyAlignment="1">
      <alignment vertical="top"/>
    </xf>
    <xf numFmtId="0" fontId="144" fillId="0" borderId="0" xfId="19" applyFont="1" applyBorder="1" applyAlignment="1">
      <alignment vertical="top"/>
    </xf>
    <xf numFmtId="41" fontId="53" fillId="11" borderId="110"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5" xfId="19" applyNumberFormat="1" applyFill="1" applyBorder="1" applyAlignment="1" applyProtection="1">
      <alignment horizontal="right" vertical="top"/>
    </xf>
    <xf numFmtId="184" fontId="131" fillId="20" borderId="155" xfId="19" applyNumberFormat="1" applyFont="1" applyFill="1" applyBorder="1" applyAlignment="1" applyProtection="1">
      <alignment horizontal="center" vertical="top"/>
    </xf>
    <xf numFmtId="184" fontId="9" fillId="0" borderId="155" xfId="19" applyNumberFormat="1" applyFont="1" applyBorder="1" applyAlignment="1" applyProtection="1">
      <alignment horizontal="center" vertical="top"/>
      <protection locked="0"/>
    </xf>
    <xf numFmtId="184" fontId="9" fillId="0" borderId="155" xfId="19" applyNumberFormat="1" applyFont="1" applyBorder="1" applyAlignment="1" applyProtection="1">
      <alignment horizontal="center" vertical="center"/>
      <protection locked="0"/>
    </xf>
    <xf numFmtId="184" fontId="9" fillId="0" borderId="155" xfId="19" applyNumberFormat="1" applyBorder="1" applyAlignment="1" applyProtection="1">
      <alignment horizontal="center" vertical="center"/>
      <protection locked="0"/>
    </xf>
    <xf numFmtId="184" fontId="9" fillId="16" borderId="156" xfId="19" applyNumberFormat="1" applyFill="1" applyBorder="1" applyAlignment="1" applyProtection="1">
      <alignment vertical="top"/>
    </xf>
    <xf numFmtId="0" fontId="8" fillId="0" borderId="0" xfId="19" applyFont="1" applyAlignment="1">
      <alignment horizontal="left" vertical="center"/>
    </xf>
    <xf numFmtId="0" fontId="68" fillId="0" borderId="44" xfId="3" applyFont="1" applyFill="1" applyBorder="1" applyAlignment="1" applyProtection="1">
      <alignment horizontal="center"/>
      <protection hidden="1"/>
    </xf>
    <xf numFmtId="0" fontId="61" fillId="0" borderId="0" xfId="3" applyFont="1" applyFill="1" applyAlignment="1" applyProtection="1">
      <alignment horizontal="center"/>
    </xf>
    <xf numFmtId="0" fontId="68" fillId="0" borderId="142" xfId="3" applyFont="1" applyFill="1" applyBorder="1" applyAlignment="1" applyProtection="1">
      <alignment horizontal="centerContinuous"/>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2" xfId="0" applyNumberFormat="1" applyFont="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125" xfId="0" applyNumberFormat="1" applyFont="1" applyBorder="1" applyAlignment="1" applyProtection="1">
      <alignment horizontal="right"/>
      <protection locked="0"/>
    </xf>
    <xf numFmtId="38" fontId="59" fillId="0" borderId="14" xfId="0" applyNumberFormat="1" applyFont="1" applyBorder="1" applyAlignment="1" applyProtection="1">
      <alignment horizontal="right"/>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0" fontId="104" fillId="0" borderId="105" xfId="18" applyFont="1" applyBorder="1" applyAlignment="1" applyProtection="1">
      <alignment horizontal="left"/>
      <protection locked="0"/>
    </xf>
    <xf numFmtId="0" fontId="111" fillId="0" borderId="0" xfId="3740" applyFont="1"/>
    <xf numFmtId="0" fontId="111" fillId="0" borderId="0" xfId="3740" applyFont="1"/>
    <xf numFmtId="0" fontId="111" fillId="0" borderId="0" xfId="3740" applyFont="1"/>
    <xf numFmtId="0" fontId="111" fillId="0" borderId="0" xfId="3740" applyFont="1"/>
    <xf numFmtId="0" fontId="111" fillId="0" borderId="0" xfId="3740" applyFont="1"/>
    <xf numFmtId="0" fontId="111" fillId="0" borderId="0" xfId="3740" applyFont="1"/>
    <xf numFmtId="0" fontId="61" fillId="0" borderId="0" xfId="3" applyFont="1" applyAlignment="1">
      <alignment horizontal="center" vertical="center"/>
    </xf>
    <xf numFmtId="0" fontId="61" fillId="0" borderId="178" xfId="3" applyFont="1" applyBorder="1" applyAlignment="1">
      <alignment vertical="center"/>
    </xf>
    <xf numFmtId="0" fontId="61" fillId="0" borderId="172" xfId="3" applyFont="1" applyBorder="1" applyAlignment="1">
      <alignment vertical="center"/>
    </xf>
    <xf numFmtId="0" fontId="69" fillId="0" borderId="172" xfId="3" applyFont="1" applyBorder="1" applyAlignment="1">
      <alignment horizontal="center" vertical="center"/>
    </xf>
    <xf numFmtId="0" fontId="69" fillId="0" borderId="172" xfId="3" applyFont="1" applyBorder="1" applyAlignment="1">
      <alignment horizontal="left" vertical="center"/>
    </xf>
    <xf numFmtId="0" fontId="61" fillId="0" borderId="179" xfId="3" applyFont="1" applyBorder="1" applyAlignment="1">
      <alignment vertical="center"/>
    </xf>
    <xf numFmtId="0" fontId="4" fillId="0" borderId="0" xfId="3974"/>
    <xf numFmtId="0" fontId="61" fillId="0" borderId="180" xfId="3" applyFont="1" applyBorder="1" applyAlignment="1">
      <alignment vertical="center"/>
    </xf>
    <xf numFmtId="0" fontId="69" fillId="0" borderId="0" xfId="3" applyFont="1" applyAlignment="1">
      <alignment horizontal="left" vertical="center"/>
    </xf>
    <xf numFmtId="0" fontId="61" fillId="0" borderId="181" xfId="3" applyFont="1" applyBorder="1" applyAlignment="1">
      <alignment vertical="center"/>
    </xf>
    <xf numFmtId="0" fontId="69" fillId="22" borderId="182" xfId="3" applyFont="1" applyFill="1" applyBorder="1" applyAlignment="1">
      <alignment horizontal="left"/>
    </xf>
    <xf numFmtId="0" fontId="61" fillId="0" borderId="17" xfId="3" applyFont="1" applyBorder="1" applyAlignment="1">
      <alignment horizontal="center" vertical="center"/>
    </xf>
    <xf numFmtId="0" fontId="61" fillId="0" borderId="0" xfId="3" applyFont="1" applyAlignment="1">
      <alignment horizontal="right" vertical="center" indent="1"/>
    </xf>
    <xf numFmtId="0" fontId="61" fillId="0" borderId="17" xfId="3" applyFont="1" applyBorder="1" applyAlignment="1">
      <alignment vertical="center"/>
    </xf>
    <xf numFmtId="0" fontId="61" fillId="22" borderId="183" xfId="3" applyFont="1" applyFill="1" applyBorder="1" applyAlignment="1">
      <alignment vertical="center"/>
    </xf>
    <xf numFmtId="0" fontId="61" fillId="22" borderId="126" xfId="3" applyFont="1" applyFill="1" applyBorder="1" applyAlignment="1">
      <alignment vertical="center"/>
    </xf>
    <xf numFmtId="0" fontId="61" fillId="22" borderId="124" xfId="3" applyFont="1" applyFill="1" applyBorder="1" applyAlignment="1">
      <alignment vertical="center"/>
    </xf>
    <xf numFmtId="0" fontId="61" fillId="0" borderId="123" xfId="3" applyFont="1" applyBorder="1" applyAlignment="1">
      <alignment vertical="center"/>
    </xf>
    <xf numFmtId="0" fontId="61" fillId="0" borderId="126" xfId="3" applyFont="1" applyBorder="1" applyAlignment="1">
      <alignment vertical="center"/>
    </xf>
    <xf numFmtId="0" fontId="61" fillId="0" borderId="182" xfId="3" applyFont="1" applyBorder="1" applyAlignment="1">
      <alignment vertical="center"/>
    </xf>
    <xf numFmtId="0" fontId="61" fillId="0" borderId="16" xfId="3" applyFont="1" applyBorder="1" applyAlignment="1">
      <alignment vertical="center"/>
    </xf>
    <xf numFmtId="0" fontId="61" fillId="0" borderId="3" xfId="3" applyFont="1" applyBorder="1" applyAlignment="1">
      <alignment vertical="center"/>
    </xf>
    <xf numFmtId="0" fontId="69" fillId="0" borderId="12" xfId="3" applyFont="1" applyBorder="1" applyAlignment="1" applyProtection="1">
      <alignment horizontal="centerContinuous" vertical="center"/>
      <protection hidden="1"/>
    </xf>
    <xf numFmtId="0" fontId="61" fillId="0" borderId="16" xfId="3" applyFont="1" applyBorder="1" applyAlignment="1" applyProtection="1">
      <alignment horizontal="centerContinuous" vertical="center"/>
      <protection hidden="1"/>
    </xf>
    <xf numFmtId="0" fontId="69" fillId="0" borderId="3" xfId="3" applyFont="1" applyBorder="1" applyAlignment="1" applyProtection="1">
      <alignment horizontal="centerContinuous" vertical="center"/>
      <protection hidden="1"/>
    </xf>
    <xf numFmtId="0" fontId="61" fillId="0" borderId="10" xfId="3" applyFont="1" applyBorder="1" applyAlignment="1" applyProtection="1">
      <alignment horizontal="centerContinuous" vertical="center"/>
      <protection hidden="1"/>
    </xf>
    <xf numFmtId="0" fontId="61" fillId="0" borderId="26" xfId="3" applyFont="1" applyBorder="1" applyAlignment="1">
      <alignment vertical="center"/>
    </xf>
    <xf numFmtId="0" fontId="69" fillId="0" borderId="10" xfId="3" applyFont="1" applyBorder="1" applyAlignment="1">
      <alignment horizontal="center" vertical="center"/>
    </xf>
    <xf numFmtId="0" fontId="69" fillId="0" borderId="3" xfId="3" applyFont="1" applyBorder="1" applyAlignment="1">
      <alignment horizontal="center" vertical="center"/>
    </xf>
    <xf numFmtId="0" fontId="69" fillId="0" borderId="3" xfId="3975" quotePrefix="1" applyFont="1" applyBorder="1" applyAlignment="1">
      <alignment horizontal="center" vertical="center"/>
    </xf>
    <xf numFmtId="0" fontId="61" fillId="0" borderId="3" xfId="3" applyFont="1" applyBorder="1" applyAlignment="1">
      <alignment horizontal="center" vertical="center"/>
    </xf>
    <xf numFmtId="0" fontId="69" fillId="0" borderId="125" xfId="3" applyFont="1" applyBorder="1" applyAlignment="1">
      <alignment horizontal="center" vertical="center" wrapText="1"/>
    </xf>
    <xf numFmtId="0" fontId="69" fillId="0" borderId="125" xfId="3975" applyFont="1" applyBorder="1" applyAlignment="1">
      <alignment horizontal="center" vertical="center" wrapText="1"/>
    </xf>
    <xf numFmtId="0" fontId="69" fillId="0" borderId="125" xfId="3" applyFont="1" applyBorder="1" applyAlignment="1">
      <alignment horizontal="center" vertical="center"/>
    </xf>
    <xf numFmtId="164" fontId="69" fillId="0" borderId="184" xfId="3" applyNumberFormat="1" applyFont="1" applyBorder="1" applyAlignment="1">
      <alignment horizontal="right" vertical="center"/>
    </xf>
    <xf numFmtId="0" fontId="61" fillId="0" borderId="21" xfId="3" applyFont="1" applyBorder="1" applyAlignment="1">
      <alignment horizontal="left" vertical="center"/>
    </xf>
    <xf numFmtId="0" fontId="61" fillId="0" borderId="14" xfId="3" applyFont="1" applyBorder="1" applyAlignment="1">
      <alignment horizontal="left" vertical="center"/>
    </xf>
    <xf numFmtId="0" fontId="61" fillId="0" borderId="2" xfId="3" applyFont="1" applyBorder="1" applyAlignment="1">
      <alignment horizontal="left" vertical="center" indent="1"/>
    </xf>
    <xf numFmtId="38" fontId="61" fillId="66" borderId="2" xfId="3" applyNumberFormat="1" applyFont="1" applyFill="1" applyBorder="1" applyAlignment="1" applyProtection="1">
      <alignment vertical="center" shrinkToFit="1"/>
      <protection locked="0"/>
    </xf>
    <xf numFmtId="0" fontId="61" fillId="15" borderId="2" xfId="3" applyFont="1" applyFill="1" applyBorder="1" applyAlignment="1">
      <alignment vertical="center" shrinkToFit="1"/>
    </xf>
    <xf numFmtId="38" fontId="61" fillId="16" borderId="2" xfId="3" applyNumberFormat="1" applyFont="1" applyFill="1" applyBorder="1" applyAlignment="1" applyProtection="1">
      <alignment vertical="center" shrinkToFit="1"/>
      <protection locked="0"/>
    </xf>
    <xf numFmtId="38" fontId="61" fillId="16" borderId="2" xfId="3" applyNumberFormat="1" applyFont="1" applyFill="1" applyBorder="1" applyAlignment="1">
      <alignment vertical="center" shrinkToFit="1"/>
    </xf>
    <xf numFmtId="38" fontId="61" fillId="0" borderId="2" xfId="3" applyNumberFormat="1" applyFont="1" applyBorder="1" applyAlignment="1" applyProtection="1">
      <alignment vertical="center" shrinkToFit="1"/>
      <protection locked="0"/>
    </xf>
    <xf numFmtId="0" fontId="61" fillId="0" borderId="2" xfId="3" applyFont="1" applyBorder="1" applyAlignment="1">
      <alignment horizontal="left" vertical="top" indent="1"/>
    </xf>
    <xf numFmtId="164" fontId="69" fillId="0" borderId="184" xfId="3" applyNumberFormat="1" applyFont="1" applyBorder="1" applyAlignment="1">
      <alignment vertical="top"/>
    </xf>
    <xf numFmtId="0" fontId="69" fillId="0" borderId="21" xfId="3" applyFont="1" applyBorder="1" applyAlignment="1">
      <alignment horizontal="left" vertical="center"/>
    </xf>
    <xf numFmtId="0" fontId="61" fillId="0" borderId="14" xfId="3" applyFont="1" applyBorder="1" applyAlignment="1">
      <alignment horizontal="center" vertical="center"/>
    </xf>
    <xf numFmtId="38" fontId="61" fillId="16" borderId="27" xfId="3" applyNumberFormat="1" applyFont="1" applyFill="1" applyBorder="1" applyAlignment="1">
      <alignment vertical="center" shrinkToFit="1"/>
    </xf>
    <xf numFmtId="0" fontId="61" fillId="15" borderId="125" xfId="3" applyFont="1" applyFill="1" applyBorder="1" applyAlignment="1">
      <alignment vertical="center" shrinkToFit="1"/>
    </xf>
    <xf numFmtId="9" fontId="61" fillId="16" borderId="125" xfId="3" applyNumberFormat="1" applyFont="1" applyFill="1" applyBorder="1" applyAlignment="1">
      <alignment horizontal="center" vertical="center" shrinkToFit="1"/>
    </xf>
    <xf numFmtId="0" fontId="61" fillId="0" borderId="180" xfId="3" applyFont="1" applyBorder="1" applyAlignment="1">
      <alignment horizontal="right" vertical="center"/>
    </xf>
    <xf numFmtId="0" fontId="61" fillId="0" borderId="0" xfId="3" applyFont="1" applyAlignment="1">
      <alignment horizontal="center" wrapText="1"/>
    </xf>
    <xf numFmtId="0" fontId="84" fillId="0" borderId="0" xfId="3" applyFont="1" applyAlignment="1">
      <alignment horizontal="center" vertical="center" wrapText="1"/>
    </xf>
    <xf numFmtId="0" fontId="61" fillId="0" borderId="0" xfId="3" applyFont="1" applyAlignment="1">
      <alignment vertical="center" shrinkToFit="1"/>
    </xf>
    <xf numFmtId="9" fontId="61" fillId="0" borderId="0" xfId="3" applyNumberFormat="1" applyFont="1" applyAlignment="1">
      <alignment horizontal="center" vertical="center" shrinkToFit="1"/>
    </xf>
    <xf numFmtId="0" fontId="61" fillId="0" borderId="0" xfId="3" applyFont="1" applyAlignment="1">
      <alignment horizontal="right" vertical="center"/>
    </xf>
    <xf numFmtId="0" fontId="69" fillId="0" borderId="180" xfId="3" applyFont="1" applyBorder="1" applyAlignment="1">
      <alignment vertical="center"/>
    </xf>
    <xf numFmtId="0" fontId="61" fillId="0" borderId="180" xfId="3" applyFont="1" applyBorder="1" applyAlignment="1" applyProtection="1">
      <alignment vertical="center"/>
      <protection hidden="1"/>
    </xf>
    <xf numFmtId="0" fontId="61" fillId="0" borderId="0" xfId="3" applyFont="1" applyAlignment="1" applyProtection="1">
      <alignment horizontal="right" vertical="center"/>
      <protection hidden="1"/>
    </xf>
    <xf numFmtId="0" fontId="61" fillId="0" borderId="0" xfId="3" applyFont="1" applyAlignment="1" applyProtection="1">
      <alignment vertical="center"/>
      <protection hidden="1"/>
    </xf>
    <xf numFmtId="0" fontId="84" fillId="0" borderId="180" xfId="3" applyFont="1" applyBorder="1" applyAlignment="1">
      <alignment vertical="center"/>
    </xf>
    <xf numFmtId="171" fontId="61" fillId="0" borderId="0" xfId="3" applyNumberFormat="1" applyFont="1" applyAlignment="1">
      <alignment horizontal="center"/>
    </xf>
    <xf numFmtId="0" fontId="84" fillId="0" borderId="131" xfId="3" applyFont="1" applyBorder="1" applyAlignment="1">
      <alignment horizontal="center" vertical="center"/>
    </xf>
    <xf numFmtId="0" fontId="61" fillId="0" borderId="131" xfId="3" applyFont="1" applyBorder="1" applyAlignment="1">
      <alignment vertical="center"/>
    </xf>
    <xf numFmtId="0" fontId="84" fillId="0" borderId="0" xfId="3" applyFont="1" applyAlignment="1">
      <alignment vertical="center" wrapText="1"/>
    </xf>
    <xf numFmtId="0" fontId="84" fillId="0" borderId="131" xfId="3" applyFont="1" applyBorder="1" applyAlignment="1">
      <alignment horizontal="center"/>
    </xf>
    <xf numFmtId="0" fontId="84" fillId="0" borderId="0" xfId="3" applyFont="1"/>
    <xf numFmtId="0" fontId="69" fillId="0" borderId="0" xfId="3" applyFont="1" applyAlignment="1">
      <alignment horizontal="right"/>
    </xf>
    <xf numFmtId="0" fontId="83" fillId="0" borderId="0" xfId="3" applyFont="1" applyAlignment="1">
      <alignment vertical="center"/>
    </xf>
    <xf numFmtId="0" fontId="69" fillId="0" borderId="0" xfId="3" applyFont="1" applyAlignment="1">
      <alignment vertical="center"/>
    </xf>
    <xf numFmtId="0" fontId="69" fillId="0" borderId="22" xfId="3" applyFont="1" applyBorder="1" applyAlignment="1" applyProtection="1">
      <alignment horizontal="center" vertical="center"/>
      <protection locked="0"/>
    </xf>
    <xf numFmtId="0" fontId="61" fillId="0" borderId="0" xfId="3" applyFont="1" applyAlignment="1" applyProtection="1">
      <alignment horizontal="left" vertical="top" wrapText="1" indent="2"/>
      <protection hidden="1"/>
    </xf>
    <xf numFmtId="0" fontId="61" fillId="0" borderId="0" xfId="3" applyFont="1" applyAlignment="1">
      <alignment horizontal="left" vertical="center" indent="2"/>
    </xf>
    <xf numFmtId="0" fontId="84" fillId="0" borderId="0" xfId="3" applyFont="1" applyAlignment="1">
      <alignment horizontal="centerContinuous" vertical="center"/>
    </xf>
    <xf numFmtId="0" fontId="93" fillId="0" borderId="0" xfId="2" applyNumberFormat="1" applyFont="1" applyBorder="1" applyAlignment="1" applyProtection="1">
      <alignment horizontal="centerContinuous" vertical="center"/>
    </xf>
    <xf numFmtId="0" fontId="61" fillId="0" borderId="0" xfId="3" quotePrefix="1" applyFont="1" applyAlignment="1" applyProtection="1">
      <alignment horizontal="left" vertical="top" wrapText="1" indent="2"/>
      <protection hidden="1"/>
    </xf>
    <xf numFmtId="0" fontId="61" fillId="0" borderId="185" xfId="3" applyFont="1" applyBorder="1" applyAlignment="1">
      <alignment vertical="center"/>
    </xf>
    <xf numFmtId="0" fontId="61" fillId="0" borderId="164" xfId="3" applyFont="1" applyBorder="1" applyAlignment="1">
      <alignment vertical="center"/>
    </xf>
    <xf numFmtId="0" fontId="61" fillId="0" borderId="186" xfId="3" applyFont="1" applyBorder="1" applyAlignment="1">
      <alignment vertical="center"/>
    </xf>
    <xf numFmtId="0" fontId="61" fillId="0" borderId="180" xfId="3975" applyFont="1" applyBorder="1"/>
    <xf numFmtId="0" fontId="61" fillId="0" borderId="0" xfId="3975" applyFont="1"/>
    <xf numFmtId="0" fontId="61" fillId="0" borderId="181" xfId="3975" applyFont="1" applyBorder="1"/>
    <xf numFmtId="0" fontId="61" fillId="0" borderId="180" xfId="3975" applyFont="1" applyBorder="1" applyAlignment="1">
      <alignment wrapText="1"/>
    </xf>
    <xf numFmtId="0" fontId="61" fillId="0" borderId="0" xfId="3975" applyFont="1" applyAlignment="1">
      <alignment wrapText="1"/>
    </xf>
    <xf numFmtId="0" fontId="61" fillId="0" borderId="181" xfId="3975" applyFont="1" applyBorder="1" applyAlignment="1">
      <alignment wrapText="1"/>
    </xf>
    <xf numFmtId="0" fontId="186" fillId="0" borderId="180" xfId="3975" applyFont="1" applyBorder="1"/>
    <xf numFmtId="0" fontId="92" fillId="0" borderId="0" xfId="3975" applyFont="1"/>
    <xf numFmtId="0" fontId="103" fillId="0" borderId="0" xfId="3975" applyFont="1" applyAlignment="1">
      <alignment wrapText="1"/>
    </xf>
    <xf numFmtId="0" fontId="103" fillId="0" borderId="181" xfId="3975" applyFont="1" applyBorder="1" applyAlignment="1">
      <alignment wrapText="1"/>
    </xf>
    <xf numFmtId="0" fontId="61" fillId="67" borderId="77" xfId="3975" applyFont="1" applyFill="1" applyBorder="1"/>
    <xf numFmtId="0" fontId="105" fillId="0" borderId="77" xfId="3975" applyFont="1" applyBorder="1" applyAlignment="1">
      <alignment horizontal="center" wrapText="1"/>
    </xf>
    <xf numFmtId="0" fontId="61" fillId="67" borderId="77" xfId="3975" applyFont="1" applyFill="1" applyBorder="1" applyAlignment="1">
      <alignment horizontal="center"/>
    </xf>
    <xf numFmtId="0" fontId="105" fillId="0" borderId="194" xfId="3975" applyFont="1" applyBorder="1" applyAlignment="1">
      <alignment horizontal="center" wrapText="1"/>
    </xf>
    <xf numFmtId="0" fontId="61" fillId="0" borderId="196" xfId="3975" applyFont="1" applyBorder="1" applyAlignment="1">
      <alignment horizontal="center"/>
    </xf>
    <xf numFmtId="38" fontId="69" fillId="66" borderId="197" xfId="3975" applyNumberFormat="1" applyFont="1" applyFill="1" applyBorder="1" applyAlignment="1" applyProtection="1">
      <alignment horizontal="center"/>
      <protection locked="0"/>
    </xf>
    <xf numFmtId="38" fontId="61" fillId="67" borderId="0" xfId="3975" applyNumberFormat="1" applyFont="1" applyFill="1" applyAlignment="1">
      <alignment horizontal="center"/>
    </xf>
    <xf numFmtId="38" fontId="61" fillId="0" borderId="198" xfId="3975" applyNumberFormat="1" applyFont="1" applyBorder="1" applyAlignment="1" applyProtection="1">
      <alignment horizontal="center"/>
      <protection locked="0"/>
    </xf>
    <xf numFmtId="38" fontId="61" fillId="0" borderId="196" xfId="3975" applyNumberFormat="1" applyFont="1" applyBorder="1" applyAlignment="1" applyProtection="1">
      <alignment horizontal="center"/>
      <protection locked="0"/>
    </xf>
    <xf numFmtId="38" fontId="69" fillId="16" borderId="199" xfId="3975" applyNumberFormat="1" applyFont="1" applyFill="1" applyBorder="1" applyAlignment="1">
      <alignment horizontal="center" wrapText="1"/>
    </xf>
    <xf numFmtId="0" fontId="61" fillId="0" borderId="201" xfId="3975" applyFont="1" applyBorder="1" applyAlignment="1">
      <alignment horizontal="center"/>
    </xf>
    <xf numFmtId="38" fontId="61" fillId="0" borderId="202" xfId="3975" applyNumberFormat="1" applyFont="1" applyBorder="1" applyAlignment="1" applyProtection="1">
      <alignment horizontal="center"/>
      <protection locked="0"/>
    </xf>
    <xf numFmtId="38" fontId="61" fillId="0" borderId="201" xfId="3975" applyNumberFormat="1" applyFont="1" applyBorder="1" applyAlignment="1" applyProtection="1">
      <alignment horizontal="center"/>
      <protection locked="0"/>
    </xf>
    <xf numFmtId="0" fontId="61" fillId="0" borderId="204" xfId="3975" applyFont="1" applyBorder="1" applyAlignment="1">
      <alignment horizontal="center"/>
    </xf>
    <xf numFmtId="38" fontId="61" fillId="0" borderId="205" xfId="3975" applyNumberFormat="1" applyFont="1" applyBorder="1" applyAlignment="1" applyProtection="1">
      <alignment horizontal="center"/>
      <protection locked="0"/>
    </xf>
    <xf numFmtId="38" fontId="61" fillId="0" borderId="204" xfId="3975" applyNumberFormat="1" applyFont="1" applyBorder="1" applyAlignment="1" applyProtection="1">
      <alignment horizontal="center"/>
      <protection locked="0"/>
    </xf>
    <xf numFmtId="38" fontId="69" fillId="16" borderId="77" xfId="3975" applyNumberFormat="1" applyFont="1" applyFill="1" applyBorder="1" applyAlignment="1">
      <alignment horizontal="center"/>
    </xf>
    <xf numFmtId="38" fontId="69" fillId="67" borderId="77" xfId="3975" applyNumberFormat="1" applyFont="1" applyFill="1" applyBorder="1" applyAlignment="1">
      <alignment horizontal="center"/>
    </xf>
    <xf numFmtId="38" fontId="69" fillId="16" borderId="194" xfId="3975" applyNumberFormat="1" applyFont="1" applyFill="1" applyBorder="1" applyAlignment="1">
      <alignment horizontal="center"/>
    </xf>
    <xf numFmtId="0" fontId="104" fillId="0" borderId="180" xfId="3975" applyFont="1" applyBorder="1"/>
    <xf numFmtId="0" fontId="104" fillId="0" borderId="0" xfId="3975" applyFont="1"/>
    <xf numFmtId="0" fontId="187" fillId="0" borderId="0" xfId="3975" applyFont="1"/>
    <xf numFmtId="0" fontId="104" fillId="0" borderId="181" xfId="3975" applyFont="1" applyBorder="1"/>
    <xf numFmtId="0" fontId="103" fillId="0" borderId="180" xfId="3975" applyFont="1" applyBorder="1"/>
    <xf numFmtId="0" fontId="104" fillId="0" borderId="185" xfId="3975" applyFont="1" applyBorder="1"/>
    <xf numFmtId="0" fontId="104" fillId="0" borderId="164" xfId="3975" applyFont="1" applyBorder="1"/>
    <xf numFmtId="0" fontId="104" fillId="0" borderId="186" xfId="3975" applyFont="1" applyBorder="1"/>
    <xf numFmtId="0" fontId="111" fillId="0" borderId="0" xfId="3976" applyFont="1" applyFill="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38" fontId="2" fillId="16" borderId="155" xfId="19" applyNumberFormat="1" applyFont="1" applyFill="1" applyBorder="1" applyAlignment="1" applyProtection="1">
      <alignment horizontal="right" vertical="top"/>
    </xf>
    <xf numFmtId="0" fontId="2" fillId="0" borderId="155" xfId="3984" applyBorder="1" applyAlignment="1" applyProtection="1">
      <alignment horizontal="left" vertical="top" wrapText="1"/>
      <protection locked="0"/>
    </xf>
    <xf numFmtId="184" fontId="2" fillId="0" borderId="155" xfId="3984" applyNumberFormat="1" applyFont="1" applyBorder="1" applyAlignment="1" applyProtection="1">
      <alignment horizontal="center" vertical="top"/>
      <protection locked="0"/>
    </xf>
    <xf numFmtId="0" fontId="2" fillId="0" borderId="155" xfId="3984" applyFont="1" applyBorder="1" applyAlignment="1" applyProtection="1">
      <alignment vertical="top"/>
      <protection locked="0"/>
    </xf>
    <xf numFmtId="38" fontId="2" fillId="0" borderId="155" xfId="3984" applyNumberFormat="1" applyBorder="1" applyAlignment="1" applyProtection="1">
      <alignment horizontal="right" vertical="top"/>
      <protection locked="0"/>
    </xf>
    <xf numFmtId="38" fontId="2" fillId="16" borderId="155" xfId="3984" applyNumberFormat="1" applyFill="1" applyBorder="1" applyAlignment="1" applyProtection="1">
      <alignment horizontal="right" vertical="top"/>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18"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8"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18" fillId="0" borderId="20" xfId="12" applyFont="1" applyBorder="1" applyAlignment="1" applyProtection="1">
      <alignment vertical="center"/>
    </xf>
    <xf numFmtId="180" fontId="17" fillId="0" borderId="19" xfId="12"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17" fillId="0" borderId="18" xfId="0"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9" xfId="12" applyNumberFormat="1" applyFont="1" applyBorder="1" applyAlignment="1" applyProtection="1">
      <alignment horizontal="left" vertical="center"/>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4" xfId="12" applyFont="1" applyBorder="1" applyAlignment="1" applyProtection="1">
      <alignment horizontal="left" vertical="center" indent="1"/>
      <protection locked="0"/>
    </xf>
    <xf numFmtId="0" fontId="17" fillId="0" borderId="124"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protection locked="0"/>
    </xf>
    <xf numFmtId="14" fontId="17" fillId="0" borderId="123"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8" fillId="0" borderId="132"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82" fillId="11" borderId="118" xfId="0" applyFont="1" applyFill="1" applyBorder="1" applyAlignment="1">
      <alignment horizontal="center" vertical="center" shrinkToFit="1"/>
    </xf>
    <xf numFmtId="0" fontId="82" fillId="11" borderId="163" xfId="0" applyFont="1" applyFill="1" applyBorder="1" applyAlignment="1">
      <alignment horizontal="center" vertical="center" shrinkToFit="1"/>
    </xf>
    <xf numFmtId="0" fontId="66" fillId="13" borderId="117" xfId="0" applyFont="1" applyFill="1" applyBorder="1" applyAlignment="1" applyProtection="1">
      <alignment horizontal="center" vertical="center" shrinkToFit="1"/>
    </xf>
    <xf numFmtId="0" fontId="66" fillId="13" borderId="110"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4" xfId="0" applyFont="1" applyFill="1" applyBorder="1" applyAlignment="1" applyProtection="1">
      <alignment horizontal="center" vertical="center" wrapText="1"/>
    </xf>
    <xf numFmtId="3" fontId="68" fillId="22" borderId="13" xfId="0" applyNumberFormat="1" applyFont="1" applyFill="1" applyBorder="1" applyAlignment="1" applyProtection="1">
      <alignment horizontal="left" vertical="center"/>
    </xf>
    <xf numFmtId="3" fontId="68" fillId="22" borderId="14" xfId="0" applyNumberFormat="1" applyFont="1" applyFill="1" applyBorder="1" applyAlignment="1" applyProtection="1">
      <alignment horizontal="left" vertical="center"/>
    </xf>
    <xf numFmtId="164" fontId="68" fillId="22" borderId="49" xfId="0" applyNumberFormat="1" applyFont="1" applyFill="1" applyBorder="1" applyAlignment="1" applyProtection="1">
      <alignment horizontal="left" vertical="center"/>
    </xf>
    <xf numFmtId="164" fontId="68" fillId="22" borderId="31" xfId="0" applyNumberFormat="1" applyFont="1" applyFill="1" applyBorder="1" applyAlignment="1" applyProtection="1">
      <alignment horizontal="left" vertical="center"/>
    </xf>
    <xf numFmtId="0" fontId="68" fillId="22" borderId="34" xfId="0" applyFont="1" applyFill="1" applyBorder="1" applyAlignment="1" applyProtection="1">
      <alignment horizontal="left" vertical="center"/>
    </xf>
    <xf numFmtId="0" fontId="68" fillId="22" borderId="31" xfId="0" applyFont="1" applyFill="1" applyBorder="1" applyAlignment="1" applyProtection="1">
      <alignment horizontal="left" vertical="center"/>
    </xf>
    <xf numFmtId="164" fontId="68" fillId="22" borderId="13" xfId="0" applyNumberFormat="1" applyFont="1" applyFill="1" applyBorder="1" applyAlignment="1" applyProtection="1">
      <alignment horizontal="left" vertical="center"/>
    </xf>
    <xf numFmtId="164" fontId="68" fillId="22"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4"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4" borderId="13" xfId="0" applyNumberFormat="1" applyFont="1" applyFill="1" applyBorder="1" applyAlignment="1" applyProtection="1">
      <alignment horizontal="left" vertical="center" wrapText="1" indent="1"/>
    </xf>
    <xf numFmtId="164" fontId="68" fillId="24"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2" borderId="13" xfId="0" applyNumberFormat="1" applyFont="1" applyFill="1" applyBorder="1" applyAlignment="1" applyProtection="1">
      <alignment horizontal="left" vertical="center"/>
    </xf>
    <xf numFmtId="49" fontId="68" fillId="22" borderId="14" xfId="0" applyNumberFormat="1" applyFont="1" applyFill="1" applyBorder="1" applyAlignment="1" applyProtection="1">
      <alignment horizontal="left" vertical="center"/>
    </xf>
    <xf numFmtId="0" fontId="68" fillId="22" borderId="13" xfId="0" applyFont="1" applyFill="1" applyBorder="1" applyAlignment="1" applyProtection="1">
      <alignment vertical="center"/>
    </xf>
    <xf numFmtId="0" fontId="68" fillId="22"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2" borderId="19" xfId="0" applyFont="1" applyFill="1" applyBorder="1" applyAlignment="1">
      <alignment horizontal="center" vertical="center"/>
    </xf>
    <xf numFmtId="0" fontId="61" fillId="22" borderId="11" xfId="0" applyFont="1" applyFill="1" applyBorder="1" applyAlignment="1">
      <alignment horizontal="center" vertical="center"/>
    </xf>
    <xf numFmtId="0" fontId="69" fillId="23" borderId="20" xfId="0" applyFont="1" applyFill="1" applyBorder="1" applyAlignment="1">
      <alignment horizontal="center" vertical="center"/>
    </xf>
    <xf numFmtId="0" fontId="69" fillId="23" borderId="11" xfId="0" applyFont="1" applyFill="1" applyBorder="1" applyAlignment="1">
      <alignment horizontal="center" vertical="center"/>
    </xf>
    <xf numFmtId="0" fontId="61" fillId="23" borderId="11" xfId="0" applyFont="1" applyFill="1" applyBorder="1" applyAlignment="1">
      <alignment horizontal="center" vertical="center"/>
    </xf>
    <xf numFmtId="0" fontId="69" fillId="22" borderId="107" xfId="0" applyFont="1" applyFill="1" applyBorder="1" applyAlignment="1">
      <alignment horizontal="center" vertical="center"/>
    </xf>
    <xf numFmtId="0" fontId="61" fillId="22" borderId="129" xfId="0" applyFont="1" applyFill="1" applyBorder="1" applyAlignment="1">
      <alignment horizontal="center" vertical="center"/>
    </xf>
    <xf numFmtId="0" fontId="69" fillId="22"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2" borderId="20" xfId="0" applyFont="1" applyFill="1" applyBorder="1" applyAlignment="1">
      <alignment horizontal="center" vertical="center" wrapText="1"/>
    </xf>
    <xf numFmtId="0" fontId="61" fillId="22" borderId="11" xfId="0" applyFont="1" applyFill="1" applyBorder="1" applyAlignment="1">
      <alignment horizontal="center" vertical="center" wrapText="1"/>
    </xf>
    <xf numFmtId="3" fontId="69" fillId="22" borderId="13" xfId="0" applyNumberFormat="1" applyFont="1" applyFill="1" applyBorder="1" applyAlignment="1">
      <alignment horizontal="center" vertical="center"/>
    </xf>
    <xf numFmtId="0" fontId="61" fillId="22" borderId="14" xfId="0" applyFont="1" applyFill="1" applyBorder="1" applyAlignment="1">
      <alignment horizontal="center" vertical="center"/>
    </xf>
    <xf numFmtId="0" fontId="69" fillId="22"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4"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5" xfId="0" applyFont="1" applyBorder="1" applyAlignment="1" applyProtection="1">
      <alignment horizontal="left" vertical="center" wrapText="1" indent="1"/>
    </xf>
    <xf numFmtId="0" fontId="66" fillId="0" borderId="146"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protection hidden="1"/>
    </xf>
    <xf numFmtId="0" fontId="68" fillId="16" borderId="145" xfId="0" applyFont="1" applyFill="1" applyBorder="1" applyAlignment="1" applyProtection="1">
      <alignment horizontal="left" vertical="center" indent="1"/>
      <protection hidden="1"/>
    </xf>
    <xf numFmtId="0" fontId="68" fillId="3" borderId="145" xfId="0" applyFont="1" applyFill="1" applyBorder="1" applyAlignment="1" applyProtection="1">
      <alignment horizontal="left" vertical="center"/>
    </xf>
    <xf numFmtId="0" fontId="68" fillId="3" borderId="146"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2" borderId="144" xfId="0" applyFont="1" applyFill="1" applyBorder="1" applyAlignment="1" applyProtection="1">
      <alignment horizontal="left" vertical="center" indent="1"/>
    </xf>
    <xf numFmtId="0" fontId="69" fillId="22" borderId="145" xfId="0" applyFont="1" applyFill="1" applyBorder="1" applyAlignment="1" applyProtection="1">
      <alignment horizontal="left" vertical="center" indent="1"/>
    </xf>
    <xf numFmtId="0" fontId="69" fillId="22" borderId="146"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2" borderId="92" xfId="10" applyFont="1" applyFill="1" applyBorder="1" applyAlignment="1" applyProtection="1">
      <alignment horizontal="center" vertical="center" wrapText="1"/>
      <protection hidden="1"/>
    </xf>
    <xf numFmtId="0" fontId="69" fillId="22" borderId="25" xfId="0" applyFont="1" applyFill="1" applyBorder="1" applyAlignment="1" applyProtection="1">
      <alignment horizontal="center" vertical="center" wrapText="1"/>
      <protection hidden="1"/>
    </xf>
    <xf numFmtId="0" fontId="69" fillId="22" borderId="93" xfId="0" applyFont="1" applyFill="1" applyBorder="1" applyAlignment="1" applyProtection="1">
      <alignment horizontal="center" vertical="center" wrapText="1"/>
      <protection hidden="1"/>
    </xf>
    <xf numFmtId="0" fontId="133" fillId="22" borderId="94" xfId="10" applyFont="1" applyFill="1" applyBorder="1" applyAlignment="1">
      <alignment horizontal="center" vertical="center"/>
    </xf>
    <xf numFmtId="0" fontId="59" fillId="22" borderId="47" xfId="0" applyFont="1" applyFill="1" applyBorder="1" applyAlignment="1">
      <alignment horizontal="center" vertical="center"/>
    </xf>
    <xf numFmtId="0" fontId="59" fillId="22"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7" xfId="19" applyFont="1" applyFill="1" applyBorder="1" applyAlignment="1" applyProtection="1">
      <alignment horizontal="left" vertical="top" wrapText="1"/>
      <protection hidden="1"/>
    </xf>
    <xf numFmtId="0" fontId="130" fillId="22" borderId="138" xfId="19" applyFont="1" applyFill="1" applyBorder="1" applyAlignment="1">
      <alignment horizontal="center" vertical="center"/>
    </xf>
    <xf numFmtId="0" fontId="130" fillId="22" borderId="139" xfId="19" applyFont="1" applyFill="1" applyBorder="1" applyAlignment="1">
      <alignment horizontal="center" vertical="center"/>
    </xf>
    <xf numFmtId="0" fontId="130" fillId="22" borderId="140" xfId="19" applyFont="1" applyFill="1" applyBorder="1" applyAlignment="1">
      <alignment horizontal="center" vertical="center"/>
    </xf>
    <xf numFmtId="0" fontId="130" fillId="22" borderId="98" xfId="19" applyFont="1" applyFill="1" applyBorder="1" applyAlignment="1">
      <alignment horizontal="center" vertical="center"/>
    </xf>
    <xf numFmtId="0" fontId="130" fillId="22" borderId="78" xfId="19" applyFont="1" applyFill="1" applyBorder="1" applyAlignment="1">
      <alignment horizontal="center" vertical="center"/>
    </xf>
    <xf numFmtId="0" fontId="130" fillId="22" borderId="99" xfId="19" applyFont="1" applyFill="1" applyBorder="1" applyAlignment="1">
      <alignment horizontal="center" vertical="center"/>
    </xf>
    <xf numFmtId="0" fontId="131" fillId="0" borderId="96" xfId="19" applyFont="1" applyBorder="1" applyAlignment="1">
      <alignment vertical="top" wrapText="1"/>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9" xfId="18" applyFont="1" applyBorder="1" applyAlignment="1" applyProtection="1">
      <alignment horizontal="center" vertical="top" wrapText="1"/>
      <protection locked="0"/>
    </xf>
    <xf numFmtId="0" fontId="53" fillId="0" borderId="140"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105" fillId="22" borderId="0" xfId="18" applyFont="1" applyFill="1" applyAlignment="1">
      <alignment horizontal="center" vertical="center"/>
    </xf>
    <xf numFmtId="0" fontId="77" fillId="0" borderId="135"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9" xfId="18" applyFont="1" applyBorder="1" applyAlignment="1" applyProtection="1">
      <alignment horizontal="center" vertical="top" wrapText="1"/>
      <protection locked="0"/>
    </xf>
    <xf numFmtId="0" fontId="10" fillId="0" borderId="140" xfId="18" applyFont="1" applyBorder="1" applyAlignment="1" applyProtection="1">
      <alignment horizontal="center" vertical="top" wrapText="1"/>
      <protection locked="0"/>
    </xf>
    <xf numFmtId="0" fontId="188" fillId="0" borderId="0" xfId="3974" applyFont="1" applyAlignment="1">
      <alignment horizontal="left" vertical="center" wrapText="1"/>
    </xf>
    <xf numFmtId="0" fontId="105" fillId="0" borderId="0" xfId="3975" applyFont="1" applyAlignment="1">
      <alignment horizontal="center" vertical="top" wrapText="1"/>
    </xf>
    <xf numFmtId="0" fontId="105" fillId="0" borderId="181" xfId="3975" applyFont="1" applyBorder="1" applyAlignment="1">
      <alignment horizontal="center" vertical="top" wrapText="1"/>
    </xf>
    <xf numFmtId="0" fontId="188" fillId="0" borderId="164" xfId="3974" applyFont="1" applyBorder="1" applyAlignment="1">
      <alignment horizontal="left" vertical="center" wrapText="1"/>
    </xf>
    <xf numFmtId="0" fontId="61" fillId="0" borderId="200" xfId="3975" applyFont="1" applyBorder="1"/>
    <xf numFmtId="0" fontId="61" fillId="0" borderId="201" xfId="3975" applyFont="1" applyBorder="1"/>
    <xf numFmtId="0" fontId="61" fillId="0" borderId="203" xfId="3975" applyFont="1" applyBorder="1"/>
    <xf numFmtId="0" fontId="61" fillId="0" borderId="204" xfId="3975" applyFont="1" applyBorder="1"/>
    <xf numFmtId="0" fontId="69" fillId="0" borderId="192" xfId="3975" applyFont="1" applyBorder="1"/>
    <xf numFmtId="0" fontId="69" fillId="0" borderId="77" xfId="3975" applyFont="1" applyBorder="1"/>
    <xf numFmtId="0" fontId="188" fillId="0" borderId="181" xfId="3974" applyFont="1" applyBorder="1" applyAlignment="1">
      <alignment horizontal="left" vertical="center" wrapText="1"/>
    </xf>
    <xf numFmtId="166" fontId="61" fillId="0" borderId="21" xfId="3" applyNumberFormat="1" applyFont="1" applyBorder="1" applyAlignment="1">
      <alignment horizontal="left" vertical="center" indent="1"/>
    </xf>
    <xf numFmtId="166" fontId="61" fillId="0" borderId="191" xfId="3" applyNumberFormat="1" applyFont="1" applyBorder="1" applyAlignment="1">
      <alignment horizontal="left" vertical="center" indent="1"/>
    </xf>
    <xf numFmtId="0" fontId="61" fillId="67" borderId="192" xfId="3975" applyFont="1" applyFill="1" applyBorder="1"/>
    <xf numFmtId="0" fontId="61" fillId="67" borderId="77" xfId="3975" applyFont="1" applyFill="1" applyBorder="1"/>
    <xf numFmtId="0" fontId="69" fillId="0" borderId="172" xfId="3975" applyFont="1" applyBorder="1" applyAlignment="1">
      <alignment horizontal="center" wrapText="1"/>
    </xf>
    <xf numFmtId="0" fontId="69" fillId="0" borderId="179" xfId="3975" applyFont="1" applyBorder="1" applyAlignment="1">
      <alignment horizontal="center" wrapText="1"/>
    </xf>
    <xf numFmtId="0" fontId="105" fillId="0" borderId="193" xfId="3975" applyFont="1" applyBorder="1" applyAlignment="1">
      <alignment horizontal="center"/>
    </xf>
    <xf numFmtId="0" fontId="105" fillId="0" borderId="78" xfId="3975" applyFont="1" applyBorder="1" applyAlignment="1">
      <alignment horizontal="center"/>
    </xf>
    <xf numFmtId="0" fontId="105" fillId="0" borderId="99" xfId="3975" applyFont="1" applyBorder="1" applyAlignment="1">
      <alignment horizontal="center"/>
    </xf>
    <xf numFmtId="0" fontId="61" fillId="0" borderId="195" xfId="3975" applyFont="1" applyBorder="1"/>
    <xf numFmtId="0" fontId="61" fillId="0" borderId="196" xfId="3975" applyFont="1" applyBorder="1"/>
    <xf numFmtId="0" fontId="61" fillId="0" borderId="200" xfId="3975" applyFont="1" applyBorder="1" applyAlignment="1">
      <alignment wrapText="1"/>
    </xf>
    <xf numFmtId="0" fontId="61" fillId="0" borderId="201" xfId="3975" applyFont="1" applyBorder="1" applyAlignment="1">
      <alignment wrapText="1"/>
    </xf>
    <xf numFmtId="0" fontId="61" fillId="0" borderId="126" xfId="3" applyFont="1" applyBorder="1" applyAlignment="1">
      <alignment horizontal="left" vertical="center" indent="1"/>
    </xf>
    <xf numFmtId="0" fontId="61" fillId="0" borderId="190" xfId="3" applyFont="1" applyBorder="1" applyAlignment="1">
      <alignment horizontal="left" vertical="center"/>
    </xf>
    <xf numFmtId="0" fontId="61" fillId="0" borderId="132" xfId="3" applyFont="1" applyBorder="1" applyAlignment="1" applyProtection="1">
      <alignment horizontal="center" vertical="center"/>
      <protection locked="0"/>
    </xf>
    <xf numFmtId="171" fontId="61" fillId="0" borderId="132" xfId="3" applyNumberFormat="1" applyFont="1" applyBorder="1" applyAlignment="1" applyProtection="1">
      <alignment horizontal="center"/>
      <protection locked="0"/>
    </xf>
    <xf numFmtId="0" fontId="84" fillId="0" borderId="131" xfId="3" applyFont="1" applyBorder="1" applyAlignment="1">
      <alignment horizontal="center" vertical="center" wrapText="1"/>
    </xf>
    <xf numFmtId="0" fontId="61" fillId="0" borderId="132" xfId="3" applyFont="1" applyBorder="1" applyAlignment="1" applyProtection="1">
      <alignment horizontal="center"/>
      <protection locked="0"/>
    </xf>
    <xf numFmtId="0" fontId="84" fillId="0" borderId="131" xfId="3" applyFont="1" applyBorder="1" applyAlignment="1">
      <alignment horizontal="center"/>
    </xf>
    <xf numFmtId="0" fontId="61" fillId="0" borderId="0" xfId="3" applyFont="1" applyAlignment="1" applyProtection="1">
      <alignment horizontal="left" vertical="top" wrapText="1" indent="2"/>
      <protection hidden="1"/>
    </xf>
    <xf numFmtId="0" fontId="61" fillId="0" borderId="5" xfId="3" quotePrefix="1" applyFont="1" applyBorder="1" applyAlignment="1" applyProtection="1">
      <alignment horizontal="left" vertical="top" wrapText="1" indent="2"/>
      <protection hidden="1"/>
    </xf>
    <xf numFmtId="0" fontId="61" fillId="0" borderId="0" xfId="3" quotePrefix="1" applyFont="1" applyAlignment="1" applyProtection="1">
      <alignment horizontal="left" vertical="top" wrapText="1" indent="2"/>
      <protection hidden="1"/>
    </xf>
    <xf numFmtId="0" fontId="185" fillId="0" borderId="187" xfId="3975" applyFont="1" applyBorder="1" applyAlignment="1">
      <alignment horizontal="center"/>
    </xf>
    <xf numFmtId="0" fontId="185" fillId="0" borderId="188" xfId="3975" applyFont="1" applyBorder="1" applyAlignment="1">
      <alignment horizontal="center"/>
    </xf>
    <xf numFmtId="0" fontId="185" fillId="0" borderId="189" xfId="3975" applyFont="1" applyBorder="1" applyAlignment="1">
      <alignment horizontal="center"/>
    </xf>
    <xf numFmtId="0" fontId="61" fillId="0" borderId="180" xfId="3975" applyFont="1" applyBorder="1" applyAlignment="1">
      <alignment wrapText="1"/>
    </xf>
    <xf numFmtId="0" fontId="61" fillId="0" borderId="0" xfId="3975" applyFont="1" applyAlignment="1">
      <alignment wrapText="1"/>
    </xf>
    <xf numFmtId="0" fontId="61" fillId="0" borderId="181" xfId="3975" applyFont="1" applyBorder="1" applyAlignment="1">
      <alignment wrapText="1"/>
    </xf>
    <xf numFmtId="0" fontId="69" fillId="0" borderId="21" xfId="3" applyFont="1" applyBorder="1" applyAlignment="1" applyProtection="1">
      <alignment vertical="center"/>
      <protection hidden="1"/>
    </xf>
    <xf numFmtId="0" fontId="69" fillId="0" borderId="14" xfId="3" applyFont="1" applyBorder="1" applyAlignment="1" applyProtection="1">
      <alignment vertical="center"/>
      <protection hidden="1"/>
    </xf>
    <xf numFmtId="0" fontId="69" fillId="66" borderId="78" xfId="3" applyFont="1" applyFill="1" applyBorder="1" applyAlignment="1" applyProtection="1">
      <alignment horizontal="left" vertical="center" indent="1"/>
      <protection locked="0"/>
    </xf>
    <xf numFmtId="0" fontId="69" fillId="66" borderId="78" xfId="3" applyFont="1" applyFill="1" applyBorder="1" applyAlignment="1" applyProtection="1">
      <alignment horizontal="left" vertical="center"/>
      <protection locked="0"/>
    </xf>
    <xf numFmtId="0" fontId="61" fillId="22" borderId="180" xfId="3" applyFont="1" applyFill="1" applyBorder="1" applyAlignment="1">
      <alignment horizontal="left" vertical="top" wrapText="1"/>
    </xf>
    <xf numFmtId="0" fontId="61" fillId="22" borderId="0" xfId="3" applyFont="1" applyFill="1" applyAlignment="1">
      <alignment vertical="top"/>
    </xf>
    <xf numFmtId="0" fontId="61" fillId="22" borderId="18" xfId="3" applyFont="1" applyFill="1" applyBorder="1" applyAlignment="1">
      <alignment vertical="top"/>
    </xf>
    <xf numFmtId="166" fontId="69" fillId="66" borderId="76" xfId="3" applyNumberFormat="1" applyFont="1" applyFill="1" applyBorder="1" applyAlignment="1" applyProtection="1">
      <alignment horizontal="left" vertical="center" indent="1"/>
      <protection locked="0"/>
    </xf>
    <xf numFmtId="0" fontId="69" fillId="0" borderId="183" xfId="3" applyFont="1" applyBorder="1" applyAlignment="1">
      <alignment horizontal="center" vertical="center"/>
    </xf>
    <xf numFmtId="0" fontId="61" fillId="0" borderId="126" xfId="3" applyFont="1" applyBorder="1" applyAlignment="1">
      <alignment horizontal="center" vertical="center"/>
    </xf>
    <xf numFmtId="0" fontId="61" fillId="0" borderId="124" xfId="3" applyFont="1" applyBorder="1" applyAlignment="1">
      <alignment horizontal="center" vertical="center"/>
    </xf>
    <xf numFmtId="0" fontId="61" fillId="0" borderId="21" xfId="3" applyFont="1" applyBorder="1" applyAlignment="1">
      <alignment horizontal="left" vertical="center" wrapText="1"/>
    </xf>
    <xf numFmtId="0" fontId="61" fillId="0" borderId="14" xfId="3" applyFont="1" applyBorder="1" applyAlignment="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3" xfId="0" applyFont="1" applyFill="1" applyBorder="1" applyAlignment="1">
      <alignment horizontal="center" vertical="center"/>
    </xf>
    <xf numFmtId="0" fontId="116" fillId="12" borderId="126" xfId="0" applyFont="1" applyFill="1" applyBorder="1" applyAlignment="1">
      <alignment horizontal="center" vertical="center"/>
    </xf>
    <xf numFmtId="0" fontId="116" fillId="12" borderId="151"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3" xfId="0" applyNumberFormat="1" applyFont="1" applyFill="1" applyBorder="1" applyAlignment="1">
      <alignment horizontal="center" vertical="top"/>
    </xf>
    <xf numFmtId="164" fontId="117" fillId="12" borderId="126" xfId="0" applyNumberFormat="1" applyFont="1" applyFill="1" applyBorder="1" applyAlignment="1">
      <alignment horizontal="center" vertical="top"/>
    </xf>
    <xf numFmtId="164" fontId="117" fillId="12" borderId="151"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6" xfId="0" applyNumberFormat="1" applyFont="1" applyBorder="1" applyAlignment="1">
      <alignment horizontal="left" vertical="center" wrapText="1"/>
    </xf>
    <xf numFmtId="0" fontId="61" fillId="0" borderId="124"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4" xfId="3" applyNumberFormat="1" applyFont="1" applyBorder="1" applyProtection="1"/>
    <xf numFmtId="0" fontId="59" fillId="0" borderId="145"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5" xfId="3" applyNumberFormat="1"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7"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8"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7" xfId="3" applyNumberFormat="1" applyFont="1" applyBorder="1" applyAlignment="1" applyProtection="1">
      <protection locked="0"/>
    </xf>
    <xf numFmtId="0" fontId="69" fillId="0" borderId="148" xfId="3" applyFont="1" applyBorder="1" applyAlignment="1" applyProtection="1">
      <protection locked="0"/>
    </xf>
    <xf numFmtId="0" fontId="66" fillId="0" borderId="0" xfId="3" applyFont="1" applyBorder="1" applyAlignment="1" applyProtection="1">
      <alignment horizontal="left" vertical="top" wrapText="1"/>
    </xf>
    <xf numFmtId="0" fontId="66" fillId="0" borderId="147"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8"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7" xfId="3" applyFont="1" applyBorder="1" applyAlignment="1" applyProtection="1">
      <alignment horizontal="center"/>
    </xf>
    <xf numFmtId="0" fontId="66" fillId="0" borderId="76" xfId="3" applyFont="1" applyBorder="1" applyAlignment="1" applyProtection="1">
      <alignment horizontal="center"/>
    </xf>
    <xf numFmtId="0" fontId="66" fillId="0" borderId="148" xfId="3" applyFont="1" applyBorder="1" applyAlignment="1" applyProtection="1">
      <alignment horizontal="center"/>
    </xf>
    <xf numFmtId="38" fontId="66" fillId="0" borderId="147"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8" xfId="3" applyNumberFormat="1" applyFont="1" applyBorder="1" applyAlignment="1" applyProtection="1">
      <alignment horizontal="right" vertical="center"/>
      <protection locked="0"/>
    </xf>
    <xf numFmtId="0" fontId="68" fillId="0" borderId="147"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8"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7" xfId="3" applyNumberFormat="1" applyFont="1" applyBorder="1" applyProtection="1">
      <protection locked="0"/>
    </xf>
    <xf numFmtId="6" fontId="66" fillId="0" borderId="148"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2"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cellXfs>
  <cellStyles count="4687">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0" xfId="3744" xr:uid="{FA80C590-DB60-4E67-B91B-DE4563CC8507}"/>
    <cellStyle name="Comma 10 2" xfId="4452" xr:uid="{B7E1D0C1-9713-45EA-AE24-964AC7B3F922}"/>
    <cellStyle name="Comma 11" xfId="3977" xr:uid="{D7AA9089-E015-4A99-B8F7-2B5C76E932A4}"/>
    <cellStyle name="Comma 11 2" xfId="4685" xr:uid="{95922BB3-4F2B-4483-8205-5AD02D23DCAB}"/>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322" xr:uid="{33F780BE-267F-401C-94F5-9BBB5CAEFCB8}"/>
    <cellStyle name="Comma 3 10 3" xfId="3854" xr:uid="{13B297B3-8F54-4834-B25D-449EA8A14D74}"/>
    <cellStyle name="Comma 3 10 3 2" xfId="4562" xr:uid="{90319CBD-DE4D-47A9-97A5-9EE6F2F302D4}"/>
    <cellStyle name="Comma 3 10 4" xfId="4093" xr:uid="{D400D856-EEAE-4D8A-BFFC-8453B1BDE6E9}"/>
    <cellStyle name="Comma 3 11" xfId="3508" xr:uid="{EFE4C2AF-257B-4B00-84A3-788A75D1DF95}"/>
    <cellStyle name="Comma 3 11 2" xfId="4232" xr:uid="{CCAFF5FB-296D-426D-BF1C-5180236DCEF7}"/>
    <cellStyle name="Comma 3 12" xfId="3764" xr:uid="{675D1CE4-FF69-4414-8BC3-17E3FB71B830}"/>
    <cellStyle name="Comma 3 12 2" xfId="4472" xr:uid="{B57C49E9-FACF-4901-88E8-3A4630B7B7C1}"/>
    <cellStyle name="Comma 3 13" xfId="4003" xr:uid="{CCD7ADD6-A389-4380-AAA9-3E2B94BB03C3}"/>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381" xr:uid="{5C209986-8913-46A1-BBB9-4A952AD5E7F1}"/>
    <cellStyle name="Comma 3 4 2 2 2 3" xfId="3913" xr:uid="{0366AFFB-7407-4182-9467-685819A52C46}"/>
    <cellStyle name="Comma 3 4 2 2 2 3 2" xfId="4621" xr:uid="{7A6F1824-34EF-4008-88A8-1A7AA31A28B3}"/>
    <cellStyle name="Comma 3 4 2 2 2 4" xfId="4152" xr:uid="{B37974EF-5CCE-4B06-B577-D23F3EB4BBFE}"/>
    <cellStyle name="Comma 3 4 2 2 3" xfId="3572" xr:uid="{E04064AF-8D5B-474A-A164-ECAD72B69992}"/>
    <cellStyle name="Comma 3 4 2 2 3 2" xfId="4296" xr:uid="{63D7B6BE-22FB-4390-A988-F0876FEECCFC}"/>
    <cellStyle name="Comma 3 4 2 2 4" xfId="3828" xr:uid="{26243C9E-813E-45DB-9D96-C658741DBB94}"/>
    <cellStyle name="Comma 3 4 2 2 4 2" xfId="4536" xr:uid="{D6CC3858-1E3B-4205-9A99-B8ECFFF5E479}"/>
    <cellStyle name="Comma 3 4 2 2 5" xfId="4067" xr:uid="{01F14F90-B5EC-4524-89C9-5685F434EC61}"/>
    <cellStyle name="Comma 3 4 2 3" xfId="3448" xr:uid="{4C0A1973-8449-4512-99AA-605FE5B41319}"/>
    <cellStyle name="Comma 3 4 2 3 2" xfId="3713" xr:uid="{73AC7E66-23DF-4B58-93B2-01A534530147}"/>
    <cellStyle name="Comma 3 4 2 3 2 2" xfId="4421" xr:uid="{5346BAE8-8316-45FB-A000-69648D29ED30}"/>
    <cellStyle name="Comma 3 4 2 3 3" xfId="3953" xr:uid="{B9AACBAB-4681-4F0E-B4A0-34640757559B}"/>
    <cellStyle name="Comma 3 4 2 3 3 2" xfId="4661" xr:uid="{AA15A0D7-BC38-4703-8E80-27FA3EBDD9F2}"/>
    <cellStyle name="Comma 3 4 2 3 4" xfId="4192" xr:uid="{39DA2B4F-C1A4-4D34-A32A-CE1A4E35E732}"/>
    <cellStyle name="Comma 3 4 2 4" xfId="2948" xr:uid="{E0A3DC83-1792-4502-9B85-BE13B72125D0}"/>
    <cellStyle name="Comma 3 4 2 4 2" xfId="3617" xr:uid="{DCBA6CE1-3F75-4542-8A63-8887027FE4C4}"/>
    <cellStyle name="Comma 3 4 2 4 2 2" xfId="4341" xr:uid="{7F5611ED-2FAA-48F0-978B-ADDB7319912E}"/>
    <cellStyle name="Comma 3 4 2 4 3" xfId="3873" xr:uid="{A77B2A7F-48DD-493C-BDC1-4796E44FCB43}"/>
    <cellStyle name="Comma 3 4 2 4 3 2" xfId="4581" xr:uid="{BF6711B3-5B71-451C-A1DF-3960430CC799}"/>
    <cellStyle name="Comma 3 4 2 4 4" xfId="4112" xr:uid="{AC1F7E85-0379-42AE-921D-37FCE9A1A414}"/>
    <cellStyle name="Comma 3 4 2 5" xfId="3527" xr:uid="{543CE7C5-B4AB-4997-941E-024611540791}"/>
    <cellStyle name="Comma 3 4 2 5 2" xfId="4251" xr:uid="{AC04BE03-8500-4CEB-8C71-78F97A645B09}"/>
    <cellStyle name="Comma 3 4 2 6" xfId="3783" xr:uid="{37881842-B25B-4077-B35A-16B69D5BACAD}"/>
    <cellStyle name="Comma 3 4 2 6 2" xfId="4491" xr:uid="{CD2966C0-C12A-4D2E-BC21-27A4DA43B286}"/>
    <cellStyle name="Comma 3 4 2 7" xfId="4022" xr:uid="{664F185F-2D73-4EB5-9553-82F02A4809B3}"/>
    <cellStyle name="Comma 3 4 3" xfId="2886" xr:uid="{B4E3D386-4C3F-4F19-8DB4-D1B17CD29374}"/>
    <cellStyle name="Comma 3 4 3 2" xfId="2982" xr:uid="{056404B3-5C18-4C5C-A3B9-08979F4978C2}"/>
    <cellStyle name="Comma 3 4 3 2 2" xfId="3651" xr:uid="{D33F01AF-8027-4511-B56E-BE81C528FE09}"/>
    <cellStyle name="Comma 3 4 3 2 2 2" xfId="4364" xr:uid="{1F0DCB0A-AE36-4D71-9FA0-1867439DE0FB}"/>
    <cellStyle name="Comma 3 4 3 2 3" xfId="3896" xr:uid="{7D66E376-3D2B-41C6-83C6-4BB5E22A0A8D}"/>
    <cellStyle name="Comma 3 4 3 2 3 2" xfId="4604" xr:uid="{A0BBF3F2-446A-4984-918F-26C6A3EDE146}"/>
    <cellStyle name="Comma 3 4 3 2 4" xfId="4135" xr:uid="{B5B0E68C-4315-45F0-9FEB-306343722F86}"/>
    <cellStyle name="Comma 3 4 3 3" xfId="3555" xr:uid="{C92B8B04-10FF-4182-8913-A1DA291D25C2}"/>
    <cellStyle name="Comma 3 4 3 3 2" xfId="4279" xr:uid="{3EAD075A-DDEC-4260-8132-91592F4A613D}"/>
    <cellStyle name="Comma 3 4 3 4" xfId="3811" xr:uid="{39D218A0-D568-4A31-BE8D-349677EE9C5C}"/>
    <cellStyle name="Comma 3 4 3 4 2" xfId="4519" xr:uid="{147BC37A-697B-402E-9649-2C1B2FE3573B}"/>
    <cellStyle name="Comma 3 4 3 5" xfId="4050" xr:uid="{53030350-AC51-456C-AF61-9FAF8661F3FD}"/>
    <cellStyle name="Comma 3 4 4" xfId="3424" xr:uid="{4F1C737B-D85A-402A-8AD7-C59FB17C0CFC}"/>
    <cellStyle name="Comma 3 4 4 2" xfId="3696" xr:uid="{76DC5773-C727-4A82-9030-A6E21916AE21}"/>
    <cellStyle name="Comma 3 4 4 2 2" xfId="4404" xr:uid="{3A22B7B9-BDE3-4A17-B75B-FBF3D786AB51}"/>
    <cellStyle name="Comma 3 4 4 3" xfId="3936" xr:uid="{7628433F-2F3E-4A72-B6E8-543BDAD0C016}"/>
    <cellStyle name="Comma 3 4 4 3 2" xfId="4644" xr:uid="{E06E6C42-B6B4-4883-A452-8CAA36DCAC44}"/>
    <cellStyle name="Comma 3 4 4 4" xfId="4175" xr:uid="{5068795E-42C1-431A-B79D-03B5E1E3CC32}"/>
    <cellStyle name="Comma 3 4 5" xfId="2931" xr:uid="{1AB89C2F-68FE-47B6-A33C-DDF6A14AC0BD}"/>
    <cellStyle name="Comma 3 4 5 2" xfId="3600" xr:uid="{DFFDE328-BC63-47FC-ADF5-CB0CA6E7B6C8}"/>
    <cellStyle name="Comma 3 4 5 2 2" xfId="4324" xr:uid="{E235CB76-905D-4599-B36A-93088A48A848}"/>
    <cellStyle name="Comma 3 4 5 3" xfId="3856" xr:uid="{FD134C31-5296-4D6D-85E2-DDBA75BE258F}"/>
    <cellStyle name="Comma 3 4 5 3 2" xfId="4564" xr:uid="{BCF18DA1-7FCD-496C-A613-4D5A45B1FD68}"/>
    <cellStyle name="Comma 3 4 5 4" xfId="4095" xr:uid="{A12668DD-217C-4981-BCE1-0FE5E45223C7}"/>
    <cellStyle name="Comma 3 4 6" xfId="3510" xr:uid="{AEF1870C-FE26-4342-9D6C-C02A94A4181C}"/>
    <cellStyle name="Comma 3 4 6 2" xfId="4234" xr:uid="{423D5A14-003C-4B88-A785-E8B3D8D0D3F4}"/>
    <cellStyle name="Comma 3 4 7" xfId="3766" xr:uid="{3B910428-E597-43D2-A0EC-EE82678DD4A0}"/>
    <cellStyle name="Comma 3 4 7 2" xfId="4474" xr:uid="{116EB710-6BA2-4483-B4A4-756281792905}"/>
    <cellStyle name="Comma 3 4 8" xfId="4005" xr:uid="{1BF8BDDD-D97F-4731-B020-015552B9DAE0}"/>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385" xr:uid="{3D33C664-A305-4269-AF96-122A614446AC}"/>
    <cellStyle name="Comma 3 5 2 2 2 3" xfId="3917" xr:uid="{1CAC5003-9584-46E0-BFE0-9AD257FF3619}"/>
    <cellStyle name="Comma 3 5 2 2 2 3 2" xfId="4625" xr:uid="{7D06918C-F469-4E20-BB53-E6A03DBB76EE}"/>
    <cellStyle name="Comma 3 5 2 2 2 4" xfId="4156" xr:uid="{DB7D44A8-FAE0-452F-AD0F-97C593A927C0}"/>
    <cellStyle name="Comma 3 5 2 2 3" xfId="3576" xr:uid="{01426F27-B567-4B2A-BFA0-C29176F9529F}"/>
    <cellStyle name="Comma 3 5 2 2 3 2" xfId="4300" xr:uid="{1ACEC259-4B35-40EB-AAF5-A7BE11A7E4AA}"/>
    <cellStyle name="Comma 3 5 2 2 4" xfId="3832" xr:uid="{EE34256E-DDDA-4F90-8E7F-47658D944908}"/>
    <cellStyle name="Comma 3 5 2 2 4 2" xfId="4540" xr:uid="{51923FA5-67B7-4028-B354-03371110E8C6}"/>
    <cellStyle name="Comma 3 5 2 2 5" xfId="4071" xr:uid="{7CF4707A-A4E4-4619-BDDB-E7FC189DC7F7}"/>
    <cellStyle name="Comma 3 5 2 3" xfId="3452" xr:uid="{8F116F01-8EC7-415E-B53F-03BD58197742}"/>
    <cellStyle name="Comma 3 5 2 3 2" xfId="3717" xr:uid="{D51EE3AA-1E0B-4DE9-B673-3537F8C83E11}"/>
    <cellStyle name="Comma 3 5 2 3 2 2" xfId="4425" xr:uid="{9BFDD1F8-57C2-405B-8208-55F4381C4C15}"/>
    <cellStyle name="Comma 3 5 2 3 3" xfId="3957" xr:uid="{C9DF2BE7-F5F3-4674-BD92-F793435E0B0E}"/>
    <cellStyle name="Comma 3 5 2 3 3 2" xfId="4665" xr:uid="{CC3DC259-ED9F-488E-93D4-C57A77E17FD8}"/>
    <cellStyle name="Comma 3 5 2 3 4" xfId="4196" xr:uid="{C3E63CDD-496C-4A72-AA17-5A844A789C95}"/>
    <cellStyle name="Comma 3 5 2 4" xfId="2952" xr:uid="{20996558-6FFD-4C33-8575-38F6DBA626A3}"/>
    <cellStyle name="Comma 3 5 2 4 2" xfId="3621" xr:uid="{27053ED5-8166-4A31-9A7E-036D191E62A4}"/>
    <cellStyle name="Comma 3 5 2 4 2 2" xfId="4345" xr:uid="{BDAE9C05-B2BF-465B-AB71-759707D4C8B9}"/>
    <cellStyle name="Comma 3 5 2 4 3" xfId="3877" xr:uid="{222A18D8-C856-43A1-AB63-D2C62F671870}"/>
    <cellStyle name="Comma 3 5 2 4 3 2" xfId="4585" xr:uid="{9C2D5597-5B7E-4348-8E80-04308BD36381}"/>
    <cellStyle name="Comma 3 5 2 4 4" xfId="4116" xr:uid="{2456B31A-DE24-423E-A6EB-94CDD5D9312F}"/>
    <cellStyle name="Comma 3 5 2 5" xfId="3531" xr:uid="{D014B1BE-8956-48FB-8061-223A2444B888}"/>
    <cellStyle name="Comma 3 5 2 5 2" xfId="4255" xr:uid="{53CD93E7-8910-4F28-9107-F55803FEF3BC}"/>
    <cellStyle name="Comma 3 5 2 6" xfId="3787" xr:uid="{99A6E684-8F18-43EC-8A63-F9E9697D3585}"/>
    <cellStyle name="Comma 3 5 2 6 2" xfId="4495" xr:uid="{FB0B61A8-0F99-48C2-891A-D587A34EE3FC}"/>
    <cellStyle name="Comma 3 5 2 7" xfId="4026" xr:uid="{D454AD15-7E58-4F4C-B422-07F59DD88F92}"/>
    <cellStyle name="Comma 3 5 3" xfId="2890" xr:uid="{8DED1700-37BC-4DEB-8908-183FECA7AD2B}"/>
    <cellStyle name="Comma 3 5 3 2" xfId="2991" xr:uid="{616C6411-5912-4A05-B822-26D039962FF1}"/>
    <cellStyle name="Comma 3 5 3 2 2" xfId="3660" xr:uid="{DB316F9A-AFEE-4790-8801-6BC8E7798880}"/>
    <cellStyle name="Comma 3 5 3 2 2 2" xfId="4368" xr:uid="{BE89A445-4618-4ECA-BAEC-0BF398AF7079}"/>
    <cellStyle name="Comma 3 5 3 2 3" xfId="3900" xr:uid="{5C156461-ABA0-4027-9B17-546A0E2053FA}"/>
    <cellStyle name="Comma 3 5 3 2 3 2" xfId="4608" xr:uid="{7E8929EF-49E9-47DA-99C1-126C9C313D1E}"/>
    <cellStyle name="Comma 3 5 3 2 4" xfId="4139" xr:uid="{70E8C4EE-ADD0-4A8A-B60D-3D6246F61C57}"/>
    <cellStyle name="Comma 3 5 3 3" xfId="3559" xr:uid="{9EA85F05-5CF3-4CFE-9812-6C7C3CBA00BA}"/>
    <cellStyle name="Comma 3 5 3 3 2" xfId="4283" xr:uid="{22075366-948F-484D-8FBC-B1943EA88CCA}"/>
    <cellStyle name="Comma 3 5 3 4" xfId="3815" xr:uid="{1F3518B0-A0F2-4237-8041-A90F56F61C0D}"/>
    <cellStyle name="Comma 3 5 3 4 2" xfId="4523" xr:uid="{87E1D550-5B8F-4AF0-9D30-872ECB057CE6}"/>
    <cellStyle name="Comma 3 5 3 5" xfId="4054" xr:uid="{7F5E392E-B3BA-4E8B-956C-576AAB157AF3}"/>
    <cellStyle name="Comma 3 5 4" xfId="3434" xr:uid="{9667342D-ABB3-452F-B960-77B17D69792D}"/>
    <cellStyle name="Comma 3 5 4 2" xfId="3700" xr:uid="{F83C68D2-717F-4975-A0AB-81F49BB11E3C}"/>
    <cellStyle name="Comma 3 5 4 2 2" xfId="4408" xr:uid="{18FA6376-B9EB-4407-A099-E08E45358FCC}"/>
    <cellStyle name="Comma 3 5 4 3" xfId="3940" xr:uid="{244CAAF2-F175-4CFF-B8BF-513A2A66F530}"/>
    <cellStyle name="Comma 3 5 4 3 2" xfId="4648" xr:uid="{59C35867-23AF-4248-839D-0426BDF940ED}"/>
    <cellStyle name="Comma 3 5 4 4" xfId="4179" xr:uid="{5F0F16C6-6C1C-4E74-9691-60E58B605DD4}"/>
    <cellStyle name="Comma 3 5 5" xfId="2935" xr:uid="{FFC6E611-FEFD-4D94-A987-5EC9C9496D39}"/>
    <cellStyle name="Comma 3 5 5 2" xfId="3604" xr:uid="{11BEE5D8-4547-4655-B2F6-A0B892559211}"/>
    <cellStyle name="Comma 3 5 5 2 2" xfId="4328" xr:uid="{0BA6FF7E-BB6C-49B6-8678-1511227179B0}"/>
    <cellStyle name="Comma 3 5 5 3" xfId="3860" xr:uid="{431DF842-14F2-4609-9846-864489729F43}"/>
    <cellStyle name="Comma 3 5 5 3 2" xfId="4568" xr:uid="{A698EFCB-FE40-47B9-88FA-48C860D8ACCF}"/>
    <cellStyle name="Comma 3 5 5 4" xfId="4099" xr:uid="{A7FF67D0-D48B-4EF4-BF56-FD5A55FDA8BC}"/>
    <cellStyle name="Comma 3 5 6" xfId="3514" xr:uid="{0A4D5C66-EF7C-42BD-98A5-A9CD187D38A5}"/>
    <cellStyle name="Comma 3 5 6 2" xfId="4238" xr:uid="{0B86317B-365D-44BB-86B7-F30235AE4097}"/>
    <cellStyle name="Comma 3 5 7" xfId="3770" xr:uid="{722EB612-14A3-48A2-B605-8FD57830AC1E}"/>
    <cellStyle name="Comma 3 5 7 2" xfId="4478" xr:uid="{6E7AE137-1503-49FC-93DB-2A431052EC34}"/>
    <cellStyle name="Comma 3 5 8" xfId="4009" xr:uid="{E9AF11AE-3839-4959-81B8-4806A9C21F6A}"/>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389" xr:uid="{6AD66966-EF56-4E38-B607-C891713DE4B6}"/>
    <cellStyle name="Comma 3 6 2 2 2 3" xfId="3921" xr:uid="{AD7C951E-9CF4-4B89-ACA1-163096067361}"/>
    <cellStyle name="Comma 3 6 2 2 2 3 2" xfId="4629" xr:uid="{3BE6A4E3-0F27-4F7F-A52A-F5DF20B672F3}"/>
    <cellStyle name="Comma 3 6 2 2 2 4" xfId="4160" xr:uid="{8AEA0BD8-93FF-407C-B6FF-C3140C9751CD}"/>
    <cellStyle name="Comma 3 6 2 2 3" xfId="3580" xr:uid="{B2CE409E-9D40-4B69-8B10-BEF12F44CAE6}"/>
    <cellStyle name="Comma 3 6 2 2 3 2" xfId="4304" xr:uid="{C444810B-FDB3-496B-9272-41BD4555CBC4}"/>
    <cellStyle name="Comma 3 6 2 2 4" xfId="3836" xr:uid="{68E54F54-FDA9-44A1-B54A-1C9EB80DE159}"/>
    <cellStyle name="Comma 3 6 2 2 4 2" xfId="4544" xr:uid="{C7B15C21-910E-4862-9C45-7074728BFFE6}"/>
    <cellStyle name="Comma 3 6 2 2 5" xfId="4075" xr:uid="{2EB71927-EC03-4DC6-B20A-11A5B7DC3A85}"/>
    <cellStyle name="Comma 3 6 2 3" xfId="3456" xr:uid="{19E13F85-9DEB-46B6-88D0-3E0159468281}"/>
    <cellStyle name="Comma 3 6 2 3 2" xfId="3721" xr:uid="{172A5543-0D9C-4C33-A386-3E65684B06E9}"/>
    <cellStyle name="Comma 3 6 2 3 2 2" xfId="4429" xr:uid="{7DD7FBE2-2EFD-4C91-97DE-6589E8C62122}"/>
    <cellStyle name="Comma 3 6 2 3 3" xfId="3961" xr:uid="{390922B3-2C2C-4A25-92AF-7B102A0132E6}"/>
    <cellStyle name="Comma 3 6 2 3 3 2" xfId="4669" xr:uid="{16F2DCF3-5F73-4DA5-A3E0-CFFF5E00F8E3}"/>
    <cellStyle name="Comma 3 6 2 3 4" xfId="4200" xr:uid="{978AECEB-D922-4B0A-9ACE-4134249C106E}"/>
    <cellStyle name="Comma 3 6 2 4" xfId="2956" xr:uid="{A3FF41A8-82B3-4934-A392-049227BBD6CC}"/>
    <cellStyle name="Comma 3 6 2 4 2" xfId="3625" xr:uid="{78B8B414-F0ED-4A8B-A6E4-B0D4CFF7BF34}"/>
    <cellStyle name="Comma 3 6 2 4 2 2" xfId="4349" xr:uid="{77B8A577-1D8B-486F-A20D-C7EBF6A1D72F}"/>
    <cellStyle name="Comma 3 6 2 4 3" xfId="3881" xr:uid="{A451455E-84C5-4635-B9DB-C164B4339B5E}"/>
    <cellStyle name="Comma 3 6 2 4 3 2" xfId="4589" xr:uid="{6EF846E5-7F16-4C54-AC94-EA97F41C8BD3}"/>
    <cellStyle name="Comma 3 6 2 4 4" xfId="4120" xr:uid="{C8300C4A-A0E9-44A5-92FF-C5F42819648F}"/>
    <cellStyle name="Comma 3 6 2 5" xfId="3535" xr:uid="{D993457B-BB89-4413-B123-2EE2A62D718C}"/>
    <cellStyle name="Comma 3 6 2 5 2" xfId="4259" xr:uid="{93C60783-61CE-4101-843B-2BDE166179DF}"/>
    <cellStyle name="Comma 3 6 2 6" xfId="3791" xr:uid="{1547AB22-4F32-46BE-935D-3B3D9D31E53B}"/>
    <cellStyle name="Comma 3 6 2 6 2" xfId="4499" xr:uid="{6001E6CC-C890-4112-8648-3A318FCD31CD}"/>
    <cellStyle name="Comma 3 6 2 7" xfId="4030" xr:uid="{3FEDF89F-498E-4E96-B8EC-9D026CC5B2BF}"/>
    <cellStyle name="Comma 3 6 3" xfId="2894" xr:uid="{878C4A08-86BD-49B7-A0A9-8A77F1045F64}"/>
    <cellStyle name="Comma 3 6 3 2" xfId="2995" xr:uid="{21565DD1-545A-4387-98D5-DA1DDE5800F6}"/>
    <cellStyle name="Comma 3 6 3 2 2" xfId="3664" xr:uid="{CE01EFA7-944E-4C88-836D-C73BEB9AA2D7}"/>
    <cellStyle name="Comma 3 6 3 2 2 2" xfId="4372" xr:uid="{1B3E4DAF-B0D4-4519-9870-920F5BEE093A}"/>
    <cellStyle name="Comma 3 6 3 2 3" xfId="3904" xr:uid="{59885270-9F57-4C12-B427-CBD62628594A}"/>
    <cellStyle name="Comma 3 6 3 2 3 2" xfId="4612" xr:uid="{72F0F07A-D9C5-4CFB-A3DC-D1C07D471B6F}"/>
    <cellStyle name="Comma 3 6 3 2 4" xfId="4143" xr:uid="{BB0BE7EE-F036-498C-BA46-3E60BD9894D4}"/>
    <cellStyle name="Comma 3 6 3 3" xfId="3563" xr:uid="{65993E7F-2B56-4C43-BEBC-BF40D30BA7C1}"/>
    <cellStyle name="Comma 3 6 3 3 2" xfId="4287" xr:uid="{F5A57AD6-4988-4B32-9393-7BE5CBECB0F7}"/>
    <cellStyle name="Comma 3 6 3 4" xfId="3819" xr:uid="{0D0DC871-C30B-44DE-AC49-21671C6FBFFF}"/>
    <cellStyle name="Comma 3 6 3 4 2" xfId="4527" xr:uid="{6EE1E2F6-5930-457A-B3B7-0CA2E8D32A09}"/>
    <cellStyle name="Comma 3 6 3 5" xfId="4058" xr:uid="{D0DE4CEA-6DEF-4CA6-9213-24DCD041B91C}"/>
    <cellStyle name="Comma 3 6 4" xfId="3438" xr:uid="{E14B93A6-95BB-424A-B590-DA47656FABC7}"/>
    <cellStyle name="Comma 3 6 4 2" xfId="3704" xr:uid="{D86C5ADA-E3E5-4DE5-A865-D51ACA4464EE}"/>
    <cellStyle name="Comma 3 6 4 2 2" xfId="4412" xr:uid="{0FC8E821-7C99-41BA-B415-010966D2B3AE}"/>
    <cellStyle name="Comma 3 6 4 3" xfId="3944" xr:uid="{25F85CD5-AEEB-4621-AC30-4C41AEA27550}"/>
    <cellStyle name="Comma 3 6 4 3 2" xfId="4652" xr:uid="{CC96EAF7-0EC7-4A51-A674-578542091696}"/>
    <cellStyle name="Comma 3 6 4 4" xfId="4183" xr:uid="{33A68053-354E-453B-B3E5-E0CD60340559}"/>
    <cellStyle name="Comma 3 6 5" xfId="2939" xr:uid="{2D4036A9-4261-4BED-A372-C431896DCDFF}"/>
    <cellStyle name="Comma 3 6 5 2" xfId="3608" xr:uid="{7B471FB4-98BA-4914-BEB5-BCD1D03B1023}"/>
    <cellStyle name="Comma 3 6 5 2 2" xfId="4332" xr:uid="{B4E862DE-E4FC-4FEB-B59A-CE87F040EDC4}"/>
    <cellStyle name="Comma 3 6 5 3" xfId="3864" xr:uid="{D24332F0-729C-4064-9EFA-EA394987BB31}"/>
    <cellStyle name="Comma 3 6 5 3 2" xfId="4572" xr:uid="{DC99A6FC-9984-4756-B855-755A62FF8E68}"/>
    <cellStyle name="Comma 3 6 5 4" xfId="4103" xr:uid="{E1237680-D5B7-441B-BD1D-DE437235282F}"/>
    <cellStyle name="Comma 3 6 6" xfId="3518" xr:uid="{1080763B-E43B-4A51-B60E-3351A50A5F10}"/>
    <cellStyle name="Comma 3 6 6 2" xfId="4242" xr:uid="{01150785-5BBD-43E0-A2F5-A7918DC6DC25}"/>
    <cellStyle name="Comma 3 6 7" xfId="3774" xr:uid="{50AF588D-4DFE-4B0F-B6A1-40FE54A1D35F}"/>
    <cellStyle name="Comma 3 6 7 2" xfId="4482" xr:uid="{3C20F7AD-1E9C-42EB-B625-4AFA349229FF}"/>
    <cellStyle name="Comma 3 6 8" xfId="4013" xr:uid="{66994CE2-8683-46A2-B75B-8C21654DF904}"/>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379" xr:uid="{0B139ED6-5737-45D7-A97F-FB0D78943BC6}"/>
    <cellStyle name="Comma 3 7 2 2 3" xfId="3911" xr:uid="{A9B5122C-41CB-4989-8C10-021D5761D51B}"/>
    <cellStyle name="Comma 3 7 2 2 3 2" xfId="4619" xr:uid="{D19674F8-4251-491F-8BF8-62C51B5CC40C}"/>
    <cellStyle name="Comma 3 7 2 2 4" xfId="4150" xr:uid="{F3121F56-FE87-4245-A709-8AEA806246D4}"/>
    <cellStyle name="Comma 3 7 2 3" xfId="3570" xr:uid="{F6123F3E-F786-4442-84A7-86A08CC76F03}"/>
    <cellStyle name="Comma 3 7 2 3 2" xfId="4294" xr:uid="{046C4EDC-2443-4EFB-ABC5-08244F00A982}"/>
    <cellStyle name="Comma 3 7 2 4" xfId="3826" xr:uid="{415B7A3D-7ECF-4973-8CBF-5D3FA5919FB4}"/>
    <cellStyle name="Comma 3 7 2 4 2" xfId="4534" xr:uid="{421778A9-6FC8-4807-8403-34AED9626928}"/>
    <cellStyle name="Comma 3 7 2 5" xfId="4065" xr:uid="{217CF112-831E-4DE0-91C7-0E0A58A2E616}"/>
    <cellStyle name="Comma 3 7 3" xfId="3446" xr:uid="{6BCC77A9-5E6A-42FB-A650-A80C2B2AFF75}"/>
    <cellStyle name="Comma 3 7 3 2" xfId="3711" xr:uid="{1F93ABAE-D387-40E1-874B-F6B0FF10DD60}"/>
    <cellStyle name="Comma 3 7 3 2 2" xfId="4419" xr:uid="{CB43D63E-3A98-4B81-AB5E-B52DAAC2F950}"/>
    <cellStyle name="Comma 3 7 3 3" xfId="3951" xr:uid="{6AE3A665-B639-4152-B0BB-B2A9FB4DFD2B}"/>
    <cellStyle name="Comma 3 7 3 3 2" xfId="4659" xr:uid="{B3D754AA-BFEC-4C86-9B53-9443C1E3F395}"/>
    <cellStyle name="Comma 3 7 3 4" xfId="4190" xr:uid="{433F0362-6FAB-4DD1-BBD5-E195A3FAB174}"/>
    <cellStyle name="Comma 3 7 4" xfId="2946" xr:uid="{7874155A-6C6D-499D-8A7C-5353A95E2735}"/>
    <cellStyle name="Comma 3 7 4 2" xfId="3615" xr:uid="{20059CE6-6314-459E-B521-5921E40A756C}"/>
    <cellStyle name="Comma 3 7 4 2 2" xfId="4339" xr:uid="{201F0200-0EA8-47E2-8764-632F99C57F10}"/>
    <cellStyle name="Comma 3 7 4 3" xfId="3871" xr:uid="{65D2BAB0-C677-496C-B06C-8E6AA0C8A2EB}"/>
    <cellStyle name="Comma 3 7 4 3 2" xfId="4579" xr:uid="{8197A22C-F2B0-4FEF-BD9B-BA552E32309A}"/>
    <cellStyle name="Comma 3 7 4 4" xfId="4110" xr:uid="{C0CEDC1A-DA65-4843-9232-85C787FFBA88}"/>
    <cellStyle name="Comma 3 7 5" xfId="3525" xr:uid="{14E23C52-4FA2-4526-BF01-6D29D8541278}"/>
    <cellStyle name="Comma 3 7 5 2" xfId="4249" xr:uid="{C1EF42A8-DF8D-4426-B180-F6F42F9863AD}"/>
    <cellStyle name="Comma 3 7 6" xfId="3781" xr:uid="{C1AA4F35-668F-4345-888F-D3460F8FA58D}"/>
    <cellStyle name="Comma 3 7 6 2" xfId="4489" xr:uid="{9A57EDD6-9A95-4AA6-9DB7-7A0D1455F6F0}"/>
    <cellStyle name="Comma 3 7 7" xfId="4020" xr:uid="{37420D11-760A-4707-99DB-90C428BCC8ED}"/>
    <cellStyle name="Comma 3 8" xfId="2884" xr:uid="{C9B36F34-9130-45D3-A320-1346E09E7C87}"/>
    <cellStyle name="Comma 3 8 2" xfId="2971" xr:uid="{C66229D5-25D3-410F-BC0E-43D220C9A4F2}"/>
    <cellStyle name="Comma 3 8 2 2" xfId="3640" xr:uid="{0E63BC05-6BCC-41C7-9EEF-4F073555BFC4}"/>
    <cellStyle name="Comma 3 8 2 2 2" xfId="4362" xr:uid="{E077F1C6-2CBC-4ED3-AA02-DBE6C62C888B}"/>
    <cellStyle name="Comma 3 8 2 3" xfId="3894" xr:uid="{A4A97387-4A13-4C30-A376-F3196426D9C0}"/>
    <cellStyle name="Comma 3 8 2 3 2" xfId="4602" xr:uid="{5E509CB7-3805-4971-93EB-347ED49C7AD8}"/>
    <cellStyle name="Comma 3 8 2 4" xfId="4133" xr:uid="{72EB2B21-0EF7-4A98-9A11-82CFE7193CF8}"/>
    <cellStyle name="Comma 3 8 3" xfId="3553" xr:uid="{42BDFCAE-3765-4057-9BC9-F0181DC541E3}"/>
    <cellStyle name="Comma 3 8 3 2" xfId="4277" xr:uid="{7B8DE243-27E3-44D9-9460-22FB39AE639F}"/>
    <cellStyle name="Comma 3 8 4" xfId="3809" xr:uid="{7538309E-3076-4917-A331-CBB1A49FBAB5}"/>
    <cellStyle name="Comma 3 8 4 2" xfId="4517" xr:uid="{36CA8FE4-217D-48CE-97F2-98FCC8414FC6}"/>
    <cellStyle name="Comma 3 8 5" xfId="4048" xr:uid="{1690CB9F-32B6-4B2B-8116-A89BDF992F32}"/>
    <cellStyle name="Comma 3 9" xfId="3039" xr:uid="{3C8CAE85-D6B1-4E5C-BEC0-FA4EEF3BBF18}"/>
    <cellStyle name="Comma 3 9 2" xfId="3694" xr:uid="{E3E723CF-DE91-4D77-91A1-CED072A62EB6}"/>
    <cellStyle name="Comma 3 9 2 2" xfId="4402" xr:uid="{8EDCCAA0-8253-449C-81ED-0B275C39724D}"/>
    <cellStyle name="Comma 3 9 3" xfId="3934" xr:uid="{9787EC1F-5416-4DB2-BEE3-73F58FE9BB62}"/>
    <cellStyle name="Comma 3 9 3 2" xfId="4642" xr:uid="{C990F224-70A4-4F55-AED1-6496D5F40E36}"/>
    <cellStyle name="Comma 3 9 4" xfId="4173" xr:uid="{45A12207-3507-4601-84C9-B0E31DA7AF63}"/>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392" xr:uid="{FA442326-7F2F-4293-A396-DB8579149229}"/>
    <cellStyle name="Comma 5 2 2 3" xfId="3924" xr:uid="{B9634EEC-570B-460D-9F4A-BCB51D22C7FF}"/>
    <cellStyle name="Comma 5 2 2 3 2" xfId="4632" xr:uid="{293838EA-F49A-4E77-B97D-A7C509A9807F}"/>
    <cellStyle name="Comma 5 2 2 4" xfId="4163" xr:uid="{539886EB-323F-4D01-8AE1-35BC9CADAA6A}"/>
    <cellStyle name="Comma 5 2 3" xfId="3583" xr:uid="{62BEFAF8-5C29-4B53-B718-116974703191}"/>
    <cellStyle name="Comma 5 2 3 2" xfId="4307" xr:uid="{B20330F4-BB97-446A-A8A9-AA800C6A5428}"/>
    <cellStyle name="Comma 5 2 4" xfId="3839" xr:uid="{955542D2-3696-4D8E-AAB2-E90C364FB3B2}"/>
    <cellStyle name="Comma 5 2 4 2" xfId="4547" xr:uid="{4C6C4B6C-C6A4-4630-9FD5-A8B63AF0CDAC}"/>
    <cellStyle name="Comma 5 2 5" xfId="4078" xr:uid="{03ACA4B6-E44D-46BE-920E-64538CDC0E01}"/>
    <cellStyle name="Comma 5 3" xfId="3459" xr:uid="{0B6DD5F4-4107-4CA4-A2E3-D7AB3A9A1363}"/>
    <cellStyle name="Comma 5 3 2" xfId="3724" xr:uid="{AB56FAF0-0D2B-4E84-ABDF-D24B4DFBDEFF}"/>
    <cellStyle name="Comma 5 3 2 2" xfId="4432" xr:uid="{13E88CAC-54D7-4B92-B4CA-0DA3070A886C}"/>
    <cellStyle name="Comma 5 3 3" xfId="3964" xr:uid="{DEA87A10-10B8-445F-B6CF-6BE8CEFC222C}"/>
    <cellStyle name="Comma 5 3 3 2" xfId="4672" xr:uid="{9F0BD545-5BC7-4FAF-B398-726DCCECFEC8}"/>
    <cellStyle name="Comma 5 3 4" xfId="4203" xr:uid="{FB940B4B-0D98-4031-B540-C33AE1D34108}"/>
    <cellStyle name="Comma 5 4" xfId="2959" xr:uid="{BD4641BD-368C-4B1B-8C20-165DBCF2D8FC}"/>
    <cellStyle name="Comma 5 4 2" xfId="3628" xr:uid="{8B085F66-FD5D-4DD6-944F-EEA6294E187A}"/>
    <cellStyle name="Comma 5 4 2 2" xfId="4352" xr:uid="{F7F38F1A-F5F2-434B-A5C1-21BB1601494B}"/>
    <cellStyle name="Comma 5 4 3" xfId="3884" xr:uid="{9D7887B7-1EE4-48B0-B01B-7D1066E3C41D}"/>
    <cellStyle name="Comma 5 4 3 2" xfId="4592" xr:uid="{A5255BCE-57D4-40F9-A4E2-856FA49BD261}"/>
    <cellStyle name="Comma 5 4 4" xfId="4123" xr:uid="{5D186594-51F8-4359-8E9B-196CAAFD81BC}"/>
    <cellStyle name="Comma 5 5" xfId="3538" xr:uid="{9CA2F56D-1D50-47EC-92E7-BED589E2846D}"/>
    <cellStyle name="Comma 5 5 2" xfId="4262" xr:uid="{184917F7-5FE5-41E6-94B6-754DC8C38016}"/>
    <cellStyle name="Comma 5 6" xfId="3794" xr:uid="{6AEC8C65-F494-461F-8BE1-642C60634470}"/>
    <cellStyle name="Comma 5 6 2" xfId="4502" xr:uid="{1ED776BB-073A-4286-842F-C5EB9944F7D9}"/>
    <cellStyle name="Comma 5 7" xfId="4033" xr:uid="{7E9DDAA6-C49A-45E1-BE7D-48DB25C94FE4}"/>
    <cellStyle name="Comma 58 2" xfId="1739" xr:uid="{0A8BC880-0544-4B8B-85FA-3F064FCB882F}"/>
    <cellStyle name="Comma 6" xfId="3480" xr:uid="{2F647900-AECC-4EC3-B7E1-70600B07B3B9}"/>
    <cellStyle name="Comma 6 2" xfId="3727" xr:uid="{478A7263-B51A-4F65-99EC-CEC9C2D4F793}"/>
    <cellStyle name="Comma 6 2 2" xfId="4435" xr:uid="{735C6BC9-DC36-4EB4-AD40-1DDC5810BCCE}"/>
    <cellStyle name="Comma 6 3" xfId="3967" xr:uid="{FE1132E6-DE85-438D-BF52-FEB85F71FFB2}"/>
    <cellStyle name="Comma 6 3 2" xfId="4675" xr:uid="{C3903F86-B824-4F3A-849A-9DC6EA865646}"/>
    <cellStyle name="Comma 6 4" xfId="4206" xr:uid="{A2077AA8-B0A2-4174-9FD6-63581B51F757}"/>
    <cellStyle name="Comma 7" xfId="3489" xr:uid="{B85F0E73-3223-4595-8AAA-D12E56954A25}"/>
    <cellStyle name="Comma 8" xfId="3737" xr:uid="{0BE5ACB8-7A2C-41BF-AAE3-6976D131805D}"/>
    <cellStyle name="Comma 8 2" xfId="4445" xr:uid="{790B288B-C875-472A-B511-789F1BDB0C32}"/>
    <cellStyle name="Comma 9" xfId="3741" xr:uid="{BE8B6386-43D1-4C63-AEB0-0D1DF09B29A7}"/>
    <cellStyle name="Comma 9 2" xfId="4449" xr:uid="{68D7E2C9-E9D3-4EB0-897A-140688E1AB28}"/>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447" xr:uid="{E824D078-F377-4676-BDD8-1C6EED3350D5}"/>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4213" xr:uid="{183AA404-2FEE-4917-A896-2B856862DFA7}"/>
    <cellStyle name="Normal 11" xfId="3736" xr:uid="{22FC7D92-58AD-4262-B9F8-B3AB13B9FC8F}"/>
    <cellStyle name="Normal 11 2" xfId="2256" xr:uid="{BD22F16C-3B46-41A3-8599-23E2D3BD8AAF}"/>
    <cellStyle name="Normal 11 3" xfId="4444" xr:uid="{D79F7DFF-9CA2-4A2E-9F4F-6D7B117E6643}"/>
    <cellStyle name="Normal 12" xfId="3738" xr:uid="{C2596002-6726-4E71-AB9E-E912A4AB71C8}"/>
    <cellStyle name="Normal 12 2" xfId="4446" xr:uid="{2B10EEA6-D2E4-4EB5-AE1B-DFC6F4D25995}"/>
    <cellStyle name="Normal 13" xfId="3740" xr:uid="{4D5F72A8-25E3-4B05-8E93-DF9776D3687C}"/>
    <cellStyle name="Normal 13 2" xfId="4448" xr:uid="{3ADA1469-BF0B-42D4-8537-A048E8B93BC2}"/>
    <cellStyle name="Normal 14" xfId="3743" xr:uid="{86F5EDC7-E3FF-44E8-8279-3F83EB88CD57}"/>
    <cellStyle name="Normal 14 2" xfId="4451" xr:uid="{F838AD3B-6C7A-436E-9A89-8EB618A91EA9}"/>
    <cellStyle name="Normal 15" xfId="3974" xr:uid="{4EC58660-4A19-427D-8841-589C36E15E46}"/>
    <cellStyle name="Normal 15 2" xfId="4682" xr:uid="{2FE3B21E-D5CC-4C5B-B81B-4DE36E2A229F}"/>
    <cellStyle name="Normal 16" xfId="3976" xr:uid="{2ABEF047-0A78-4D8C-99FE-20D94795A3B4}"/>
    <cellStyle name="Normal 16 2" xfId="4684" xr:uid="{D2BB59C5-91EA-495C-A994-18D4DDF0D433}"/>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374" xr:uid="{F16B269B-676A-4887-85B1-38FB87BDDCE5}"/>
    <cellStyle name="Normal 3 10 2 2 3" xfId="3906" xr:uid="{48999247-279B-480E-8723-B66528016493}"/>
    <cellStyle name="Normal 3 10 2 2 3 2" xfId="4614" xr:uid="{A66BE89E-22EC-447B-8FD5-4FB722D559DE}"/>
    <cellStyle name="Normal 3 10 2 2 4" xfId="4145" xr:uid="{18293971-1174-44C0-B088-24FF1B558FCA}"/>
    <cellStyle name="Normal 3 10 2 3" xfId="3565" xr:uid="{02304A72-2AC1-4481-8B44-9DBF1C9C679E}"/>
    <cellStyle name="Normal 3 10 2 3 2" xfId="4289" xr:uid="{1B2C5D29-20B5-427B-A373-E6454F36E92A}"/>
    <cellStyle name="Normal 3 10 2 4" xfId="3821" xr:uid="{536B649D-3516-4801-AEC3-FC311F556BBD}"/>
    <cellStyle name="Normal 3 10 2 4 2" xfId="4529" xr:uid="{922F222D-67F7-4E15-9062-47B09F15F1BC}"/>
    <cellStyle name="Normal 3 10 2 5" xfId="4060" xr:uid="{7C3C92C9-2CAA-43DD-9521-B32BB6112A8D}"/>
    <cellStyle name="Normal 3 10 3" xfId="3441" xr:uid="{5AD22851-273F-402C-B72C-A848480C2C01}"/>
    <cellStyle name="Normal 3 10 3 2" xfId="3706" xr:uid="{6396958C-2FEE-4741-9C04-0D953DBD4B2B}"/>
    <cellStyle name="Normal 3 10 3 2 2" xfId="4414" xr:uid="{7599208C-700D-44C1-A7B0-D9E4B6911C5A}"/>
    <cellStyle name="Normal 3 10 3 3" xfId="3946" xr:uid="{3B595A0E-F6A4-42A7-9EC4-40BF270C91FC}"/>
    <cellStyle name="Normal 3 10 3 3 2" xfId="4654" xr:uid="{8277EA4F-7884-4020-8A14-BFEBEBC5CD82}"/>
    <cellStyle name="Normal 3 10 3 4" xfId="4185" xr:uid="{B0003A75-223F-410C-AA50-F0CAF91F379F}"/>
    <cellStyle name="Normal 3 10 4" xfId="2941" xr:uid="{462CDA6A-0C52-4C07-B947-2BC7D626CDC2}"/>
    <cellStyle name="Normal 3 10 4 2" xfId="3610" xr:uid="{6911D803-67A5-4D99-BFDD-EEA0E5856FFC}"/>
    <cellStyle name="Normal 3 10 4 2 2" xfId="4334" xr:uid="{04D291A8-89D6-4389-8DF9-1C74290359D9}"/>
    <cellStyle name="Normal 3 10 4 3" xfId="3866" xr:uid="{2C6682FD-FF08-4B76-A068-6A43EA2E661E}"/>
    <cellStyle name="Normal 3 10 4 3 2" xfId="4574" xr:uid="{2E84E665-D20C-4586-98C1-AADDAC490029}"/>
    <cellStyle name="Normal 3 10 4 4" xfId="4105" xr:uid="{E0BD2F08-7049-4383-8A53-0640F9621BA5}"/>
    <cellStyle name="Normal 3 10 5" xfId="3520" xr:uid="{A7366CB9-D620-4BFE-85E8-7DDC3FFAF77F}"/>
    <cellStyle name="Normal 3 10 5 2" xfId="4244" xr:uid="{BDA198A1-A54C-4D98-99A0-1DA9E7F0CC29}"/>
    <cellStyle name="Normal 3 10 6" xfId="3776" xr:uid="{34B2B7A2-4B24-4EE7-A941-F1A987522DF1}"/>
    <cellStyle name="Normal 3 10 6 2" xfId="4484" xr:uid="{EF03C5FA-8ADF-409D-9F4A-7318735563FE}"/>
    <cellStyle name="Normal 3 10 7" xfId="4015" xr:uid="{5DEBA28C-6FC6-4BA2-B540-E51EC977006A}"/>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393" xr:uid="{A685063C-4E61-4987-8CCF-57A857725AF8}"/>
    <cellStyle name="Normal 3 11 2 2 3" xfId="3925" xr:uid="{A8C1A606-D311-4804-8C67-EE066F960682}"/>
    <cellStyle name="Normal 3 11 2 2 3 2" xfId="4633" xr:uid="{AED7D00F-59FB-4D27-ACC3-CC7E7914CA16}"/>
    <cellStyle name="Normal 3 11 2 2 4" xfId="4164" xr:uid="{078319AA-7214-419E-B5B2-DB1F76DE4996}"/>
    <cellStyle name="Normal 3 11 2 3" xfId="3584" xr:uid="{687EC46E-A000-4D42-80C4-AB6653969B40}"/>
    <cellStyle name="Normal 3 11 2 3 2" xfId="4308" xr:uid="{8A31B339-3DEB-4CBA-B35D-7D7EB908BB46}"/>
    <cellStyle name="Normal 3 11 2 4" xfId="3840" xr:uid="{313D0CED-E188-4A7A-9A7A-D1D786D15827}"/>
    <cellStyle name="Normal 3 11 2 4 2" xfId="4548" xr:uid="{1B472974-79C5-4786-BB3B-DE66DEBC5B35}"/>
    <cellStyle name="Normal 3 11 2 5" xfId="4079" xr:uid="{1022D904-B589-4791-9E93-CE83101BF2B8}"/>
    <cellStyle name="Normal 3 11 3" xfId="3460" xr:uid="{473FAF2A-6114-441A-921E-EE0D3A1E7E02}"/>
    <cellStyle name="Normal 3 11 3 2" xfId="3725" xr:uid="{FC14E282-5371-431C-A046-680CF234803C}"/>
    <cellStyle name="Normal 3 11 3 2 2" xfId="4433" xr:uid="{60C21B00-C7DD-4DC3-A7DA-43CC17094D68}"/>
    <cellStyle name="Normal 3 11 3 3" xfId="3965" xr:uid="{AE3A34DC-EC16-4679-B5BA-E4DCFB4B821A}"/>
    <cellStyle name="Normal 3 11 3 3 2" xfId="4673" xr:uid="{5AE8343A-52B5-4D4A-BA57-CEFDD600C315}"/>
    <cellStyle name="Normal 3 11 3 4" xfId="4204" xr:uid="{B4C6271B-C200-4EF3-AC1D-FBAA2CFCC90D}"/>
    <cellStyle name="Normal 3 11 4" xfId="2960" xr:uid="{40DC0902-9D4C-42AA-8E56-D6A3EE61A3CF}"/>
    <cellStyle name="Normal 3 11 4 2" xfId="3629" xr:uid="{4A6DDF94-E641-429C-BE70-151C60D2BE02}"/>
    <cellStyle name="Normal 3 11 4 2 2" xfId="4353" xr:uid="{418396C3-83A1-40DC-B70E-23C066706FEC}"/>
    <cellStyle name="Normal 3 11 4 3" xfId="3885" xr:uid="{6743E530-0E99-4187-8A22-7289330DEC6C}"/>
    <cellStyle name="Normal 3 11 4 3 2" xfId="4593" xr:uid="{2C0003AB-1416-45E9-8E92-1F748C7C795E}"/>
    <cellStyle name="Normal 3 11 4 4" xfId="4124" xr:uid="{39F44A46-1BBF-40C2-AB18-25A36D82031C}"/>
    <cellStyle name="Normal 3 11 5" xfId="3539" xr:uid="{7623E7D9-61BB-49B8-BFD6-E35F56069002}"/>
    <cellStyle name="Normal 3 11 5 2" xfId="4263" xr:uid="{97B9A310-8BA0-4E08-A1A1-E7FB936D1174}"/>
    <cellStyle name="Normal 3 11 6" xfId="3795" xr:uid="{4D05CE89-A6EF-47A9-B127-29070C68A11C}"/>
    <cellStyle name="Normal 3 11 6 2" xfId="4503" xr:uid="{CD4D523A-E729-4A71-8E27-99F123A76088}"/>
    <cellStyle name="Normal 3 11 7" xfId="4034" xr:uid="{975769B8-38F4-4CF6-A4E1-25BC4B68D220}"/>
    <cellStyle name="Normal 3 12" xfId="30" xr:uid="{CE7437FF-0DB7-410E-9D29-AFC41BAB1D47}"/>
    <cellStyle name="Normal 3 12 2" xfId="2876" xr:uid="{89019A92-E6D6-4AF1-A636-0C9530E78615}"/>
    <cellStyle name="Normal 3 12 2 2" xfId="3545" xr:uid="{2C114EFA-BAE4-4E13-8DEA-0CB8A46AFCC2}"/>
    <cellStyle name="Normal 3 12 2 2 2" xfId="4269" xr:uid="{1D1897FC-ACD2-4FD2-959E-354E54999600}"/>
    <cellStyle name="Normal 3 12 2 3" xfId="3801" xr:uid="{664915DE-3D1C-4119-8AAE-9748465FA05C}"/>
    <cellStyle name="Normal 3 12 2 3 2" xfId="4509" xr:uid="{CAA10356-9925-4B1E-B4DA-6FDA00C81AB9}"/>
    <cellStyle name="Normal 3 12 2 4" xfId="4040" xr:uid="{CBC289EA-EC4D-426F-B805-609015CA2DE0}"/>
    <cellStyle name="Normal 3 12 3" xfId="2921" xr:uid="{72794F26-51F0-4D55-886D-1D1D5505C926}"/>
    <cellStyle name="Normal 3 12 3 2" xfId="3590" xr:uid="{2DFDE289-0A01-4BD9-B890-08D3D58BB688}"/>
    <cellStyle name="Normal 3 12 3 2 2" xfId="4314" xr:uid="{F853550D-EAAE-4C3B-8C58-7AF0BEA00875}"/>
    <cellStyle name="Normal 3 12 3 3" xfId="3846" xr:uid="{C8EEA339-3444-4A93-A31A-46CB6D650B93}"/>
    <cellStyle name="Normal 3 12 3 3 2" xfId="4554" xr:uid="{08D99A7A-DEC0-4673-A1F5-60EDD60F89B2}"/>
    <cellStyle name="Normal 3 12 3 4" xfId="4085" xr:uid="{DD9891E2-C889-42C9-A550-B3AE22621E3A}"/>
    <cellStyle name="Normal 3 12 4" xfId="3500" xr:uid="{C5A3EFFA-2CF0-491B-BC77-0561BEB79347}"/>
    <cellStyle name="Normal 3 12 4 2" xfId="4224" xr:uid="{6E017095-FD50-489C-8A2B-08588094032D}"/>
    <cellStyle name="Normal 3 12 5" xfId="3756" xr:uid="{4B873D30-99E6-4566-98DC-FEC75DF8F453}"/>
    <cellStyle name="Normal 3 12 5 2" xfId="4464" xr:uid="{CFD878B9-1440-4AE1-9967-9FF76AC78502}"/>
    <cellStyle name="Normal 3 12 6" xfId="3995" xr:uid="{43F7A8BD-C419-4264-98FD-9A13B6C88811}"/>
    <cellStyle name="Normal 3 13" xfId="25" xr:uid="{5222AD7C-95CC-4035-B9B7-EAF5571229F0}"/>
    <cellStyle name="Normal 3 13 2" xfId="2961" xr:uid="{E4AE2F3C-F6EF-467F-BE76-66448912965B}"/>
    <cellStyle name="Normal 3 13 2 2" xfId="3630" xr:uid="{0C4C316D-B335-4DE8-B4BA-6BCF12C3253F}"/>
    <cellStyle name="Normal 3 13 2 2 2" xfId="4354" xr:uid="{4F418258-52CC-40A3-AFEC-6658756768EE}"/>
    <cellStyle name="Normal 3 13 2 3" xfId="3886" xr:uid="{EB44C192-BD71-41DD-B7D5-E067CC704580}"/>
    <cellStyle name="Normal 3 13 2 3 2" xfId="4594" xr:uid="{E69CA6FD-07C2-4678-B468-5D44975BF3D4}"/>
    <cellStyle name="Normal 3 13 2 4" xfId="4125" xr:uid="{0B3D88D6-1C15-46D2-AB1E-339BF7B48CDE}"/>
    <cellStyle name="Normal 3 13 3" xfId="3495" xr:uid="{5C90E67B-BE9E-4A09-BE46-8EA2C0777640}"/>
    <cellStyle name="Normal 3 13 3 2" xfId="4219" xr:uid="{DC697D45-C157-4D82-B956-D951B5881B40}"/>
    <cellStyle name="Normal 3 13 4" xfId="3751" xr:uid="{92609608-321F-4342-B782-7303A0F47DDD}"/>
    <cellStyle name="Normal 3 13 4 2" xfId="4459" xr:uid="{A87F8753-1A92-4B31-ACFF-9FE9AD2B4F04}"/>
    <cellStyle name="Normal 3 13 5" xfId="3990" xr:uid="{65CA078D-2985-400E-920A-7E1A5687A58E}"/>
    <cellStyle name="Normal 3 14" xfId="2871" xr:uid="{9BC96785-724F-4771-B0E8-0873FA9C0C9E}"/>
    <cellStyle name="Normal 3 14 2" xfId="3017" xr:uid="{7B9A33BF-D1B1-4F8F-B587-EDE13C531914}"/>
    <cellStyle name="Normal 3 14 2 2" xfId="3686" xr:uid="{3055CFB1-19FD-4A7B-8F7F-ED8BEEB24848}"/>
    <cellStyle name="Normal 3 14 2 2 2" xfId="4394" xr:uid="{BD5D68D6-CAD4-4D13-B005-D67B62D7AF66}"/>
    <cellStyle name="Normal 3 14 2 3" xfId="3926" xr:uid="{1AE77755-9CEF-407A-B292-5C560C8B810E}"/>
    <cellStyle name="Normal 3 14 2 3 2" xfId="4634" xr:uid="{D117C376-5E37-41E6-86D8-BE0B8EE48735}"/>
    <cellStyle name="Normal 3 14 2 4" xfId="4165" xr:uid="{BEFFCB99-A07F-4EAA-9CC4-1717CB819B1F}"/>
    <cellStyle name="Normal 3 14 3" xfId="3540" xr:uid="{1FEF3577-6A9F-44CE-B975-AD63EEAC2406}"/>
    <cellStyle name="Normal 3 14 3 2" xfId="4264" xr:uid="{0A5E38EB-9BB1-4936-9B85-99F8FC9EA3E5}"/>
    <cellStyle name="Normal 3 14 4" xfId="3796" xr:uid="{740C11CD-9130-4019-BE25-808C1BABD646}"/>
    <cellStyle name="Normal 3 14 4 2" xfId="4504" xr:uid="{DEB75143-8B5D-474C-8B0A-735E8DD42EBF}"/>
    <cellStyle name="Normal 3 14 5" xfId="4035" xr:uid="{B36023ED-DEBF-46C6-A6A2-8D131CE2D123}"/>
    <cellStyle name="Normal 3 15" xfId="3481" xr:uid="{93AD2539-2E2D-421F-AF08-E422C8555185}"/>
    <cellStyle name="Normal 3 15 2" xfId="3728" xr:uid="{9FBEFE11-E946-4BC0-8C71-4846E3B94257}"/>
    <cellStyle name="Normal 3 15 2 2" xfId="4436" xr:uid="{5CFA8F2A-1896-4576-8716-B2B6050267E0}"/>
    <cellStyle name="Normal 3 15 3" xfId="3968" xr:uid="{802BE9AC-911B-4144-96EB-1BD000835A65}"/>
    <cellStyle name="Normal 3 15 3 2" xfId="4676" xr:uid="{52C8FE23-BE1A-446E-BDAD-1FF06461CF86}"/>
    <cellStyle name="Normal 3 15 4" xfId="4207" xr:uid="{42220E5C-918D-42F9-92DD-8A2E5A0CB522}"/>
    <cellStyle name="Normal 3 16" xfId="3482" xr:uid="{DA5E3B33-0D5D-4015-BC69-CAD4D66474EE}"/>
    <cellStyle name="Normal 3 16 2" xfId="3729" xr:uid="{A14504B8-2B59-45DC-A5B5-3F8CB6B56A7A}"/>
    <cellStyle name="Normal 3 16 2 2" xfId="4437" xr:uid="{02D0B045-DD0F-43A2-9233-385170EA05C4}"/>
    <cellStyle name="Normal 3 16 3" xfId="3969" xr:uid="{589CD7C5-73F8-4775-A71C-FE4E20304A73}"/>
    <cellStyle name="Normal 3 16 3 2" xfId="4677" xr:uid="{0DF72DE3-12D9-4DAA-8543-F7902843C701}"/>
    <cellStyle name="Normal 3 16 4" xfId="4208" xr:uid="{9FDCE1A7-A8F5-420D-8385-395254C7A6A1}"/>
    <cellStyle name="Normal 3 17" xfId="2916" xr:uid="{E1470D30-0968-4AB4-86AA-CE8CC35963C2}"/>
    <cellStyle name="Normal 3 17 2" xfId="3585" xr:uid="{254563E4-644F-4A09-AC36-FBE4DD950CA6}"/>
    <cellStyle name="Normal 3 17 2 2" xfId="4309" xr:uid="{A772C88E-423E-40A1-83E0-78337E19B0B5}"/>
    <cellStyle name="Normal 3 17 3" xfId="3841" xr:uid="{BB1E3B92-3A44-48FB-8CD1-16A1121F4F16}"/>
    <cellStyle name="Normal 3 17 3 2" xfId="4549" xr:uid="{76B96927-E521-4BD5-9020-13377F62ADFA}"/>
    <cellStyle name="Normal 3 17 4" xfId="4080" xr:uid="{AD76B7A2-5FE4-4BFC-83F5-780F4CD2AE99}"/>
    <cellStyle name="Normal 3 18" xfId="3490" xr:uid="{5BF230E3-1F3B-4052-A93C-A945A2CA2145}"/>
    <cellStyle name="Normal 3 18 2" xfId="4214" xr:uid="{AEA1DBA3-C5EB-45F0-9454-680A776898F8}"/>
    <cellStyle name="Normal 3 19" xfId="20" xr:uid="{01FAD78A-0759-4848-9D6B-26241B42F2ED}"/>
    <cellStyle name="Normal 3 19 2" xfId="3985" xr:uid="{2755F2B0-14A6-477F-AA9B-437B75BE1911}"/>
    <cellStyle name="Normal 3 2" xfId="14" xr:uid="{00000000-0005-0000-0000-000006000000}"/>
    <cellStyle name="Normal 3 2 10" xfId="3483" xr:uid="{204754A9-C5C4-49E8-B53E-3445CB1B94B3}"/>
    <cellStyle name="Normal 3 2 10 2" xfId="3730" xr:uid="{10FB8932-2484-4AEC-B949-990BE1A824BE}"/>
    <cellStyle name="Normal 3 2 10 2 2" xfId="4438" xr:uid="{88A99B91-59F5-4D31-BD72-C5A5075B898A}"/>
    <cellStyle name="Normal 3 2 10 3" xfId="3970" xr:uid="{43C526DE-887F-4DC8-AB06-3E98260B380D}"/>
    <cellStyle name="Normal 3 2 10 3 2" xfId="4678" xr:uid="{F341BD40-71AC-472F-82F6-14BD4373F90E}"/>
    <cellStyle name="Normal 3 2 10 4" xfId="4209" xr:uid="{FEC1AD0C-80CE-458D-B1C8-2DC932B6CA56}"/>
    <cellStyle name="Normal 3 2 11" xfId="2917" xr:uid="{E35462F0-8F70-4525-96D0-17696167AD10}"/>
    <cellStyle name="Normal 3 2 11 2" xfId="3586" xr:uid="{4932E65F-F071-4A37-B3CE-70FD45154E58}"/>
    <cellStyle name="Normal 3 2 11 2 2" xfId="4310" xr:uid="{9CA2988B-1E40-4FF6-B937-883CC5C5E782}"/>
    <cellStyle name="Normal 3 2 11 3" xfId="3842" xr:uid="{244F3F99-EF5B-4E70-B4A9-17C145C2CEC7}"/>
    <cellStyle name="Normal 3 2 11 3 2" xfId="4550" xr:uid="{DEE41598-E120-4F6C-927F-57A53CFB5E7C}"/>
    <cellStyle name="Normal 3 2 11 4" xfId="4081" xr:uid="{73A0E490-A14C-431F-B3CF-09BDECC757FD}"/>
    <cellStyle name="Normal 3 2 12" xfId="3491" xr:uid="{E6FA6BF8-52AA-49A2-95E3-BF658A677DAB}"/>
    <cellStyle name="Normal 3 2 12 2" xfId="4215" xr:uid="{31382928-DC3E-4092-BD15-6ECD4CC918FA}"/>
    <cellStyle name="Normal 3 2 13" xfId="21" xr:uid="{25DBC5BC-7E32-4E3B-A20B-D4888C99BA99}"/>
    <cellStyle name="Normal 3 2 13 2" xfId="3986" xr:uid="{F9A2725E-A76C-419A-AC20-5B6AFBD7C2F8}"/>
    <cellStyle name="Normal 3 2 14" xfId="3747" xr:uid="{CBC91AA5-DE27-4F41-8254-EB5864BEC853}"/>
    <cellStyle name="Normal 3 2 14 2" xfId="4455" xr:uid="{E501FD14-C718-4A4C-9BAE-3D3630786604}"/>
    <cellStyle name="Normal 3 2 15" xfId="3980" xr:uid="{19E0890E-23E1-45C0-B856-1C589A3D623F}"/>
    <cellStyle name="Normal 3 2 2" xfId="18" xr:uid="{00000000-0005-0000-0000-000007000000}"/>
    <cellStyle name="Normal 3 2 2 10" xfId="3983" xr:uid="{0ED95B50-439B-4B72-BCEE-564590FA1B2D}"/>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441" xr:uid="{A80F071C-ECB7-4D43-9CEF-A628D12959F2}"/>
    <cellStyle name="Normal 3 2 2 3 2 3" xfId="3973" xr:uid="{8A77F8CA-CC6B-49E5-B5BE-20397A857A90}"/>
    <cellStyle name="Normal 3 2 2 3 2 3 2" xfId="4681" xr:uid="{FC13A646-418B-4097-A5FA-17019EEA9A67}"/>
    <cellStyle name="Normal 3 2 2 3 2 4" xfId="4212" xr:uid="{273582BF-BA24-422D-BF11-821CDCCBBC7A}"/>
    <cellStyle name="Normal 3 2 2 3 3" xfId="3499" xr:uid="{D87B35BA-D399-4133-B262-4A0EED1F1321}"/>
    <cellStyle name="Normal 3 2 2 3 3 2" xfId="4223" xr:uid="{09C87922-EE85-4FC8-9D66-5A262CC95C22}"/>
    <cellStyle name="Normal 3 2 2 3 4" xfId="3755" xr:uid="{3E0BC2E6-9754-4720-B0F0-C61285B650F0}"/>
    <cellStyle name="Normal 3 2 2 3 4 2" xfId="4463" xr:uid="{E8F48DC6-74E0-4D74-94C6-605EDD6820FA}"/>
    <cellStyle name="Normal 3 2 2 3 5" xfId="3994" xr:uid="{D85475FA-AE9E-4E21-91B0-D23B0279F452}"/>
    <cellStyle name="Normal 3 2 2 4" xfId="2875" xr:uid="{602BD524-FA18-41D2-A125-18B8D1D6943E}"/>
    <cellStyle name="Normal 3 2 2 4 2" xfId="3544" xr:uid="{98E9EC8A-0583-4C6D-A165-2B499227DFF9}"/>
    <cellStyle name="Normal 3 2 2 4 2 2" xfId="4268" xr:uid="{014D015F-80AC-495B-982E-EEEC490CA78B}"/>
    <cellStyle name="Normal 3 2 2 4 3" xfId="3800" xr:uid="{A1516416-36DA-40F4-9193-A5F1D495B82D}"/>
    <cellStyle name="Normal 3 2 2 4 3 2" xfId="4508" xr:uid="{640356B2-53B6-4E5D-8353-D87452DB646E}"/>
    <cellStyle name="Normal 3 2 2 4 4" xfId="4039" xr:uid="{71802164-8078-4FFA-9B0F-73F4A0C56A8B}"/>
    <cellStyle name="Normal 3 2 2 5" xfId="2920" xr:uid="{DF30F75E-C3A9-47A4-A54D-4259E8EB977F}"/>
    <cellStyle name="Normal 3 2 2 5 2" xfId="3589" xr:uid="{0E657184-C9AE-427D-B917-7A0928B66E88}"/>
    <cellStyle name="Normal 3 2 2 5 2 2" xfId="4313" xr:uid="{A3C808B2-62FF-412E-8188-68A1D52395C1}"/>
    <cellStyle name="Normal 3 2 2 5 3" xfId="3845" xr:uid="{398EB7CF-6B9B-447A-96D7-C5200F47B828}"/>
    <cellStyle name="Normal 3 2 2 5 3 2" xfId="4553" xr:uid="{FD855DB8-00AD-4D27-8E41-481F093FA5AC}"/>
    <cellStyle name="Normal 3 2 2 5 4" xfId="4084" xr:uid="{B93E4B02-96EE-4CDC-85FA-891920413B0C}"/>
    <cellStyle name="Normal 3 2 2 6" xfId="3494" xr:uid="{62B6D280-2B34-43A6-A094-7F89EDC62849}"/>
    <cellStyle name="Normal 3 2 2 6 2" xfId="4218" xr:uid="{350330B8-6725-4935-AA3E-423326A5AA2C}"/>
    <cellStyle name="Normal 3 2 2 7" xfId="3734" xr:uid="{279AF43C-9DF2-4779-988B-7998645A2B19}"/>
    <cellStyle name="Normal 3 2 2 7 2" xfId="4442" xr:uid="{2B881D13-AA11-4B23-A248-267F9059B7C8}"/>
    <cellStyle name="Normal 3 2 2 8" xfId="24" xr:uid="{2C4572D3-A4B4-4D01-8834-280B8EF696AF}"/>
    <cellStyle name="Normal 3 2 2 8 2" xfId="3989" xr:uid="{5C1BE343-D9F5-472F-9DBD-F9B1FBBBEBD6}"/>
    <cellStyle name="Normal 3 2 2 9" xfId="3750" xr:uid="{5FFF8A30-FFE9-46A1-9148-AC495F41B7A7}"/>
    <cellStyle name="Normal 3 2 2 9 2" xfId="4458" xr:uid="{27BF4B2B-045E-4EFA-BC70-09859E910405}"/>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384" xr:uid="{C8332755-F6AA-4775-86D8-903B3E143A9C}"/>
    <cellStyle name="Normal 3 2 3 2 2 2 3" xfId="3916" xr:uid="{281B0E83-FE2C-4008-877E-955FEE48249D}"/>
    <cellStyle name="Normal 3 2 3 2 2 2 3 2" xfId="4624" xr:uid="{C666A6C5-6AE2-4521-A97F-C2274537C33A}"/>
    <cellStyle name="Normal 3 2 3 2 2 2 4" xfId="4155" xr:uid="{FFD90431-9670-4F52-BBAE-F27EC1C628D8}"/>
    <cellStyle name="Normal 3 2 3 2 2 3" xfId="3575" xr:uid="{1985A5BE-3165-4989-B82A-74CBFD2444C0}"/>
    <cellStyle name="Normal 3 2 3 2 2 3 2" xfId="4299" xr:uid="{74B19A6D-BA3E-4EBC-A9A1-A8F395012BD4}"/>
    <cellStyle name="Normal 3 2 3 2 2 4" xfId="3831" xr:uid="{408FD0E0-DC62-432B-8236-2BD95EC40C3C}"/>
    <cellStyle name="Normal 3 2 3 2 2 4 2" xfId="4539" xr:uid="{D980A681-1B68-4401-B93A-4A4E7F49E401}"/>
    <cellStyle name="Normal 3 2 3 2 2 5" xfId="4070" xr:uid="{3DB8C1B2-9FBD-4ABB-B16C-5C0032D89BC0}"/>
    <cellStyle name="Normal 3 2 3 2 3" xfId="3451" xr:uid="{4F1E9D89-0262-4E12-AE4A-DBFB2899C668}"/>
    <cellStyle name="Normal 3 2 3 2 3 2" xfId="3716" xr:uid="{28CF2699-DE0A-43AB-A7EE-64EFA4C5DCE4}"/>
    <cellStyle name="Normal 3 2 3 2 3 2 2" xfId="4424" xr:uid="{47AF7BAA-15E0-4FE5-85A2-7CA67FE08963}"/>
    <cellStyle name="Normal 3 2 3 2 3 3" xfId="3956" xr:uid="{83E4AA8A-E403-4BC6-B79A-F1D2BC00CA47}"/>
    <cellStyle name="Normal 3 2 3 2 3 3 2" xfId="4664" xr:uid="{27A97D12-FBB7-4403-A5A6-D52D214C64A0}"/>
    <cellStyle name="Normal 3 2 3 2 3 4" xfId="4195" xr:uid="{1779726E-4222-49A7-9D0A-F2A76664E3E3}"/>
    <cellStyle name="Normal 3 2 3 2 4" xfId="2951" xr:uid="{96B1A600-5B80-4469-ACC6-3C100661DD30}"/>
    <cellStyle name="Normal 3 2 3 2 4 2" xfId="3620" xr:uid="{38BA8692-4DAF-4099-A8FA-E58975284D66}"/>
    <cellStyle name="Normal 3 2 3 2 4 2 2" xfId="4344" xr:uid="{D58C475D-2B15-47E3-ABE3-37C6B1E0EC01}"/>
    <cellStyle name="Normal 3 2 3 2 4 3" xfId="3876" xr:uid="{27150CDD-BACF-4D43-9889-1679CC85F670}"/>
    <cellStyle name="Normal 3 2 3 2 4 3 2" xfId="4584" xr:uid="{8E7400E3-442E-4105-84E1-D8267FF6E4EC}"/>
    <cellStyle name="Normal 3 2 3 2 4 4" xfId="4115" xr:uid="{46D26077-3E8B-4ACB-8B10-0BB1E7D6F6B2}"/>
    <cellStyle name="Normal 3 2 3 2 5" xfId="3530" xr:uid="{D14F1F0B-62E8-4685-B659-9922CB85EC7B}"/>
    <cellStyle name="Normal 3 2 3 2 5 2" xfId="4254" xr:uid="{B01D8EF6-68A1-4B6A-8667-B17AD09EFDAA}"/>
    <cellStyle name="Normal 3 2 3 2 6" xfId="3786" xr:uid="{F05A90C4-FBDC-4273-8608-A0CF6203E23D}"/>
    <cellStyle name="Normal 3 2 3 2 6 2" xfId="4494" xr:uid="{65AC90D2-ABBE-4D83-94F9-57D616E0F969}"/>
    <cellStyle name="Normal 3 2 3 2 7" xfId="4025" xr:uid="{8FF67D60-E247-4319-910C-192B019904C3}"/>
    <cellStyle name="Normal 3 2 3 3" xfId="2889" xr:uid="{4F6148E4-AF14-434E-8B11-1532018A0CE5}"/>
    <cellStyle name="Normal 3 2 3 3 2" xfId="2990" xr:uid="{81BA056D-8D84-4131-B030-7009F8A713E3}"/>
    <cellStyle name="Normal 3 2 3 3 2 2" xfId="3659" xr:uid="{930BD4F0-C881-4A49-9220-B9792DBB7318}"/>
    <cellStyle name="Normal 3 2 3 3 2 2 2" xfId="4367" xr:uid="{5B3F9A42-966E-42FC-9BE6-EDF733D34988}"/>
    <cellStyle name="Normal 3 2 3 3 2 3" xfId="3899" xr:uid="{4E670538-2610-4E2F-A7B5-8DE77C8CA143}"/>
    <cellStyle name="Normal 3 2 3 3 2 3 2" xfId="4607" xr:uid="{B3F92A35-A921-40FE-88E2-6ABF37BD9F78}"/>
    <cellStyle name="Normal 3 2 3 3 2 4" xfId="4138" xr:uid="{500BDACA-F5F3-47D0-AB69-61E0912A304D}"/>
    <cellStyle name="Normal 3 2 3 3 3" xfId="3558" xr:uid="{3BE8AF4C-F0B1-406D-A3AC-34892377E476}"/>
    <cellStyle name="Normal 3 2 3 3 3 2" xfId="4282" xr:uid="{88754ACB-6450-4C08-9A6C-9F66711746D4}"/>
    <cellStyle name="Normal 3 2 3 3 4" xfId="3814" xr:uid="{E18EB0E4-D062-405F-9450-107C2406338C}"/>
    <cellStyle name="Normal 3 2 3 3 4 2" xfId="4522" xr:uid="{7E940EFF-2C29-4482-B7C4-E57C8161362E}"/>
    <cellStyle name="Normal 3 2 3 3 5" xfId="4053" xr:uid="{02DB3130-2832-457F-AECF-D7E02FCC4F39}"/>
    <cellStyle name="Normal 3 2 3 4" xfId="3433" xr:uid="{3574DC78-43D8-4F4C-B987-9DF72AD96737}"/>
    <cellStyle name="Normal 3 2 3 4 2" xfId="3699" xr:uid="{75F26E6B-3602-403D-A829-0FB94AA11660}"/>
    <cellStyle name="Normal 3 2 3 4 2 2" xfId="4407" xr:uid="{78C83391-7085-4CBE-98F4-9790E1951063}"/>
    <cellStyle name="Normal 3 2 3 4 3" xfId="3939" xr:uid="{03233F82-7C35-4E73-BA61-4FE3F2E9E165}"/>
    <cellStyle name="Normal 3 2 3 4 3 2" xfId="4647" xr:uid="{D0313B19-96DF-442A-B09E-4FF666922062}"/>
    <cellStyle name="Normal 3 2 3 4 4" xfId="4178" xr:uid="{29A1CCF8-C6B7-45F2-9237-B61150218F9C}"/>
    <cellStyle name="Normal 3 2 3 5" xfId="2934" xr:uid="{BB4426AC-2E73-406E-B9D3-F75990E4C9B8}"/>
    <cellStyle name="Normal 3 2 3 5 2" xfId="3603" xr:uid="{0C0905AB-CCFE-4156-99F4-D614F937B5BF}"/>
    <cellStyle name="Normal 3 2 3 5 2 2" xfId="4327" xr:uid="{1AFB4AAA-350A-4269-8FCF-8532C147BFB3}"/>
    <cellStyle name="Normal 3 2 3 5 3" xfId="3859" xr:uid="{A79F877F-D09A-40EC-B796-01127E5A3041}"/>
    <cellStyle name="Normal 3 2 3 5 3 2" xfId="4567" xr:uid="{A6E4672E-8E51-4B1E-BFDC-F590DB2BF366}"/>
    <cellStyle name="Normal 3 2 3 5 4" xfId="4098" xr:uid="{693B7B4A-08BF-4208-840F-46470B93D64F}"/>
    <cellStyle name="Normal 3 2 3 6" xfId="3513" xr:uid="{0FA0B881-11DB-45DF-9804-648C3EFF6988}"/>
    <cellStyle name="Normal 3 2 3 6 2" xfId="4237" xr:uid="{372669A1-719F-49C4-834A-46D77EE44F84}"/>
    <cellStyle name="Normal 3 2 3 7" xfId="3769" xr:uid="{3F44A827-19CF-46E5-BA51-B9588653B0A7}"/>
    <cellStyle name="Normal 3 2 3 7 2" xfId="4477" xr:uid="{1F78656C-16BF-4F5F-9017-59A02C7FF0BA}"/>
    <cellStyle name="Normal 3 2 3 8" xfId="4008" xr:uid="{065046DD-2C35-4B7D-B9F8-2578AF8D192A}"/>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378" xr:uid="{AD4179D2-087B-4823-9FD1-A65ACF707748}"/>
    <cellStyle name="Normal 3 2 4 2 2 2 3" xfId="3910" xr:uid="{4D784B2B-A260-443C-BA7E-5551AEE476C5}"/>
    <cellStyle name="Normal 3 2 4 2 2 2 3 2" xfId="4618" xr:uid="{F2B93A21-B242-4483-A5B6-959988C33DCD}"/>
    <cellStyle name="Normal 3 2 4 2 2 2 4" xfId="4149" xr:uid="{089B2D65-D021-4AAB-BAAF-A0957F294308}"/>
    <cellStyle name="Normal 3 2 4 2 2 3" xfId="3569" xr:uid="{8BBD2548-1249-420D-BEA5-8369882A6348}"/>
    <cellStyle name="Normal 3 2 4 2 2 3 2" xfId="4293" xr:uid="{7BE8E075-E6A4-46F2-9E55-A6779A19EB00}"/>
    <cellStyle name="Normal 3 2 4 2 2 4" xfId="3825" xr:uid="{258538C5-7D4F-4CF0-AA62-AE73E3F53088}"/>
    <cellStyle name="Normal 3 2 4 2 2 4 2" xfId="4533" xr:uid="{6067DCCB-A2DE-4E93-A65B-7E95F8C16A01}"/>
    <cellStyle name="Normal 3 2 4 2 2 5" xfId="4064" xr:uid="{9F2145B7-BF05-4C22-AA57-8390BE90E5C5}"/>
    <cellStyle name="Normal 3 2 4 2 3" xfId="3445" xr:uid="{544EA63F-37BF-4A41-BD5A-CB44364A216D}"/>
    <cellStyle name="Normal 3 2 4 2 3 2" xfId="3710" xr:uid="{C137A5B7-D39E-444F-97E0-26F86D67BFFE}"/>
    <cellStyle name="Normal 3 2 4 2 3 2 2" xfId="4418" xr:uid="{FF85C7C4-B648-404B-9774-534C03161887}"/>
    <cellStyle name="Normal 3 2 4 2 3 3" xfId="3950" xr:uid="{370A8538-661B-4F35-A9C4-4FD917C8ABDC}"/>
    <cellStyle name="Normal 3 2 4 2 3 3 2" xfId="4658" xr:uid="{24AA3354-BE3B-4992-AE17-4F02414D9DDC}"/>
    <cellStyle name="Normal 3 2 4 2 3 4" xfId="4189" xr:uid="{031D6F2E-58BF-4167-8C01-F1BD14315E6A}"/>
    <cellStyle name="Normal 3 2 4 2 4" xfId="2945" xr:uid="{AC6DAD2F-D880-477C-8BA0-CD49D5412566}"/>
    <cellStyle name="Normal 3 2 4 2 4 2" xfId="3614" xr:uid="{992F29CC-FBCE-4791-A790-AC0DA26DF4BE}"/>
    <cellStyle name="Normal 3 2 4 2 4 2 2" xfId="4338" xr:uid="{39ABBDBC-0D5C-4FFD-B12F-36C3244C13D9}"/>
    <cellStyle name="Normal 3 2 4 2 4 3" xfId="3870" xr:uid="{B1567E11-FFC3-42FB-8454-1067A4C095B8}"/>
    <cellStyle name="Normal 3 2 4 2 4 3 2" xfId="4578" xr:uid="{E69B8DCA-EA77-4615-9923-1103C122AF1F}"/>
    <cellStyle name="Normal 3 2 4 2 4 4" xfId="4109" xr:uid="{1F5DB5D3-0F2B-426A-B4DC-9CDCD32C5CA7}"/>
    <cellStyle name="Normal 3 2 4 2 5" xfId="3524" xr:uid="{1E239A57-4609-4E42-A12C-46BC178D6D1E}"/>
    <cellStyle name="Normal 3 2 4 2 5 2" xfId="4248" xr:uid="{53E2EE8D-E18A-4727-B31B-3D751306A965}"/>
    <cellStyle name="Normal 3 2 4 2 6" xfId="3780" xr:uid="{426ECBB0-4364-4254-ABA0-A3632B7A823B}"/>
    <cellStyle name="Normal 3 2 4 2 6 2" xfId="4488" xr:uid="{78B5CD9F-F09B-40D8-90BB-5127B2C9A825}"/>
    <cellStyle name="Normal 3 2 4 2 7" xfId="4019" xr:uid="{FFD00131-BCE1-4DDC-B004-65E7B1741D7A}"/>
    <cellStyle name="Normal 3 2 4 3" xfId="2883" xr:uid="{C3613C5B-D786-427C-B914-F90D2E6A82ED}"/>
    <cellStyle name="Normal 3 2 4 3 2" xfId="2968" xr:uid="{9325A9A2-D9ED-49F9-AB5F-54D40E2FE84E}"/>
    <cellStyle name="Normal 3 2 4 3 2 2" xfId="3637" xr:uid="{E3B4ACCA-1A2F-4F58-A34C-2A8CF90E4D03}"/>
    <cellStyle name="Normal 3 2 4 3 2 2 2" xfId="4361" xr:uid="{29DE0E1B-5EC9-43F6-88D1-650065BAE79D}"/>
    <cellStyle name="Normal 3 2 4 3 2 3" xfId="3893" xr:uid="{FC01CD76-7449-48F7-A470-1E100D881E0A}"/>
    <cellStyle name="Normal 3 2 4 3 2 3 2" xfId="4601" xr:uid="{39D38B5C-1C5E-4B55-952F-57910692C7C8}"/>
    <cellStyle name="Normal 3 2 4 3 2 4" xfId="4132" xr:uid="{6DEE1548-FC0F-45AD-9717-C2EA0510C99B}"/>
    <cellStyle name="Normal 3 2 4 3 3" xfId="3552" xr:uid="{4518D5D8-80B0-4F9A-8BB6-A00B900DF044}"/>
    <cellStyle name="Normal 3 2 4 3 3 2" xfId="4276" xr:uid="{600C2653-941D-4770-96DE-0A41D576EA83}"/>
    <cellStyle name="Normal 3 2 4 3 4" xfId="3808" xr:uid="{68541722-009E-48BF-926D-58C793CDD6DD}"/>
    <cellStyle name="Normal 3 2 4 3 4 2" xfId="4516" xr:uid="{4EA044BE-9E1A-4D41-BE86-21A2325B6A98}"/>
    <cellStyle name="Normal 3 2 4 3 5" xfId="4047" xr:uid="{11B1E0FD-7F31-43E7-A3AD-5F34BC4CFAEA}"/>
    <cellStyle name="Normal 3 2 4 4" xfId="3028" xr:uid="{BB396068-A15A-46B8-9041-615276FC4E2B}"/>
    <cellStyle name="Normal 3 2 4 4 2" xfId="3693" xr:uid="{EABE2F68-111C-44CF-AABD-6E97882C83D8}"/>
    <cellStyle name="Normal 3 2 4 4 2 2" xfId="4401" xr:uid="{B27D37F4-2EE1-4433-90DE-E1D7721E49B3}"/>
    <cellStyle name="Normal 3 2 4 4 3" xfId="3933" xr:uid="{B719AAC4-712E-4F26-BAA0-9C15F4BBC929}"/>
    <cellStyle name="Normal 3 2 4 4 3 2" xfId="4641" xr:uid="{B523CF26-6487-49D6-B432-155C1B4DE1E3}"/>
    <cellStyle name="Normal 3 2 4 4 4" xfId="4172" xr:uid="{A42C154B-5CE8-4137-BB49-B34059D67D9A}"/>
    <cellStyle name="Normal 3 2 4 5" xfId="2928" xr:uid="{61A635B5-39A7-49EC-A691-372097ABBB87}"/>
    <cellStyle name="Normal 3 2 4 5 2" xfId="3597" xr:uid="{8ADC7C4D-7E2F-4CA6-ABF0-48FE1C21C8CE}"/>
    <cellStyle name="Normal 3 2 4 5 2 2" xfId="4321" xr:uid="{86DFF229-A034-4082-90FD-E263BD574F77}"/>
    <cellStyle name="Normal 3 2 4 5 3" xfId="3853" xr:uid="{09A4E59A-CA34-4F29-9F53-EAE5A084F897}"/>
    <cellStyle name="Normal 3 2 4 5 3 2" xfId="4561" xr:uid="{4D3CB0AB-C90F-45D9-BF3B-498712466C2D}"/>
    <cellStyle name="Normal 3 2 4 5 4" xfId="4092" xr:uid="{A8D90882-C3DF-426B-A661-A4FB4C89C717}"/>
    <cellStyle name="Normal 3 2 4 6" xfId="3507" xr:uid="{798DE8B5-E61C-4A5B-AA2F-6E84E30D6CCA}"/>
    <cellStyle name="Normal 3 2 4 6 2" xfId="4231" xr:uid="{50D35AC6-D97B-4891-9425-1AC2795A1E21}"/>
    <cellStyle name="Normal 3 2 4 7" xfId="3763" xr:uid="{EF8A84DF-ACE2-4918-9F44-0C242B7021C6}"/>
    <cellStyle name="Normal 3 2 4 7 2" xfId="4471" xr:uid="{AB68C168-51C0-47D4-A4E0-0A1ABD0CC5D7}"/>
    <cellStyle name="Normal 3 2 4 8" xfId="4002" xr:uid="{468CB05B-BAB9-4125-9EEA-D7E2339DDCA1}"/>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358" xr:uid="{9A446851-AEDB-4493-8754-28F2324F71C1}"/>
    <cellStyle name="Normal 3 2 5 2 2 3" xfId="3890" xr:uid="{9B2AA6A8-50FF-4C79-8119-E81D365D5867}"/>
    <cellStyle name="Normal 3 2 5 2 2 3 2" xfId="4598" xr:uid="{3836B44D-5181-428D-8784-B8E87910A336}"/>
    <cellStyle name="Normal 3 2 5 2 2 4" xfId="4129" xr:uid="{4CBD2EB3-3F7E-4832-948A-C88DDB653CA3}"/>
    <cellStyle name="Normal 3 2 5 2 3" xfId="3549" xr:uid="{42DC2D7D-B305-4E78-A543-A5C994A38F57}"/>
    <cellStyle name="Normal 3 2 5 2 3 2" xfId="4273" xr:uid="{6220B729-2E57-4DDE-8841-A8E81BB20CF4}"/>
    <cellStyle name="Normal 3 2 5 2 4" xfId="3805" xr:uid="{CE4DCD24-69FC-45FB-8E8D-E9A64A962B2C}"/>
    <cellStyle name="Normal 3 2 5 2 4 2" xfId="4513" xr:uid="{716C19A6-C1EA-4570-98E7-AB5A01AB02B6}"/>
    <cellStyle name="Normal 3 2 5 2 5" xfId="4044" xr:uid="{A904F103-2062-45B4-A9CB-2125858A8848}"/>
    <cellStyle name="Normal 3 2 5 3" xfId="3021" xr:uid="{4E740726-28E9-4A37-98D8-69BCC8BAD6F7}"/>
    <cellStyle name="Normal 3 2 5 3 2" xfId="3690" xr:uid="{580DAE05-49F5-49A9-801D-D403F7CAE478}"/>
    <cellStyle name="Normal 3 2 5 3 2 2" xfId="4398" xr:uid="{6C0850B6-BA24-4489-8C8D-8044BAA22C70}"/>
    <cellStyle name="Normal 3 2 5 3 3" xfId="3930" xr:uid="{63828B75-570E-40B3-9055-A98C9F344800}"/>
    <cellStyle name="Normal 3 2 5 3 3 2" xfId="4638" xr:uid="{DA6E03BB-47DB-4B29-9DBA-C9A60A24ADF7}"/>
    <cellStyle name="Normal 3 2 5 3 4" xfId="4169" xr:uid="{9F0C3158-18E8-451C-859D-39170265312B}"/>
    <cellStyle name="Normal 3 2 5 4" xfId="2925" xr:uid="{B2679330-9511-44A5-A0E7-A2030AC0E9D7}"/>
    <cellStyle name="Normal 3 2 5 4 2" xfId="3594" xr:uid="{4AA1837D-B141-412F-AE5E-DEB5B5562DE0}"/>
    <cellStyle name="Normal 3 2 5 4 2 2" xfId="4318" xr:uid="{8A854D26-67A4-4902-8C8E-976CF3B20A7F}"/>
    <cellStyle name="Normal 3 2 5 4 3" xfId="3850" xr:uid="{766B184E-C921-48BB-B295-7524925C47E3}"/>
    <cellStyle name="Normal 3 2 5 4 3 2" xfId="4558" xr:uid="{419C821A-56C6-4AA0-85E2-F479D130F346}"/>
    <cellStyle name="Normal 3 2 5 4 4" xfId="4089" xr:uid="{984E2048-14DC-4070-A2AC-3FBC57F4E349}"/>
    <cellStyle name="Normal 3 2 5 5" xfId="3504" xr:uid="{40CEF293-530F-4496-B065-205F3F8A499C}"/>
    <cellStyle name="Normal 3 2 5 5 2" xfId="4228" xr:uid="{DC56072E-36C2-491A-9CE1-A536D866ED04}"/>
    <cellStyle name="Normal 3 2 5 6" xfId="3760" xr:uid="{1874F256-3FBC-4F44-9859-AECFD0B474FC}"/>
    <cellStyle name="Normal 3 2 5 6 2" xfId="4468" xr:uid="{CF05EF4F-05FC-4A03-B8B4-7CB00DF2826B}"/>
    <cellStyle name="Normal 3 2 5 7" xfId="3999" xr:uid="{ECEFD4A5-5172-4813-AEF5-7E2315A5B047}"/>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375" xr:uid="{5BDAE324-42E6-4AF9-B1B3-BAB03E2FACB9}"/>
    <cellStyle name="Normal 3 2 6 2 2 3" xfId="3907" xr:uid="{3D99A88A-4C79-4AAA-B943-2C91837259A8}"/>
    <cellStyle name="Normal 3 2 6 2 2 3 2" xfId="4615" xr:uid="{A2234283-FA1D-4098-AB62-E10E8652368C}"/>
    <cellStyle name="Normal 3 2 6 2 2 4" xfId="4146" xr:uid="{70ACABDD-FFEA-468E-B892-851878A171EA}"/>
    <cellStyle name="Normal 3 2 6 2 3" xfId="3566" xr:uid="{E82DD52E-4EDC-48C6-963A-6B94ED1EC3EB}"/>
    <cellStyle name="Normal 3 2 6 2 3 2" xfId="4290" xr:uid="{19962838-0570-44C3-BCF7-2674C939DD87}"/>
    <cellStyle name="Normal 3 2 6 2 4" xfId="3822" xr:uid="{D4ADF4B0-03C8-4686-9032-63C457BF4154}"/>
    <cellStyle name="Normal 3 2 6 2 4 2" xfId="4530" xr:uid="{96674CE1-E70F-448B-ABB0-5549BB1EF419}"/>
    <cellStyle name="Normal 3 2 6 2 5" xfId="4061" xr:uid="{CF94CE64-59DD-4BAE-994E-088F3D3775EF}"/>
    <cellStyle name="Normal 3 2 6 3" xfId="3442" xr:uid="{FFA32A7D-DF21-4608-B320-14F41FDC5635}"/>
    <cellStyle name="Normal 3 2 6 3 2" xfId="3707" xr:uid="{4AA068E7-DEB3-4883-A930-A5C5F0B52161}"/>
    <cellStyle name="Normal 3 2 6 3 2 2" xfId="4415" xr:uid="{1AA1B68F-3D58-4260-BDB6-67D1E85C9A7F}"/>
    <cellStyle name="Normal 3 2 6 3 3" xfId="3947" xr:uid="{1821D34C-733D-4ECD-A7D3-0CE758675233}"/>
    <cellStyle name="Normal 3 2 6 3 3 2" xfId="4655" xr:uid="{E62534FD-499A-40DA-AA88-8E832B4F0414}"/>
    <cellStyle name="Normal 3 2 6 3 4" xfId="4186" xr:uid="{06A840B4-C1EB-4710-9F0C-AED628257D9F}"/>
    <cellStyle name="Normal 3 2 6 4" xfId="2942" xr:uid="{6F039511-645D-4B28-9350-40E7266C3E91}"/>
    <cellStyle name="Normal 3 2 6 4 2" xfId="3611" xr:uid="{A2814150-5F40-4220-AA2D-BA56B3D8FB64}"/>
    <cellStyle name="Normal 3 2 6 4 2 2" xfId="4335" xr:uid="{33D163B3-B813-4BC3-BD23-D3CE5B2739D3}"/>
    <cellStyle name="Normal 3 2 6 4 3" xfId="3867" xr:uid="{7F30DA61-B8EB-427D-A9C2-852EC9DDD90C}"/>
    <cellStyle name="Normal 3 2 6 4 3 2" xfId="4575" xr:uid="{3FF20EC5-2517-4360-B808-E6C6720AE960}"/>
    <cellStyle name="Normal 3 2 6 4 4" xfId="4106" xr:uid="{89D8F922-A4F1-45D1-BED9-A128583B684B}"/>
    <cellStyle name="Normal 3 2 6 5" xfId="3521" xr:uid="{1AEA6116-EC6B-4BB6-A00F-D9E00CB01DBF}"/>
    <cellStyle name="Normal 3 2 6 5 2" xfId="4245" xr:uid="{34AF60E9-3541-4802-8585-9CB81FB12724}"/>
    <cellStyle name="Normal 3 2 6 6" xfId="3777" xr:uid="{281E1E2D-1DC5-40E0-A24D-287863918151}"/>
    <cellStyle name="Normal 3 2 6 6 2" xfId="4485" xr:uid="{4967F268-1A48-434E-A946-EB623EB55CF9}"/>
    <cellStyle name="Normal 3 2 6 7" xfId="4016" xr:uid="{A61FE08F-9D6F-4774-91A1-CD88695F89E5}"/>
    <cellStyle name="Normal 3 2 7" xfId="31" xr:uid="{2F3C1975-D9A4-46DE-B8C2-B72AC2C044E0}"/>
    <cellStyle name="Normal 3 2 7 2" xfId="2877" xr:uid="{59781F0C-77A9-45FE-8065-6468F1E0AAEF}"/>
    <cellStyle name="Normal 3 2 7 2 2" xfId="3546" xr:uid="{7E4E383C-F467-4833-9603-62B435DCFA79}"/>
    <cellStyle name="Normal 3 2 7 2 2 2" xfId="4270" xr:uid="{807318B1-DCC9-41E3-B86C-23D00A8DD49E}"/>
    <cellStyle name="Normal 3 2 7 2 3" xfId="3802" xr:uid="{75BEE375-1880-45DB-B77E-F99658930FE0}"/>
    <cellStyle name="Normal 3 2 7 2 3 2" xfId="4510" xr:uid="{4BF066EC-B835-4EE7-A8CE-5249F424B35A}"/>
    <cellStyle name="Normal 3 2 7 2 4" xfId="4041" xr:uid="{044DE8E7-AC52-41DD-9D98-E3C5383FEFD0}"/>
    <cellStyle name="Normal 3 2 7 3" xfId="2922" xr:uid="{E4C8E062-8446-4FC6-BB97-540E387A26A7}"/>
    <cellStyle name="Normal 3 2 7 3 2" xfId="3591" xr:uid="{DF90C2F7-4C93-452D-ACE7-18F1D28980A1}"/>
    <cellStyle name="Normal 3 2 7 3 2 2" xfId="4315" xr:uid="{D87F1A6D-4512-4700-A57F-474FF0EF9347}"/>
    <cellStyle name="Normal 3 2 7 3 3" xfId="3847" xr:uid="{DEF8F908-FF40-42F0-AC83-7CA6C1FEB7D0}"/>
    <cellStyle name="Normal 3 2 7 3 3 2" xfId="4555" xr:uid="{5A69D979-BC36-42D0-A6F5-32CE1F6B0FA7}"/>
    <cellStyle name="Normal 3 2 7 3 4" xfId="4086" xr:uid="{75C7632D-A48A-4099-B804-8672E2B82CBD}"/>
    <cellStyle name="Normal 3 2 7 4" xfId="3501" xr:uid="{AE3D10A4-2F98-4CA8-875F-94496B9C4990}"/>
    <cellStyle name="Normal 3 2 7 4 2" xfId="4225" xr:uid="{1CC68470-22E3-41F4-9BC1-4009CD8F6B71}"/>
    <cellStyle name="Normal 3 2 7 5" xfId="3757" xr:uid="{31FEC0EF-3F27-44E6-A848-CEC60E85F782}"/>
    <cellStyle name="Normal 3 2 7 5 2" xfId="4465" xr:uid="{B6971548-22FC-48A5-8301-4AD2CD529551}"/>
    <cellStyle name="Normal 3 2 7 6" xfId="3996" xr:uid="{6E19C25B-346F-4285-AE76-BA4BA43298ED}"/>
    <cellStyle name="Normal 3 2 8" xfId="26" xr:uid="{1A6667CB-56D8-4FDD-8F5E-B10A2CC5605D}"/>
    <cellStyle name="Normal 3 2 8 2" xfId="2962" xr:uid="{DD45B365-9B60-49ED-BE76-CFF5D5DAA582}"/>
    <cellStyle name="Normal 3 2 8 2 2" xfId="3631" xr:uid="{CC0F055B-6EF9-4E9B-9D49-E4C1FC9CB8EC}"/>
    <cellStyle name="Normal 3 2 8 2 2 2" xfId="4355" xr:uid="{4EA921B5-D5A8-4858-BC05-0A8AF8A45C38}"/>
    <cellStyle name="Normal 3 2 8 2 3" xfId="3887" xr:uid="{67871758-AD5D-48AA-8665-E125E943520E}"/>
    <cellStyle name="Normal 3 2 8 2 3 2" xfId="4595" xr:uid="{94D66399-EB76-48D3-91E1-205564A8FC81}"/>
    <cellStyle name="Normal 3 2 8 2 4" xfId="4126" xr:uid="{8DFDA5BD-1B63-4E85-95DA-F18422AB1971}"/>
    <cellStyle name="Normal 3 2 8 3" xfId="3496" xr:uid="{2A414241-0D56-46CA-AD32-83B8FE5D2AD7}"/>
    <cellStyle name="Normal 3 2 8 3 2" xfId="4220" xr:uid="{7DEED1B0-6267-4186-BE03-702B54F5048A}"/>
    <cellStyle name="Normal 3 2 8 4" xfId="3752" xr:uid="{B12CF2B5-8263-4209-AAD6-B8663361F7B0}"/>
    <cellStyle name="Normal 3 2 8 4 2" xfId="4460" xr:uid="{E8A064DC-CC2F-42F8-B268-E961C15838B4}"/>
    <cellStyle name="Normal 3 2 8 5" xfId="3991" xr:uid="{F2BAA623-B9BF-40E8-A318-930E4CAB2C47}"/>
    <cellStyle name="Normal 3 2 9" xfId="2872" xr:uid="{5731358C-C79B-4179-A65F-2B477AD238AF}"/>
    <cellStyle name="Normal 3 2 9 2" xfId="3018" xr:uid="{714AB98F-C443-4AE8-AF84-F8E43C94A385}"/>
    <cellStyle name="Normal 3 2 9 2 2" xfId="3687" xr:uid="{BCC5716B-B9D8-4018-9F5A-2CB99B6DA829}"/>
    <cellStyle name="Normal 3 2 9 2 2 2" xfId="4395" xr:uid="{825BA2D7-A23E-484C-96CB-E94C52C9D22F}"/>
    <cellStyle name="Normal 3 2 9 2 3" xfId="3927" xr:uid="{71011714-8E75-46D5-B6E4-1B7CD00EA105}"/>
    <cellStyle name="Normal 3 2 9 2 3 2" xfId="4635" xr:uid="{7D7FDB0E-66CB-43EB-9FE8-2F150DDFD1D7}"/>
    <cellStyle name="Normal 3 2 9 2 4" xfId="4166" xr:uid="{CB4A1491-CCF3-4981-BCBA-44C578E88D34}"/>
    <cellStyle name="Normal 3 2 9 3" xfId="3541" xr:uid="{2418FE40-2F8A-49D4-A8F2-E3D8124EF135}"/>
    <cellStyle name="Normal 3 2 9 3 2" xfId="4265" xr:uid="{BCC8B175-D12D-4EB4-863E-F184A91EBA27}"/>
    <cellStyle name="Normal 3 2 9 4" xfId="3797" xr:uid="{C67DB6AD-C445-4E14-AEF6-7E4960FE386D}"/>
    <cellStyle name="Normal 3 2 9 4 2" xfId="4505" xr:uid="{F12CEAD6-BD2D-440F-865F-67720CD131F3}"/>
    <cellStyle name="Normal 3 2 9 5" xfId="4036" xr:uid="{FAA2C0C7-192F-496C-976E-3D295096F674}"/>
    <cellStyle name="Normal 3 20" xfId="3742" xr:uid="{55EE0846-DBC2-47F2-B823-75ECA8E314E2}"/>
    <cellStyle name="Normal 3 20 2" xfId="4450" xr:uid="{E45F73F1-0908-47AA-9647-497B07961751}"/>
    <cellStyle name="Normal 3 21" xfId="3746" xr:uid="{2B4D7E23-DCC6-42DA-B536-424D40753CA2}"/>
    <cellStyle name="Normal 3 21 2" xfId="4454" xr:uid="{AD3817A3-519D-465E-93C6-73BD69035106}"/>
    <cellStyle name="Normal 3 22" xfId="3978" xr:uid="{32B53497-1A97-4496-8FE3-F1052B35FD2C}"/>
    <cellStyle name="Normal 3 22 2" xfId="4686" xr:uid="{87EB1C8C-60CC-4E70-B0E4-7771560FA86E}"/>
    <cellStyle name="Normal 3 23" xfId="3979" xr:uid="{56E976A5-7295-41DD-AFA0-1C84FACCA0E6}"/>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382" xr:uid="{0B594444-45D3-4948-8867-7E34DC7ACE65}"/>
    <cellStyle name="Normal 3 4 2 2 2 3" xfId="3914" xr:uid="{214F9507-9C0E-4F7D-99DD-5CD83FDE8928}"/>
    <cellStyle name="Normal 3 4 2 2 2 3 2" xfId="4622" xr:uid="{277BFC88-25E1-435F-B4CE-3F4B08EA00EC}"/>
    <cellStyle name="Normal 3 4 2 2 2 4" xfId="4153" xr:uid="{67FA0702-C152-4E29-9D7B-AA70BDCBF2B7}"/>
    <cellStyle name="Normal 3 4 2 2 3" xfId="3573" xr:uid="{1CE5F716-B555-4D0B-B7F6-750E6DF20850}"/>
    <cellStyle name="Normal 3 4 2 2 3 2" xfId="4297" xr:uid="{7B3204EB-320D-4E35-8055-5725D5573608}"/>
    <cellStyle name="Normal 3 4 2 2 4" xfId="3829" xr:uid="{0D5FDFA8-C01A-49A4-99A1-28FA63502349}"/>
    <cellStyle name="Normal 3 4 2 2 4 2" xfId="4537" xr:uid="{F4841432-83E4-402A-A91E-25E67858938D}"/>
    <cellStyle name="Normal 3 4 2 2 5" xfId="4068" xr:uid="{8E232F29-12B5-493B-B4E2-63D3E2642C40}"/>
    <cellStyle name="Normal 3 4 2 3" xfId="3449" xr:uid="{F69352A1-49EA-464C-9645-A8456832A839}"/>
    <cellStyle name="Normal 3 4 2 3 2" xfId="3714" xr:uid="{F8A2F1CE-FB41-491C-8893-5596652AB2E3}"/>
    <cellStyle name="Normal 3 4 2 3 2 2" xfId="4422" xr:uid="{6CC0A335-4D43-432C-93EC-693DC3620BBA}"/>
    <cellStyle name="Normal 3 4 2 3 3" xfId="3954" xr:uid="{90C90CC8-37C9-4AB6-BC8B-25BCD5B78E92}"/>
    <cellStyle name="Normal 3 4 2 3 3 2" xfId="4662" xr:uid="{D23ACF19-E49F-4302-BB82-2AC1740D1F7D}"/>
    <cellStyle name="Normal 3 4 2 3 4" xfId="4193" xr:uid="{45937C45-14D9-4E11-8373-3FBD0DB653D2}"/>
    <cellStyle name="Normal 3 4 2 4" xfId="2949" xr:uid="{234F18C6-0530-4CFB-8567-9E316EFEA0F4}"/>
    <cellStyle name="Normal 3 4 2 4 2" xfId="3618" xr:uid="{F0D04E7E-2E24-4278-98F3-7B7E1A4B9B7A}"/>
    <cellStyle name="Normal 3 4 2 4 2 2" xfId="4342" xr:uid="{F433465D-A0AB-4D8F-8927-67320444427B}"/>
    <cellStyle name="Normal 3 4 2 4 3" xfId="3874" xr:uid="{C07EFFF5-06CB-4C74-9581-5BD481048DC6}"/>
    <cellStyle name="Normal 3 4 2 4 3 2" xfId="4582" xr:uid="{F8F87CE4-9B83-4827-8C88-70EB490BBB3C}"/>
    <cellStyle name="Normal 3 4 2 4 4" xfId="4113" xr:uid="{2908F1F5-6725-4DAC-9967-6F1892452432}"/>
    <cellStyle name="Normal 3 4 2 5" xfId="3528" xr:uid="{BD8ADA06-C78C-4CAC-A038-694E43819B7E}"/>
    <cellStyle name="Normal 3 4 2 5 2" xfId="4252" xr:uid="{7EE8F471-CC17-4A42-B30F-EFFF5ACDE952}"/>
    <cellStyle name="Normal 3 4 2 6" xfId="3784" xr:uid="{6CB495AA-71BC-44BE-AAD9-8AE3BC0E0842}"/>
    <cellStyle name="Normal 3 4 2 6 2" xfId="4492" xr:uid="{3E8F1A7A-5AC7-4EDD-9566-444C3CBA243B}"/>
    <cellStyle name="Normal 3 4 2 7" xfId="4023" xr:uid="{18B327BE-C127-4174-8FAF-BED18A23023A}"/>
    <cellStyle name="Normal 3 4 3" xfId="2887" xr:uid="{4250C279-464F-48CB-8AC2-E6FD78211848}"/>
    <cellStyle name="Normal 3 4 3 2" xfId="2988" xr:uid="{B3F2BA6A-0E88-4FCC-B919-25E912452C72}"/>
    <cellStyle name="Normal 3 4 3 2 2" xfId="3657" xr:uid="{A47EDDB5-6627-4F82-A69D-547318AABEE9}"/>
    <cellStyle name="Normal 3 4 3 2 2 2" xfId="4365" xr:uid="{E0C6C1EF-B901-401B-9C8C-B0826E71B1AA}"/>
    <cellStyle name="Normal 3 4 3 2 3" xfId="3897" xr:uid="{3E9F5396-1D08-4B34-B8C6-17D17010581A}"/>
    <cellStyle name="Normal 3 4 3 2 3 2" xfId="4605" xr:uid="{4223A221-52FA-4441-89CB-FA32A4011B6B}"/>
    <cellStyle name="Normal 3 4 3 2 4" xfId="4136" xr:uid="{5BAE6CF0-56DB-4408-B55B-4AB2C64EAF59}"/>
    <cellStyle name="Normal 3 4 3 3" xfId="3556" xr:uid="{56DC35D1-75FD-453E-90A6-BB86E3E6E135}"/>
    <cellStyle name="Normal 3 4 3 3 2" xfId="4280" xr:uid="{02FD5AB9-F7B5-4A7B-BE0B-7E10C401DCC9}"/>
    <cellStyle name="Normal 3 4 3 4" xfId="3812" xr:uid="{E10910A5-80B8-43F5-970F-DEB79C557D2A}"/>
    <cellStyle name="Normal 3 4 3 4 2" xfId="4520" xr:uid="{A3BB3B1C-C33E-45D0-ACA5-4EBC0433B798}"/>
    <cellStyle name="Normal 3 4 3 5" xfId="4051" xr:uid="{6B2174AD-ADC8-4C29-8DD2-74FB3FF7628F}"/>
    <cellStyle name="Normal 3 4 4" xfId="3425" xr:uid="{362C761A-090E-4494-B5E1-44C63EF42BC2}"/>
    <cellStyle name="Normal 3 4 4 2" xfId="3697" xr:uid="{098C6541-C5CD-41F4-99E2-563374098DE3}"/>
    <cellStyle name="Normal 3 4 4 2 2" xfId="4405" xr:uid="{5410DBD0-879F-424E-B210-68E4EE4F1F3A}"/>
    <cellStyle name="Normal 3 4 4 3" xfId="3937" xr:uid="{74F45D7A-32F7-4894-A6C6-28F9205655B9}"/>
    <cellStyle name="Normal 3 4 4 3 2" xfId="4645" xr:uid="{4F930A07-59C0-4C97-A7BA-E6049C3CF6D4}"/>
    <cellStyle name="Normal 3 4 4 4" xfId="4176" xr:uid="{B70D9211-937B-4F3E-AFF3-1EEDA68FFC82}"/>
    <cellStyle name="Normal 3 4 5" xfId="2932" xr:uid="{40F72571-2003-43CD-B387-825810AD604A}"/>
    <cellStyle name="Normal 3 4 5 2" xfId="3601" xr:uid="{4E3FDC2F-EBE6-4287-B788-11F779DC796F}"/>
    <cellStyle name="Normal 3 4 5 2 2" xfId="4325" xr:uid="{1C962E20-DBB9-4B2F-A6E2-034C0702CAEE}"/>
    <cellStyle name="Normal 3 4 5 3" xfId="3857" xr:uid="{C867D7B6-AC50-4C5E-8150-B63370D77CBD}"/>
    <cellStyle name="Normal 3 4 5 3 2" xfId="4565" xr:uid="{2533655B-758B-418C-BDBF-0800F2DB9450}"/>
    <cellStyle name="Normal 3 4 5 4" xfId="4096" xr:uid="{410F4148-869F-431C-B1C6-48112611D113}"/>
    <cellStyle name="Normal 3 4 6" xfId="3511" xr:uid="{298C2B22-9A61-4873-8668-E49EC897D026}"/>
    <cellStyle name="Normal 3 4 6 2" xfId="4235" xr:uid="{8D136C78-6D13-458D-903B-B2DF24191B6A}"/>
    <cellStyle name="Normal 3 4 7" xfId="3767" xr:uid="{BD7F75D6-53BC-41E7-BD01-06B66EA44722}"/>
    <cellStyle name="Normal 3 4 7 2" xfId="4475" xr:uid="{E51D803A-B083-4210-81F2-C7CE8C482350}"/>
    <cellStyle name="Normal 3 4 8" xfId="4006" xr:uid="{178CD796-4969-4849-9FA5-8DB1159354DE}"/>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386" xr:uid="{D016528F-5997-4F98-9461-E8325D402C01}"/>
    <cellStyle name="Normal 3 5 2 2 2 3" xfId="3918" xr:uid="{D51AF682-E259-48EB-BC9D-34C323B27613}"/>
    <cellStyle name="Normal 3 5 2 2 2 3 2" xfId="4626" xr:uid="{1EA8E197-1AAD-4F62-BEB4-3F1FD869E059}"/>
    <cellStyle name="Normal 3 5 2 2 2 4" xfId="4157" xr:uid="{53BB5011-B50A-4D3C-A0D6-371358FEB54E}"/>
    <cellStyle name="Normal 3 5 2 2 3" xfId="3577" xr:uid="{69E745A6-02F7-47F3-9760-DE85AE2423DE}"/>
    <cellStyle name="Normal 3 5 2 2 3 2" xfId="4301" xr:uid="{07A80324-CEAA-4052-8813-E7168522CC2C}"/>
    <cellStyle name="Normal 3 5 2 2 4" xfId="3833" xr:uid="{C6FCBD8B-D74A-4232-AC91-F51FA5188BFA}"/>
    <cellStyle name="Normal 3 5 2 2 4 2" xfId="4541" xr:uid="{DD808293-417D-4F89-9A82-331F31D94BEE}"/>
    <cellStyle name="Normal 3 5 2 2 5" xfId="4072" xr:uid="{FD162BF1-F0AB-4B6E-AA85-DD8D98B3CFD5}"/>
    <cellStyle name="Normal 3 5 2 3" xfId="3453" xr:uid="{3840D03D-FA91-4CD5-B314-888A226ABFF0}"/>
    <cellStyle name="Normal 3 5 2 3 2" xfId="3718" xr:uid="{7656B2BD-CE02-4B20-BDBE-66CB07948D6D}"/>
    <cellStyle name="Normal 3 5 2 3 2 2" xfId="4426" xr:uid="{C6780387-8C8A-41F0-A27A-D97C03DFB86F}"/>
    <cellStyle name="Normal 3 5 2 3 3" xfId="3958" xr:uid="{69BE6361-DAB1-4A4A-837A-546E71EA34B3}"/>
    <cellStyle name="Normal 3 5 2 3 3 2" xfId="4666" xr:uid="{A9CB71C7-F1E7-438D-85BD-9E6AAD4195C6}"/>
    <cellStyle name="Normal 3 5 2 3 4" xfId="4197" xr:uid="{7908E45D-99DE-4213-91B7-20F631AF6A74}"/>
    <cellStyle name="Normal 3 5 2 4" xfId="2953" xr:uid="{5BEC0BD2-9149-476B-ABB5-0AF87C2FAF7D}"/>
    <cellStyle name="Normal 3 5 2 4 2" xfId="3622" xr:uid="{D9508435-6B5E-43F5-9DB7-7B2F61F6CEDC}"/>
    <cellStyle name="Normal 3 5 2 4 2 2" xfId="4346" xr:uid="{95E3A3B4-7F1C-4F30-97A8-8F3C0B3BC268}"/>
    <cellStyle name="Normal 3 5 2 4 3" xfId="3878" xr:uid="{507D00B4-227E-4BA3-BB1F-E27249DBB306}"/>
    <cellStyle name="Normal 3 5 2 4 3 2" xfId="4586" xr:uid="{F350EA19-DCC3-4E8F-A44A-F4E90353439B}"/>
    <cellStyle name="Normal 3 5 2 4 4" xfId="4117" xr:uid="{CBFB5415-A0D3-4A4F-B7D1-B7D19CC7EB71}"/>
    <cellStyle name="Normal 3 5 2 5" xfId="3532" xr:uid="{363538B8-CC83-42E2-ABD1-32ECDE641743}"/>
    <cellStyle name="Normal 3 5 2 5 2" xfId="4256" xr:uid="{C3DDD43A-417B-45C3-A42F-79C744AE5AD3}"/>
    <cellStyle name="Normal 3 5 2 6" xfId="3788" xr:uid="{4B5EF0A8-49EE-4AE7-B1CB-556E2E831983}"/>
    <cellStyle name="Normal 3 5 2 6 2" xfId="4496" xr:uid="{1C4E47A4-D76E-4134-9542-7F6157346A75}"/>
    <cellStyle name="Normal 3 5 2 7" xfId="4027" xr:uid="{0DCF4F58-BFA2-439B-BD23-7E42ECEADF26}"/>
    <cellStyle name="Normal 3 5 3" xfId="2891" xr:uid="{ECB1E89E-33F7-4979-9AF8-05F571C83AAF}"/>
    <cellStyle name="Normal 3 5 3 2" xfId="2992" xr:uid="{6C52CE60-5D32-4E61-8E64-2B04DAD55F56}"/>
    <cellStyle name="Normal 3 5 3 2 2" xfId="3661" xr:uid="{183B444B-DE9F-428A-B02E-9223A4647131}"/>
    <cellStyle name="Normal 3 5 3 2 2 2" xfId="4369" xr:uid="{67DD0104-D2CA-45AF-A9C5-0B8A8CF2D6FF}"/>
    <cellStyle name="Normal 3 5 3 2 3" xfId="3901" xr:uid="{C13C9A94-27E4-4708-813E-9C8ABF066242}"/>
    <cellStyle name="Normal 3 5 3 2 3 2" xfId="4609" xr:uid="{6FA86141-BA28-45F1-92AC-AF6CFC87CC81}"/>
    <cellStyle name="Normal 3 5 3 2 4" xfId="4140" xr:uid="{EAA98069-791C-44DF-A911-80BE5C59BC15}"/>
    <cellStyle name="Normal 3 5 3 3" xfId="3560" xr:uid="{A211DFBE-063D-47E7-87EF-A6CDDDA2E1C3}"/>
    <cellStyle name="Normal 3 5 3 3 2" xfId="4284" xr:uid="{8F83B345-C22A-4CBA-969D-0FAD6C14AA79}"/>
    <cellStyle name="Normal 3 5 3 4" xfId="3816" xr:uid="{0F36BEEF-25B9-441E-A64F-8C4C0C6E30F7}"/>
    <cellStyle name="Normal 3 5 3 4 2" xfId="4524" xr:uid="{2045C348-7935-4CFC-ABB2-AE9495327511}"/>
    <cellStyle name="Normal 3 5 3 5" xfId="4055" xr:uid="{A6D68C3B-8068-4EEB-AE2F-4604A0BBADEC}"/>
    <cellStyle name="Normal 3 5 4" xfId="3435" xr:uid="{861AAC26-C3FF-48A7-A3C4-F906BA8B1DF7}"/>
    <cellStyle name="Normal 3 5 4 2" xfId="3701" xr:uid="{959C22F2-C3CB-486E-9FF7-32C9393F2A90}"/>
    <cellStyle name="Normal 3 5 4 2 2" xfId="4409" xr:uid="{3EF4F27C-A5EE-4439-8C3A-695FD6EB21B6}"/>
    <cellStyle name="Normal 3 5 4 3" xfId="3941" xr:uid="{DCCD1FD3-CFD0-4163-8418-9172FE8ECF0D}"/>
    <cellStyle name="Normal 3 5 4 3 2" xfId="4649" xr:uid="{762E1950-8DE0-41DF-9FE2-FC80895A22CD}"/>
    <cellStyle name="Normal 3 5 4 4" xfId="4180" xr:uid="{4147D252-FF2E-48D6-8ADF-FCE420F4D6E1}"/>
    <cellStyle name="Normal 3 5 5" xfId="2936" xr:uid="{FE634913-EAE7-49BC-8321-DE62527417E2}"/>
    <cellStyle name="Normal 3 5 5 2" xfId="3605" xr:uid="{E12D629C-B992-4564-B07F-C4ABFAD74C3F}"/>
    <cellStyle name="Normal 3 5 5 2 2" xfId="4329" xr:uid="{24DC05EE-F4D2-4800-9D63-21DDF294960F}"/>
    <cellStyle name="Normal 3 5 5 3" xfId="3861" xr:uid="{D009EFC3-50FC-47B2-B51A-939B915985AD}"/>
    <cellStyle name="Normal 3 5 5 3 2" xfId="4569" xr:uid="{C3EA5969-2104-4CE6-9785-A3F3A477D1B5}"/>
    <cellStyle name="Normal 3 5 5 4" xfId="4100" xr:uid="{1127709F-D567-4D65-B107-FCF45451F908}"/>
    <cellStyle name="Normal 3 5 6" xfId="3515" xr:uid="{D8B0D612-C100-4C09-8B1D-DA82ED309ED9}"/>
    <cellStyle name="Normal 3 5 6 2" xfId="4239" xr:uid="{1BA68801-AD93-4631-8047-0F2686E665E6}"/>
    <cellStyle name="Normal 3 5 7" xfId="3771" xr:uid="{EF3624C7-58CC-4AA3-94FC-8967075DD4D9}"/>
    <cellStyle name="Normal 3 5 7 2" xfId="4479" xr:uid="{C7312EAD-0BF3-4C1E-A75C-3FC4D56FCB13}"/>
    <cellStyle name="Normal 3 5 8" xfId="4010" xr:uid="{A2BF07A6-C989-4272-A3D3-C127BBCAC36C}"/>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388" xr:uid="{04C3FFBB-5A36-4896-9FAB-1D57ABD94648}"/>
    <cellStyle name="Normal 3 6 2 2 2 3" xfId="3920" xr:uid="{02D8D1DD-AAF2-4217-9FFD-DE261A5FAD44}"/>
    <cellStyle name="Normal 3 6 2 2 2 3 2" xfId="4628" xr:uid="{B3305EDB-8358-4CD3-8C9C-F1F85EF3E149}"/>
    <cellStyle name="Normal 3 6 2 2 2 4" xfId="4159" xr:uid="{FAB75736-3E4A-4ED0-BFC8-F5A5631BEDB0}"/>
    <cellStyle name="Normal 3 6 2 2 3" xfId="3579" xr:uid="{46C6946B-5B0F-4775-ADF2-FE3BB48F6852}"/>
    <cellStyle name="Normal 3 6 2 2 3 2" xfId="4303" xr:uid="{D9EC430F-1228-4C6D-86C2-9F490432784A}"/>
    <cellStyle name="Normal 3 6 2 2 4" xfId="3835" xr:uid="{3144F08A-BACB-4BCE-BEF1-A680C5C5D472}"/>
    <cellStyle name="Normal 3 6 2 2 4 2" xfId="4543" xr:uid="{67E0D261-C227-47BA-B571-8E9D1B3D05B6}"/>
    <cellStyle name="Normal 3 6 2 2 5" xfId="4074" xr:uid="{0B6A0260-3D36-4E60-BCD8-7B1991C76E18}"/>
    <cellStyle name="Normal 3 6 2 3" xfId="3455" xr:uid="{21C68592-3DDB-4928-A6C0-75877A37ADCE}"/>
    <cellStyle name="Normal 3 6 2 3 2" xfId="3720" xr:uid="{BDDFE2FE-3968-469B-A9E4-7253F968F104}"/>
    <cellStyle name="Normal 3 6 2 3 2 2" xfId="4428" xr:uid="{C4EE9BFB-22A8-4CFF-A999-C5D6F05E4C50}"/>
    <cellStyle name="Normal 3 6 2 3 3" xfId="3960" xr:uid="{E109F989-3992-43C7-94DE-E4892CB1E7B4}"/>
    <cellStyle name="Normal 3 6 2 3 3 2" xfId="4668" xr:uid="{80CCFF5C-EF90-44CB-B6BE-2E737C3ECE5A}"/>
    <cellStyle name="Normal 3 6 2 3 4" xfId="4199" xr:uid="{9EC89A4F-CB30-47DE-9E9B-E812887C6A14}"/>
    <cellStyle name="Normal 3 6 2 4" xfId="2955" xr:uid="{B3992CC1-5494-4763-A54C-7F02EF68E46D}"/>
    <cellStyle name="Normal 3 6 2 4 2" xfId="3624" xr:uid="{56E72497-4FD9-4928-92E9-1B1F6569095C}"/>
    <cellStyle name="Normal 3 6 2 4 2 2" xfId="4348" xr:uid="{CFFA29FA-01D8-4404-AEB0-1AF0108F7CDD}"/>
    <cellStyle name="Normal 3 6 2 4 3" xfId="3880" xr:uid="{B423BAB3-2754-46DF-BAEE-66E2C3BF1C2E}"/>
    <cellStyle name="Normal 3 6 2 4 3 2" xfId="4588" xr:uid="{26363A91-E10F-427F-8E23-D6D8806E2E42}"/>
    <cellStyle name="Normal 3 6 2 4 4" xfId="4119" xr:uid="{C62462DE-0815-44D2-A1FF-674CA7870FF9}"/>
    <cellStyle name="Normal 3 6 2 5" xfId="3534" xr:uid="{0F6DD857-3E47-4D4A-97C1-38AE13D8E9E8}"/>
    <cellStyle name="Normal 3 6 2 5 2" xfId="4258" xr:uid="{154A5EB5-5ABE-4870-B475-8037F798B111}"/>
    <cellStyle name="Normal 3 6 2 6" xfId="3790" xr:uid="{E7C723ED-357E-4E78-9652-3E8CCBB70E89}"/>
    <cellStyle name="Normal 3 6 2 6 2" xfId="4498" xr:uid="{10C09860-435E-4BEA-B559-FA773C43DA72}"/>
    <cellStyle name="Normal 3 6 2 7" xfId="4029" xr:uid="{FF4D7583-A7E4-49C7-AEFB-B64A3E44835D}"/>
    <cellStyle name="Normal 3 6 3" xfId="2893" xr:uid="{AF48D1B9-5F0A-4162-948C-E4BA765EE164}"/>
    <cellStyle name="Normal 3 6 3 2" xfId="2994" xr:uid="{0B8D98EF-A3F0-4428-9465-2084740EEBDF}"/>
    <cellStyle name="Normal 3 6 3 2 2" xfId="3663" xr:uid="{99359995-C15C-4214-80A7-22A72076F5AA}"/>
    <cellStyle name="Normal 3 6 3 2 2 2" xfId="4371" xr:uid="{DAF4971A-2F35-4EDA-8FE2-525139FC2908}"/>
    <cellStyle name="Normal 3 6 3 2 3" xfId="3903" xr:uid="{F0CA8A7B-A562-49BB-AEBF-5A5089DFE5F0}"/>
    <cellStyle name="Normal 3 6 3 2 3 2" xfId="4611" xr:uid="{62CBBE2B-C6A1-434E-B009-D6782580D54B}"/>
    <cellStyle name="Normal 3 6 3 2 4" xfId="4142" xr:uid="{E5460E9D-683E-418A-9EBF-CF476FAA8C26}"/>
    <cellStyle name="Normal 3 6 3 3" xfId="3562" xr:uid="{A41465FF-C763-40D7-BE17-986A19DEA467}"/>
    <cellStyle name="Normal 3 6 3 3 2" xfId="4286" xr:uid="{3C536D59-2682-464B-9AD9-BC0188780EE6}"/>
    <cellStyle name="Normal 3 6 3 4" xfId="3818" xr:uid="{B116FC32-7EE2-4C00-980F-BF9D721E83C7}"/>
    <cellStyle name="Normal 3 6 3 4 2" xfId="4526" xr:uid="{21C36843-6A83-4808-A6F6-5D09DCBE9DF4}"/>
    <cellStyle name="Normal 3 6 3 5" xfId="4057" xr:uid="{CA976669-1EF8-40A6-BDC1-FBF506F805D8}"/>
    <cellStyle name="Normal 3 6 4" xfId="3437" xr:uid="{18980BF1-5D51-4084-90DB-84C6ED63DE1A}"/>
    <cellStyle name="Normal 3 6 4 2" xfId="3703" xr:uid="{B3269BC1-33E5-4817-A995-96A1BD7061D1}"/>
    <cellStyle name="Normal 3 6 4 2 2" xfId="4411" xr:uid="{428EE0CF-A9BE-4D1D-9B79-99F3162815E7}"/>
    <cellStyle name="Normal 3 6 4 3" xfId="3943" xr:uid="{7F6ACC53-CF43-45FC-85FB-97F6F195BED6}"/>
    <cellStyle name="Normal 3 6 4 3 2" xfId="4651" xr:uid="{70EDE2FE-4AD6-43DD-985E-9D64126368B7}"/>
    <cellStyle name="Normal 3 6 4 4" xfId="4182" xr:uid="{6B688B6A-92E2-43F2-9695-FADCEA3234D0}"/>
    <cellStyle name="Normal 3 6 5" xfId="2938" xr:uid="{464D1B4F-3FDE-4325-BF32-01E30F8597D3}"/>
    <cellStyle name="Normal 3 6 5 2" xfId="3607" xr:uid="{E3BEC948-CB48-4699-9BF7-398E9057341F}"/>
    <cellStyle name="Normal 3 6 5 2 2" xfId="4331" xr:uid="{76A0BA03-C315-4C08-A2E9-14C714A8D2FB}"/>
    <cellStyle name="Normal 3 6 5 3" xfId="3863" xr:uid="{FC895349-D5AD-4910-94DD-C2ED00EF1283}"/>
    <cellStyle name="Normal 3 6 5 3 2" xfId="4571" xr:uid="{13478E6C-587D-4C26-9C13-72F82ECD15F8}"/>
    <cellStyle name="Normal 3 6 5 4" xfId="4102" xr:uid="{37714F1C-CECA-4FFF-B8FA-D256B88B0E69}"/>
    <cellStyle name="Normal 3 6 6" xfId="3517" xr:uid="{36B40373-C254-42BF-9844-AB2E19D74B61}"/>
    <cellStyle name="Normal 3 6 6 2" xfId="4241" xr:uid="{7948B65A-A0F8-44E9-90C6-7482DEB32F17}"/>
    <cellStyle name="Normal 3 6 7" xfId="3773" xr:uid="{72181369-A834-4D30-94CC-4C9690605481}"/>
    <cellStyle name="Normal 3 6 7 2" xfId="4481" xr:uid="{83197C32-587F-4D1E-B5E1-B223600A3362}"/>
    <cellStyle name="Normal 3 6 8" xfId="4012" xr:uid="{F82C9FF2-3B7F-4EE6-9491-50915A48E52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377" xr:uid="{8F1A3376-9C49-4E32-95EE-9BC1AE28C71B}"/>
    <cellStyle name="Normal 3 7 2 2 2 3" xfId="3909" xr:uid="{BA51361A-5977-495F-BDBA-AFB4CCABE9DB}"/>
    <cellStyle name="Normal 3 7 2 2 2 3 2" xfId="4617" xr:uid="{89E2358A-A9E1-4622-9804-566458FD43EE}"/>
    <cellStyle name="Normal 3 7 2 2 2 4" xfId="4148" xr:uid="{1F16599C-23BC-4FC9-9D27-8DE216FC7BBF}"/>
    <cellStyle name="Normal 3 7 2 2 3" xfId="3568" xr:uid="{C7D6B39A-772D-4D3C-9D2F-8300C65922DB}"/>
    <cellStyle name="Normal 3 7 2 2 3 2" xfId="4292" xr:uid="{ABD0C9EC-E15F-47BE-961C-C1C4C7BD33B3}"/>
    <cellStyle name="Normal 3 7 2 2 4" xfId="3824" xr:uid="{82BCA6AA-127C-41A5-B489-A0827B97506A}"/>
    <cellStyle name="Normal 3 7 2 2 4 2" xfId="4532" xr:uid="{AEC4EFD7-22BE-4E6D-8FE8-0BBC9323C56E}"/>
    <cellStyle name="Normal 3 7 2 2 5" xfId="4063" xr:uid="{6125C623-C0AD-4EBF-BDA0-ADE563719408}"/>
    <cellStyle name="Normal 3 7 2 3" xfId="3444" xr:uid="{67957013-F341-4E6C-A69B-0EDB178F8F47}"/>
    <cellStyle name="Normal 3 7 2 3 2" xfId="3709" xr:uid="{8200D914-E07F-4E54-A2AF-C55324BA3CCE}"/>
    <cellStyle name="Normal 3 7 2 3 2 2" xfId="4417" xr:uid="{705C2304-7871-4E0A-9040-DA9EB17EDFA5}"/>
    <cellStyle name="Normal 3 7 2 3 3" xfId="3949" xr:uid="{930608C1-D28B-4229-BB96-BD410C1C5847}"/>
    <cellStyle name="Normal 3 7 2 3 3 2" xfId="4657" xr:uid="{A77BA47B-A83C-4BE9-A774-B8556B50BCDF}"/>
    <cellStyle name="Normal 3 7 2 3 4" xfId="4188" xr:uid="{3D01E1E2-D434-4AB1-97D5-3127C72FCA05}"/>
    <cellStyle name="Normal 3 7 2 4" xfId="2944" xr:uid="{9C47C7AE-7CA9-4452-A77C-95B435A66C76}"/>
    <cellStyle name="Normal 3 7 2 4 2" xfId="3613" xr:uid="{31B6E725-703C-4DD5-95DA-D3E2F219BA7A}"/>
    <cellStyle name="Normal 3 7 2 4 2 2" xfId="4337" xr:uid="{0B8A3871-C2E0-4BC5-9058-C37A026C7040}"/>
    <cellStyle name="Normal 3 7 2 4 3" xfId="3869" xr:uid="{2382D60E-CB8F-44BD-95B3-BC2AF46538A9}"/>
    <cellStyle name="Normal 3 7 2 4 3 2" xfId="4577" xr:uid="{835C3261-A06F-4D9A-9DED-0C0D2F4BE7C4}"/>
    <cellStyle name="Normal 3 7 2 4 4" xfId="4108" xr:uid="{21D61464-A4BE-4367-9F7F-A4D0D131D2C7}"/>
    <cellStyle name="Normal 3 7 2 5" xfId="3523" xr:uid="{FC001EC6-1FFF-4CFF-87BE-A1DF17CEADBB}"/>
    <cellStyle name="Normal 3 7 2 5 2" xfId="4247" xr:uid="{274375B5-0D65-4192-A813-A6339D525BF1}"/>
    <cellStyle name="Normal 3 7 2 6" xfId="3779" xr:uid="{C5712CA6-B966-4EA7-A3EB-D70DEEF8560A}"/>
    <cellStyle name="Normal 3 7 2 6 2" xfId="4487" xr:uid="{9BB4C1E3-3CC7-4B0F-9782-87A699E72A8C}"/>
    <cellStyle name="Normal 3 7 2 7" xfId="4018" xr:uid="{ECA34509-5C4E-4641-8673-14BD66210262}"/>
    <cellStyle name="Normal 3 7 3" xfId="2882" xr:uid="{CAC8F409-912F-4248-A145-ECB4A69E53C0}"/>
    <cellStyle name="Normal 3 7 3 2" xfId="2967" xr:uid="{AD2F175F-6CE0-4BF1-89F7-8D6F4DAA212B}"/>
    <cellStyle name="Normal 3 7 3 2 2" xfId="3636" xr:uid="{444573FF-F4BC-490C-8DAC-4281FD2C5097}"/>
    <cellStyle name="Normal 3 7 3 2 2 2" xfId="4360" xr:uid="{60F44694-8A54-4B3B-841C-A53808F845AE}"/>
    <cellStyle name="Normal 3 7 3 2 3" xfId="3892" xr:uid="{FF775AFD-A12B-44EE-A34D-7B5916A9729B}"/>
    <cellStyle name="Normal 3 7 3 2 3 2" xfId="4600" xr:uid="{78E24CE2-8DDD-4DC4-BCF7-BFD28229D656}"/>
    <cellStyle name="Normal 3 7 3 2 4" xfId="4131" xr:uid="{884DB018-86E6-4ADE-B565-3F7667472EDB}"/>
    <cellStyle name="Normal 3 7 3 3" xfId="3551" xr:uid="{FD155A5A-1FB9-4188-A30F-4138488D7210}"/>
    <cellStyle name="Normal 3 7 3 3 2" xfId="4275" xr:uid="{234ADA7D-5FA5-4015-9584-123CF960A209}"/>
    <cellStyle name="Normal 3 7 3 4" xfId="3807" xr:uid="{DD3B946C-0AC9-4CEF-B4CE-0A227DBDBB5D}"/>
    <cellStyle name="Normal 3 7 3 4 2" xfId="4515" xr:uid="{D0A119CF-6765-4754-A648-6E11D12A6239}"/>
    <cellStyle name="Normal 3 7 3 5" xfId="4046" xr:uid="{C78C8BDD-28B2-4D4E-A253-A327444BF30E}"/>
    <cellStyle name="Normal 3 7 4" xfId="3023" xr:uid="{17C3627A-5390-4086-994A-FC055B3E2812}"/>
    <cellStyle name="Normal 3 7 4 2" xfId="3692" xr:uid="{60957BF5-3C0E-48DB-BEAA-33FBC66548BE}"/>
    <cellStyle name="Normal 3 7 4 2 2" xfId="4400" xr:uid="{E34EA16A-81D2-44B3-93B6-D63D67647405}"/>
    <cellStyle name="Normal 3 7 4 3" xfId="3932" xr:uid="{EC74F292-9F47-450E-87F1-4402C6A3C182}"/>
    <cellStyle name="Normal 3 7 4 3 2" xfId="4640" xr:uid="{D2489E50-2AAB-47D4-9987-BA4BE8D15897}"/>
    <cellStyle name="Normal 3 7 4 4" xfId="4171" xr:uid="{F6B0595B-6366-45DB-8CB1-BB9EEE20DFAB}"/>
    <cellStyle name="Normal 3 7 5" xfId="2927" xr:uid="{F7BA3C64-391D-4B30-ACDD-3661ABDF053D}"/>
    <cellStyle name="Normal 3 7 5 2" xfId="3596" xr:uid="{FEF7B1B7-3C7A-4C91-A177-C9900B215FC2}"/>
    <cellStyle name="Normal 3 7 5 2 2" xfId="4320" xr:uid="{265519B9-E4B2-4BE2-97BA-0DC6931022FE}"/>
    <cellStyle name="Normal 3 7 5 3" xfId="3852" xr:uid="{1F898B82-19BB-4DE9-AFA0-CD21C9A51B02}"/>
    <cellStyle name="Normal 3 7 5 3 2" xfId="4560" xr:uid="{A3B33584-0BCB-420A-8620-67810655F436}"/>
    <cellStyle name="Normal 3 7 5 4" xfId="4091" xr:uid="{08F6869B-6789-4AA3-9305-8394C9854520}"/>
    <cellStyle name="Normal 3 7 6" xfId="3506" xr:uid="{C85A07FA-469B-4060-A313-D5D1D97E3931}"/>
    <cellStyle name="Normal 3 7 6 2" xfId="4230" xr:uid="{650C898B-1082-44ED-AA5D-B2A0A7D1EC09}"/>
    <cellStyle name="Normal 3 7 7" xfId="3762" xr:uid="{D2F47A74-AA85-445D-AA13-672C608CACE0}"/>
    <cellStyle name="Normal 3 7 7 2" xfId="4470" xr:uid="{99756905-8201-4C45-9982-EE29543BF86F}"/>
    <cellStyle name="Normal 3 7 8" xfId="4001" xr:uid="{67F320AD-F842-40EA-B8F4-7E7C0B842DDC}"/>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376" xr:uid="{E5BB07A1-6418-449A-A912-6C6F337B7E35}"/>
    <cellStyle name="Normal 3 8 2 2 2 3" xfId="3908" xr:uid="{5CF19D4E-E426-4E84-BE0F-8DDF22CC6B09}"/>
    <cellStyle name="Normal 3 8 2 2 2 3 2" xfId="4616" xr:uid="{6992E7E0-B78F-4907-A096-6E6651887192}"/>
    <cellStyle name="Normal 3 8 2 2 2 4" xfId="4147" xr:uid="{13625471-9BC1-4E82-9730-1FB8952AEBA0}"/>
    <cellStyle name="Normal 3 8 2 2 3" xfId="3567" xr:uid="{660FA052-BE0C-4619-814C-B0B964F6E8D1}"/>
    <cellStyle name="Normal 3 8 2 2 3 2" xfId="4291" xr:uid="{A09E74ED-566A-44A8-854C-2844E8A251EA}"/>
    <cellStyle name="Normal 3 8 2 2 4" xfId="3823" xr:uid="{81E42A2E-1434-46D9-81BF-9CA7C60D3079}"/>
    <cellStyle name="Normal 3 8 2 2 4 2" xfId="4531" xr:uid="{D4FE70D3-1FD0-4326-A35F-F9C5AE149238}"/>
    <cellStyle name="Normal 3 8 2 2 5" xfId="4062" xr:uid="{06FB8301-6942-4000-BAA0-5419A829605F}"/>
    <cellStyle name="Normal 3 8 2 3" xfId="3443" xr:uid="{674C9D59-715E-492F-A955-8D053C361483}"/>
    <cellStyle name="Normal 3 8 2 3 2" xfId="3708" xr:uid="{E2CA6EA0-C2D0-4FF4-8419-F505D58A1287}"/>
    <cellStyle name="Normal 3 8 2 3 2 2" xfId="4416" xr:uid="{DB0910F6-33A9-45EE-891E-B432DDA73BB4}"/>
    <cellStyle name="Normal 3 8 2 3 3" xfId="3948" xr:uid="{C69DEE5D-0632-4327-B8AF-AE63CAD7CE64}"/>
    <cellStyle name="Normal 3 8 2 3 3 2" xfId="4656" xr:uid="{6E954B24-34C6-4A6B-AC62-BC186C7DE650}"/>
    <cellStyle name="Normal 3 8 2 3 4" xfId="4187" xr:uid="{B089BFE2-30AD-4BEC-B6AC-F0E995F4A300}"/>
    <cellStyle name="Normal 3 8 2 4" xfId="2943" xr:uid="{A5926E68-6E3A-4F69-A50C-5F3732548537}"/>
    <cellStyle name="Normal 3 8 2 4 2" xfId="3612" xr:uid="{426E6E58-B351-40DF-B238-9CB13D60576D}"/>
    <cellStyle name="Normal 3 8 2 4 2 2" xfId="4336" xr:uid="{12CE9262-2E61-4678-B033-E1523B18C710}"/>
    <cellStyle name="Normal 3 8 2 4 3" xfId="3868" xr:uid="{A11B67E9-B667-42B0-BC1C-F384932969D7}"/>
    <cellStyle name="Normal 3 8 2 4 3 2" xfId="4576" xr:uid="{9C157675-09DC-4704-99A6-246A2BAF14D9}"/>
    <cellStyle name="Normal 3 8 2 4 4" xfId="4107" xr:uid="{C6886F65-CB8A-453D-A06A-7D2776E24EE0}"/>
    <cellStyle name="Normal 3 8 2 5" xfId="3522" xr:uid="{979A876D-B891-40C7-82DA-3DA04C5FC453}"/>
    <cellStyle name="Normal 3 8 2 5 2" xfId="4246" xr:uid="{22052FAD-72AD-4D0E-92AB-8FB8B3B73DCF}"/>
    <cellStyle name="Normal 3 8 2 6" xfId="3778" xr:uid="{3709CF36-626C-4A42-9965-0D80FE7106D1}"/>
    <cellStyle name="Normal 3 8 2 6 2" xfId="4486" xr:uid="{5296A13C-4E89-40C8-A922-F7B14508A9AE}"/>
    <cellStyle name="Normal 3 8 2 7" xfId="4017" xr:uid="{24CADB23-7C8B-49F3-BDC5-59FD7BF28A81}"/>
    <cellStyle name="Normal 3 8 3" xfId="2881" xr:uid="{2A6C37F5-3EAB-4641-9972-109045CFDB2E}"/>
    <cellStyle name="Normal 3 8 3 2" xfId="2966" xr:uid="{AFE56341-50A2-420E-881F-FFFAAFB96C76}"/>
    <cellStyle name="Normal 3 8 3 2 2" xfId="3635" xr:uid="{561A7084-8F92-4AFE-B823-304C3BC04B2F}"/>
    <cellStyle name="Normal 3 8 3 2 2 2" xfId="4359" xr:uid="{6D7CF637-00DF-441C-8CEF-CD5F38848209}"/>
    <cellStyle name="Normal 3 8 3 2 3" xfId="3891" xr:uid="{7EE5DB8F-1DC5-4F62-99AB-5BDE9FF6ED84}"/>
    <cellStyle name="Normal 3 8 3 2 3 2" xfId="4599" xr:uid="{5EB1A43D-6938-46D4-B700-FDB6C2391C01}"/>
    <cellStyle name="Normal 3 8 3 2 4" xfId="4130" xr:uid="{6FD164C3-3A66-440A-9B89-05B53ABE412A}"/>
    <cellStyle name="Normal 3 8 3 3" xfId="3550" xr:uid="{6CCE2FCA-0C88-41D9-88FA-C698D5BBAA6A}"/>
    <cellStyle name="Normal 3 8 3 3 2" xfId="4274" xr:uid="{04534D0B-8BD4-4DF4-8BDF-1758F49F32B7}"/>
    <cellStyle name="Normal 3 8 3 4" xfId="3806" xr:uid="{F512A6A8-0283-42E9-A139-248C0E909ADE}"/>
    <cellStyle name="Normal 3 8 3 4 2" xfId="4514" xr:uid="{3DCDE23A-BF02-46BF-9A29-54C727958894}"/>
    <cellStyle name="Normal 3 8 3 5" xfId="4045" xr:uid="{6CA5ED1D-6690-40DA-A260-709E05F97999}"/>
    <cellStyle name="Normal 3 8 4" xfId="3022" xr:uid="{490F8661-2274-477D-8A62-38B0B8A8D80D}"/>
    <cellStyle name="Normal 3 8 4 2" xfId="3691" xr:uid="{9DD60BA5-4A4A-42A8-9FD2-601FBE28019B}"/>
    <cellStyle name="Normal 3 8 4 2 2" xfId="4399" xr:uid="{E52EFC22-1CAA-4E89-B0CA-941F44DF17D9}"/>
    <cellStyle name="Normal 3 8 4 3" xfId="3931" xr:uid="{46DEACD2-EFA7-45A6-A91C-B8A40EF5997A}"/>
    <cellStyle name="Normal 3 8 4 3 2" xfId="4639" xr:uid="{C4D8724F-C806-4155-A81F-BDF2384C8EB3}"/>
    <cellStyle name="Normal 3 8 4 4" xfId="4170" xr:uid="{F90F581C-73D4-41F3-92A7-5DD2A7A5226F}"/>
    <cellStyle name="Normal 3 8 5" xfId="2926" xr:uid="{0B0E2B2C-3A3B-4C12-8B19-70D50DDFA4C7}"/>
    <cellStyle name="Normal 3 8 5 2" xfId="3595" xr:uid="{186A2956-2B57-4DA0-BFE5-9620666BBD34}"/>
    <cellStyle name="Normal 3 8 5 2 2" xfId="4319" xr:uid="{4BEC21AE-0882-47DE-87F8-4B75985E8030}"/>
    <cellStyle name="Normal 3 8 5 3" xfId="3851" xr:uid="{13F81515-7C07-4C1D-8FA3-CC99E8176EDA}"/>
    <cellStyle name="Normal 3 8 5 3 2" xfId="4559" xr:uid="{675700EB-DBDF-4781-B7FB-7C394807B8A4}"/>
    <cellStyle name="Normal 3 8 5 4" xfId="4090" xr:uid="{A53CF4FE-C743-437C-99E3-5611F621BA56}"/>
    <cellStyle name="Normal 3 8 6" xfId="3505" xr:uid="{E133F36B-E891-49F4-8CB9-372603913109}"/>
    <cellStyle name="Normal 3 8 6 2" xfId="4229" xr:uid="{57075D4C-C5C2-4D55-A509-CB3E4F1802A6}"/>
    <cellStyle name="Normal 3 8 7" xfId="3761" xr:uid="{A57352FA-FC18-43C3-89E9-40CC7CDC2440}"/>
    <cellStyle name="Normal 3 8 7 2" xfId="4469" xr:uid="{9C3940FC-8550-4DC1-BC5B-CAD6CDFA6752}"/>
    <cellStyle name="Normal 3 8 8" xfId="4000" xr:uid="{2DB98C96-06FB-4B0A-9826-3D340B161D13}"/>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357" xr:uid="{D0ED4B45-EFCB-481A-A0CD-D1231D7B27CB}"/>
    <cellStyle name="Normal 3 9 2 2 3" xfId="3889" xr:uid="{EA0288E3-A1DA-473C-9285-0E3542743E75}"/>
    <cellStyle name="Normal 3 9 2 2 3 2" xfId="4597" xr:uid="{11F4F636-D90B-4AD0-A1FA-FA0E934B5F4E}"/>
    <cellStyle name="Normal 3 9 2 2 4" xfId="4128" xr:uid="{3764297F-CBA1-4C40-B1C8-A6B215CF21BF}"/>
    <cellStyle name="Normal 3 9 2 3" xfId="3548" xr:uid="{928090B1-A035-40CA-9A84-C9997FF0BEA2}"/>
    <cellStyle name="Normal 3 9 2 3 2" xfId="4272" xr:uid="{E623C0AE-6CF4-4C79-9ED4-CCBBD0E2D981}"/>
    <cellStyle name="Normal 3 9 2 4" xfId="3804" xr:uid="{C80566F0-CA9F-4815-9E21-6C91FD6C45BF}"/>
    <cellStyle name="Normal 3 9 2 4 2" xfId="4512" xr:uid="{0350CFF5-6006-47D3-A82B-596890BE974A}"/>
    <cellStyle name="Normal 3 9 2 5" xfId="4043" xr:uid="{9199B1FA-7D93-4E65-8293-C85CBC469DB7}"/>
    <cellStyle name="Normal 3 9 3" xfId="3020" xr:uid="{330F775B-D10F-4B3F-B787-95506BC9D1F2}"/>
    <cellStyle name="Normal 3 9 3 2" xfId="3689" xr:uid="{EE795DE7-6555-4372-98BD-6B6263B6979F}"/>
    <cellStyle name="Normal 3 9 3 2 2" xfId="4397" xr:uid="{13A02095-FA5F-4470-9DA3-2DFC92D0841D}"/>
    <cellStyle name="Normal 3 9 3 3" xfId="3929" xr:uid="{70B82776-E215-4AC7-8614-86316669AA4F}"/>
    <cellStyle name="Normal 3 9 3 3 2" xfId="4637" xr:uid="{BD539F8B-7C2D-4348-B550-4785B15D16A4}"/>
    <cellStyle name="Normal 3 9 3 4" xfId="4168" xr:uid="{9BAC9A26-120F-421E-A74E-A2A2A5DC2D0C}"/>
    <cellStyle name="Normal 3 9 4" xfId="2924" xr:uid="{BAC23DD2-8035-4E02-BEDA-BC8AE034543F}"/>
    <cellStyle name="Normal 3 9 4 2" xfId="3593" xr:uid="{23ABD6F3-84EB-4393-B461-5D2B2F099B98}"/>
    <cellStyle name="Normal 3 9 4 2 2" xfId="4317" xr:uid="{97BED2D0-B778-428B-8981-DC8C9239F22A}"/>
    <cellStyle name="Normal 3 9 4 3" xfId="3849" xr:uid="{43CE6FD4-CC09-4E47-8649-6D838BE5C9C3}"/>
    <cellStyle name="Normal 3 9 4 3 2" xfId="4557" xr:uid="{B4EFBF1F-B7E2-427F-9FA3-50F2BFAAD70F}"/>
    <cellStyle name="Normal 3 9 4 4" xfId="4088" xr:uid="{643B0325-D24B-4321-91E5-C4353DB560D1}"/>
    <cellStyle name="Normal 3 9 5" xfId="3503" xr:uid="{3F0E68A4-505F-4743-A141-2A4ADDEC93C6}"/>
    <cellStyle name="Normal 3 9 5 2" xfId="4227" xr:uid="{C9C1082E-9017-4478-BA13-BC11CC8202CB}"/>
    <cellStyle name="Normal 3 9 6" xfId="3759" xr:uid="{69D6B8F9-148D-4907-9457-EE98098ED5F3}"/>
    <cellStyle name="Normal 3 9 6 2" xfId="4467" xr:uid="{6187927F-7CB9-4838-BE52-DCF6FADBC0E5}"/>
    <cellStyle name="Normal 3 9 7" xfId="3998" xr:uid="{C7E38ACD-E51E-499C-84F3-14847990992D}"/>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396" xr:uid="{9E77A134-7A01-4FD6-AE14-2D5DE069F89B}"/>
    <cellStyle name="Normal 4 10 2 3" xfId="3928" xr:uid="{DA261D1E-8D60-4F22-B1C1-4DBA1A72D1FB}"/>
    <cellStyle name="Normal 4 10 2 3 2" xfId="4636" xr:uid="{05D3B630-F822-426B-AFEF-88521416D55C}"/>
    <cellStyle name="Normal 4 10 2 4" xfId="4167" xr:uid="{E67B02F5-F50B-414D-88C6-739613A33FC1}"/>
    <cellStyle name="Normal 4 10 3" xfId="3542" xr:uid="{39EA222C-770B-41E7-A4CC-C117C50904EE}"/>
    <cellStyle name="Normal 4 10 3 2" xfId="4266" xr:uid="{21B6C630-C051-40DE-BC36-27FC4FB1E44C}"/>
    <cellStyle name="Normal 4 10 4" xfId="3798" xr:uid="{8A7CB622-EC02-4575-B1A5-32AE5657D113}"/>
    <cellStyle name="Normal 4 10 4 2" xfId="4506" xr:uid="{A3835A91-CB7C-47E5-BCC6-DA305F8199C4}"/>
    <cellStyle name="Normal 4 10 5" xfId="4037" xr:uid="{2AEBFDB1-1EF8-426D-B79A-6EE530D458F0}"/>
    <cellStyle name="Normal 4 11" xfId="3484" xr:uid="{E1E9D421-EAA4-4FD4-91B6-26A35DFAACCA}"/>
    <cellStyle name="Normal 4 11 2" xfId="3731" xr:uid="{6C3D6F15-8596-4BBF-9E70-FE8E148C2BD0}"/>
    <cellStyle name="Normal 4 11 2 2" xfId="4439" xr:uid="{D2BBC702-1457-41EB-8FEB-AA54A7A9EBD8}"/>
    <cellStyle name="Normal 4 11 3" xfId="3971" xr:uid="{4D822FFC-4C95-498E-AE73-E889F446A953}"/>
    <cellStyle name="Normal 4 11 3 2" xfId="4679" xr:uid="{B5539A31-A16A-457C-A826-552F37E8BFB7}"/>
    <cellStyle name="Normal 4 11 4" xfId="4210" xr:uid="{E8359AD1-64B4-404B-AF2C-B9F6B09515BB}"/>
    <cellStyle name="Normal 4 12" xfId="2918" xr:uid="{776488AA-3726-479F-9BB8-4CE8059F9DA4}"/>
    <cellStyle name="Normal 4 12 2" xfId="3587" xr:uid="{FED39AA4-4B50-4DAA-B527-5CA2B810B28A}"/>
    <cellStyle name="Normal 4 12 2 2" xfId="4311" xr:uid="{D5758AA4-D624-40C7-BDCA-087C9CBABD5B}"/>
    <cellStyle name="Normal 4 12 3" xfId="3843" xr:uid="{BE96C20D-211B-499A-81D8-4059C425B5A1}"/>
    <cellStyle name="Normal 4 12 3 2" xfId="4551" xr:uid="{69DDDEC5-0C7A-4681-807B-389EF4A2BD55}"/>
    <cellStyle name="Normal 4 12 4" xfId="4082" xr:uid="{CFFA6C02-9AAB-47A4-935A-9A0B07EAB737}"/>
    <cellStyle name="Normal 4 13" xfId="3492" xr:uid="{BA64252E-E332-442C-AF6B-08C40B5879B8}"/>
    <cellStyle name="Normal 4 13 2" xfId="4216" xr:uid="{E554ABC0-33DA-438D-A3B9-094132130828}"/>
    <cellStyle name="Normal 4 14" xfId="22" xr:uid="{8086ED49-FE76-4531-AB0E-FA4CAA2327F8}"/>
    <cellStyle name="Normal 4 14 2" xfId="3987" xr:uid="{5030DD96-5E2B-4603-9FEF-8598093A553E}"/>
    <cellStyle name="Normal 4 15" xfId="3748" xr:uid="{229F961C-EC90-4B69-9449-A8ED2AC8623D}"/>
    <cellStyle name="Normal 4 15 2" xfId="4456" xr:uid="{A5673286-6279-4792-9C03-01910D2EDE1B}"/>
    <cellStyle name="Normal 4 16" xfId="3981" xr:uid="{ED838E1D-3A07-4320-B912-B852D2BDB4E1}"/>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383" xr:uid="{98D6AA6E-C96C-48E7-A01C-B27DBE342AFA}"/>
    <cellStyle name="Normal 4 2 2 2 2 3" xfId="3915" xr:uid="{9821F130-647A-40EC-85FD-6CCA0497696A}"/>
    <cellStyle name="Normal 4 2 2 2 2 3 2" xfId="4623" xr:uid="{3D545ED5-3730-422A-9CFC-34C800167E1C}"/>
    <cellStyle name="Normal 4 2 2 2 2 4" xfId="4154" xr:uid="{4A802897-6031-42A1-A7CD-42CF9BE93A27}"/>
    <cellStyle name="Normal 4 2 2 2 3" xfId="3574" xr:uid="{DF14BEFE-7DC0-43AB-8B39-12BC4C643D9A}"/>
    <cellStyle name="Normal 4 2 2 2 3 2" xfId="4298" xr:uid="{EE4270E1-7CD4-47B5-B054-4D6D627BB8BA}"/>
    <cellStyle name="Normal 4 2 2 2 4" xfId="3830" xr:uid="{014C96C0-41C0-4B63-B9BF-F92563CF0570}"/>
    <cellStyle name="Normal 4 2 2 2 4 2" xfId="4538" xr:uid="{4DF786A9-C920-484A-A944-59B502CE1567}"/>
    <cellStyle name="Normal 4 2 2 2 5" xfId="4069" xr:uid="{C62BEB07-8612-453B-9F0A-1762A5C03CD0}"/>
    <cellStyle name="Normal 4 2 2 3" xfId="3450" xr:uid="{8A145DD6-8681-439E-A9C6-50BC7D1C8EE6}"/>
    <cellStyle name="Normal 4 2 2 3 2" xfId="3715" xr:uid="{2215DDA7-181D-4DE5-B5C9-757B742671F6}"/>
    <cellStyle name="Normal 4 2 2 3 2 2" xfId="4423" xr:uid="{9F485A3C-308C-4FEE-BB27-DE9B4200CAEA}"/>
    <cellStyle name="Normal 4 2 2 3 3" xfId="3955" xr:uid="{AE8851AA-469F-46CA-A4D7-036444303EDD}"/>
    <cellStyle name="Normal 4 2 2 3 3 2" xfId="4663" xr:uid="{C313E3A0-57FD-40F1-B3ED-F5FCD49E1ED6}"/>
    <cellStyle name="Normal 4 2 2 3 4" xfId="4194" xr:uid="{7421CD05-96AD-414D-A3B8-C5E5D60CE1FE}"/>
    <cellStyle name="Normal 4 2 2 4" xfId="2950" xr:uid="{C95DDB79-805C-4C12-A415-C6FAA93F53B4}"/>
    <cellStyle name="Normal 4 2 2 4 2" xfId="3619" xr:uid="{DD3BD707-27A4-49A9-BF52-05B761F4D9B7}"/>
    <cellStyle name="Normal 4 2 2 4 2 2" xfId="4343" xr:uid="{8947DECF-8117-4A3F-9E91-A585515CD69A}"/>
    <cellStyle name="Normal 4 2 2 4 3" xfId="3875" xr:uid="{4B3B58E9-E151-4420-9737-1E2B9CEC64CF}"/>
    <cellStyle name="Normal 4 2 2 4 3 2" xfId="4583" xr:uid="{A20E4CF1-4E28-455B-B5C9-9E18C302208B}"/>
    <cellStyle name="Normal 4 2 2 4 4" xfId="4114" xr:uid="{351CDBE7-237C-445E-B854-C28F09685DCA}"/>
    <cellStyle name="Normal 4 2 2 5" xfId="3529" xr:uid="{B95641FF-C168-45AD-B8C9-C4F9D814D317}"/>
    <cellStyle name="Normal 4 2 2 5 2" xfId="4253" xr:uid="{553D333A-B11A-4AEB-A75A-A5D8F76E9D45}"/>
    <cellStyle name="Normal 4 2 2 6" xfId="3785" xr:uid="{9B47182C-F91E-4A24-BAC1-0D5F2E50F07A}"/>
    <cellStyle name="Normal 4 2 2 6 2" xfId="4493" xr:uid="{66D0272D-94E7-46A3-B3E0-454B7547A85C}"/>
    <cellStyle name="Normal 4 2 2 7" xfId="4024" xr:uid="{5B319BE2-AA26-40F0-828E-EFE7B29859A0}"/>
    <cellStyle name="Normal 4 2 3" xfId="2888" xr:uid="{32807B66-8F0E-4006-9465-31D3322D1FA5}"/>
    <cellStyle name="Normal 4 2 3 2" xfId="2989" xr:uid="{D2CD65BD-F44D-476A-8304-1002F84EE031}"/>
    <cellStyle name="Normal 4 2 3 2 2" xfId="3658" xr:uid="{7F9D4086-4BC7-4361-8FF1-EDBC554D495F}"/>
    <cellStyle name="Normal 4 2 3 2 2 2" xfId="4366" xr:uid="{58605B9E-DC51-4304-B13D-D828C116C6CA}"/>
    <cellStyle name="Normal 4 2 3 2 3" xfId="3898" xr:uid="{5145D097-3CDF-4898-84AE-4AE8BEDAB424}"/>
    <cellStyle name="Normal 4 2 3 2 3 2" xfId="4606" xr:uid="{76BDD0D8-B5AF-4F68-9D9F-D4EFE4C92763}"/>
    <cellStyle name="Normal 4 2 3 2 4" xfId="4137" xr:uid="{B1742A37-79C0-4B63-A0B5-7C480659260C}"/>
    <cellStyle name="Normal 4 2 3 3" xfId="3557" xr:uid="{A82876CE-3AC7-40AF-942A-CC71D7FE0E16}"/>
    <cellStyle name="Normal 4 2 3 3 2" xfId="4281" xr:uid="{A9F12256-7868-4086-A0C7-B16DB550178F}"/>
    <cellStyle name="Normal 4 2 3 4" xfId="3813" xr:uid="{AF2ECD1F-616E-4912-BF3F-B0B41A4FE578}"/>
    <cellStyle name="Normal 4 2 3 4 2" xfId="4521" xr:uid="{F7995617-D4B6-4703-9B13-1C316BA587C2}"/>
    <cellStyle name="Normal 4 2 3 5" xfId="4052" xr:uid="{E352E992-D1C8-4EFB-AC82-7EF51E13405F}"/>
    <cellStyle name="Normal 4 2 4" xfId="3426" xr:uid="{394C2112-16E4-407C-8D72-54B8B4347EA6}"/>
    <cellStyle name="Normal 4 2 4 2" xfId="3698" xr:uid="{71AE0EC5-12FA-47C6-AC62-AAFF5AA9056E}"/>
    <cellStyle name="Normal 4 2 4 2 2" xfId="4406" xr:uid="{C1591BE8-BF48-4149-B2DC-E980E63C145A}"/>
    <cellStyle name="Normal 4 2 4 3" xfId="3938" xr:uid="{40611D2C-E9E8-4D8B-AE5A-ADC46595FB6F}"/>
    <cellStyle name="Normal 4 2 4 3 2" xfId="4646" xr:uid="{4C018447-FD63-457E-BB75-225C064D491E}"/>
    <cellStyle name="Normal 4 2 4 4" xfId="4177" xr:uid="{E7091CBB-AE61-4B33-A0A8-322D8B1C9A9B}"/>
    <cellStyle name="Normal 4 2 5" xfId="2933" xr:uid="{7422A233-B604-4CEF-8DB3-3B38D3B76A4F}"/>
    <cellStyle name="Normal 4 2 5 2" xfId="3602" xr:uid="{B3A4FAF7-0A25-4FD0-99A6-9D242DCD9793}"/>
    <cellStyle name="Normal 4 2 5 2 2" xfId="4326" xr:uid="{36F7113F-F957-4299-A975-CEE05A3408EB}"/>
    <cellStyle name="Normal 4 2 5 3" xfId="3858" xr:uid="{FFA349DE-73A6-4EBE-8C82-D32B28D41F33}"/>
    <cellStyle name="Normal 4 2 5 3 2" xfId="4566" xr:uid="{E3C31D73-68F9-436C-BAF7-7C48B43A5005}"/>
    <cellStyle name="Normal 4 2 5 4" xfId="4097" xr:uid="{6D454EB3-07E0-4406-AC04-9C4452A4AAC1}"/>
    <cellStyle name="Normal 4 2 6" xfId="3512" xr:uid="{4499489B-EA7A-4C79-88EE-8A8C8CDEE43E}"/>
    <cellStyle name="Normal 4 2 6 2" xfId="4236" xr:uid="{4357A957-CDE1-4316-8B20-D235925925A6}"/>
    <cellStyle name="Normal 4 2 7" xfId="3768" xr:uid="{19C0A783-E03C-4FC5-B0F3-75BADFA61D25}"/>
    <cellStyle name="Normal 4 2 7 2" xfId="4476" xr:uid="{26E16E16-24C1-4066-85D2-346662B657EF}"/>
    <cellStyle name="Normal 4 2 8" xfId="4007" xr:uid="{499E563C-2D94-4FE7-A0D1-B709F4BAB4DF}"/>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387" xr:uid="{7F1AF404-C77B-471E-B50A-0E91D94BB991}"/>
    <cellStyle name="Normal 4 3 2 2 2 3" xfId="3919" xr:uid="{C391C341-4F60-4070-94B9-DD449DEB1D30}"/>
    <cellStyle name="Normal 4 3 2 2 2 3 2" xfId="4627" xr:uid="{B09DB013-C3E5-44ED-AEC4-EBB2ADD553E1}"/>
    <cellStyle name="Normal 4 3 2 2 2 4" xfId="4158" xr:uid="{D438E642-396C-4539-ACBA-891621E6EADE}"/>
    <cellStyle name="Normal 4 3 2 2 3" xfId="3578" xr:uid="{3502D45F-E9A4-483F-A01F-19140A102337}"/>
    <cellStyle name="Normal 4 3 2 2 3 2" xfId="4302" xr:uid="{67687845-F55A-4B25-AD7A-79BA412FF796}"/>
    <cellStyle name="Normal 4 3 2 2 4" xfId="3834" xr:uid="{5A108D6F-C245-4F6A-9D6C-81F08B6CF30D}"/>
    <cellStyle name="Normal 4 3 2 2 4 2" xfId="4542" xr:uid="{97B5036D-5D24-4062-AA5C-C767C95256A1}"/>
    <cellStyle name="Normal 4 3 2 2 5" xfId="4073" xr:uid="{B19CB040-A9D9-45E4-9D4A-249EC9149B7F}"/>
    <cellStyle name="Normal 4 3 2 3" xfId="3454" xr:uid="{40666BB9-5300-4A90-A041-C2B05E0212C7}"/>
    <cellStyle name="Normal 4 3 2 3 2" xfId="3719" xr:uid="{27CD0467-DAC3-4379-9F87-015AC64E0485}"/>
    <cellStyle name="Normal 4 3 2 3 2 2" xfId="4427" xr:uid="{0231DCB0-22D2-4951-B295-9A04CBA8C473}"/>
    <cellStyle name="Normal 4 3 2 3 3" xfId="3959" xr:uid="{2C202DDC-0051-438E-9B8E-0A2268AC5099}"/>
    <cellStyle name="Normal 4 3 2 3 3 2" xfId="4667" xr:uid="{F77E7BD1-2AED-494B-8CFA-3DDC642743DF}"/>
    <cellStyle name="Normal 4 3 2 3 4" xfId="4198" xr:uid="{C1A0CFAD-A2A4-437C-B78E-AD91057EA63B}"/>
    <cellStyle name="Normal 4 3 2 4" xfId="2954" xr:uid="{A9FD7A50-AF92-46E9-B0DE-DEF8A5AB0621}"/>
    <cellStyle name="Normal 4 3 2 4 2" xfId="3623" xr:uid="{1861C970-CC5A-4BEB-AD97-887F2A8BE552}"/>
    <cellStyle name="Normal 4 3 2 4 2 2" xfId="4347" xr:uid="{B46225CF-9C41-4702-A7B0-AF1A1AFF6FA9}"/>
    <cellStyle name="Normal 4 3 2 4 3" xfId="3879" xr:uid="{D0D32389-9AC4-4C86-A24E-79B65470012F}"/>
    <cellStyle name="Normal 4 3 2 4 3 2" xfId="4587" xr:uid="{64CF3894-1BB2-4454-A111-3FD6880E2F1F}"/>
    <cellStyle name="Normal 4 3 2 4 4" xfId="4118" xr:uid="{DF7D2EB5-59DB-4692-A64F-78625AB6EE2B}"/>
    <cellStyle name="Normal 4 3 2 5" xfId="3533" xr:uid="{2A1BC6D7-965B-4D75-8A88-2EC268E535D0}"/>
    <cellStyle name="Normal 4 3 2 5 2" xfId="4257" xr:uid="{919A7F27-E8F5-4AA3-A4D2-AC422523F287}"/>
    <cellStyle name="Normal 4 3 2 6" xfId="3789" xr:uid="{B729EC13-2700-45F0-A5FA-B2DE64629BD4}"/>
    <cellStyle name="Normal 4 3 2 6 2" xfId="4497" xr:uid="{11222147-EEC9-4610-8CFC-708846E3B36A}"/>
    <cellStyle name="Normal 4 3 2 7" xfId="4028" xr:uid="{C9D0A3E0-7B90-4F7E-B324-19EBBFC894ED}"/>
    <cellStyle name="Normal 4 3 3" xfId="2892" xr:uid="{6C5564FB-3250-4620-823E-01C2904A3432}"/>
    <cellStyle name="Normal 4 3 3 2" xfId="2993" xr:uid="{C673568D-B830-421D-9F57-682A545B10F2}"/>
    <cellStyle name="Normal 4 3 3 2 2" xfId="3662" xr:uid="{7993FE68-3A7B-45CD-8A86-C8FF0BCD0CE9}"/>
    <cellStyle name="Normal 4 3 3 2 2 2" xfId="4370" xr:uid="{5133C353-407C-4E88-A258-EE223A6262CC}"/>
    <cellStyle name="Normal 4 3 3 2 3" xfId="3902" xr:uid="{8B7DD555-3DF0-4955-859D-58464FC26B4D}"/>
    <cellStyle name="Normal 4 3 3 2 3 2" xfId="4610" xr:uid="{921CDA80-A112-4EC2-8286-445FD5E27683}"/>
    <cellStyle name="Normal 4 3 3 2 4" xfId="4141" xr:uid="{48B9ACDF-9CEF-4D73-A887-03D650E9C5A8}"/>
    <cellStyle name="Normal 4 3 3 3" xfId="3561" xr:uid="{EBFA198F-0452-4CF7-B47B-FF3047664F36}"/>
    <cellStyle name="Normal 4 3 3 3 2" xfId="4285" xr:uid="{FEB1FB09-0042-4E79-9D1A-8935E7F3311E}"/>
    <cellStyle name="Normal 4 3 3 4" xfId="3817" xr:uid="{0A42B87E-24C9-4F6E-B376-4197F37F3126}"/>
    <cellStyle name="Normal 4 3 3 4 2" xfId="4525" xr:uid="{287503CE-E1F0-42B8-A80F-D9DCDC321F75}"/>
    <cellStyle name="Normal 4 3 3 5" xfId="4056" xr:uid="{E65013EA-1F5E-495A-B1C0-2F1691178263}"/>
    <cellStyle name="Normal 4 3 4" xfId="3436" xr:uid="{9D31176D-BE12-49D1-828B-B3658E91ABDD}"/>
    <cellStyle name="Normal 4 3 4 2" xfId="3702" xr:uid="{8B3D2050-B085-477E-9C06-E5213BFE71A6}"/>
    <cellStyle name="Normal 4 3 4 2 2" xfId="4410" xr:uid="{9FF2DC7B-2B5C-43A8-BADC-191A49C3A2A7}"/>
    <cellStyle name="Normal 4 3 4 3" xfId="3942" xr:uid="{985D8942-3E7D-4841-850C-CBC71FBFCE72}"/>
    <cellStyle name="Normal 4 3 4 3 2" xfId="4650" xr:uid="{70C1EBA3-35F9-4CA7-A486-E03843B8CD69}"/>
    <cellStyle name="Normal 4 3 4 4" xfId="4181" xr:uid="{1388F2C3-115B-4749-971E-618847BF3CBD}"/>
    <cellStyle name="Normal 4 3 5" xfId="2937" xr:uid="{5A091B88-F41A-4AF7-91C4-1F079688941A}"/>
    <cellStyle name="Normal 4 3 5 2" xfId="3606" xr:uid="{6B8C2F25-0AB1-45B2-AE85-87D20184DFAC}"/>
    <cellStyle name="Normal 4 3 5 2 2" xfId="4330" xr:uid="{1CBA3EEB-5FAB-4069-96B4-EE5C32C0BD75}"/>
    <cellStyle name="Normal 4 3 5 3" xfId="3862" xr:uid="{513D4536-30A2-48B8-A168-A7B7614D3E79}"/>
    <cellStyle name="Normal 4 3 5 3 2" xfId="4570" xr:uid="{5AC3A695-2158-464B-B3A7-AF74CF46906B}"/>
    <cellStyle name="Normal 4 3 5 4" xfId="4101" xr:uid="{71C9FAC3-ECB2-4277-AFF5-264E73C7B68F}"/>
    <cellStyle name="Normal 4 3 6" xfId="3516" xr:uid="{7C95A12E-99DA-4C3A-82F2-8515CBB4FDA4}"/>
    <cellStyle name="Normal 4 3 6 2" xfId="4240" xr:uid="{31A956EE-4277-45AB-97B7-BB6C71B1CB38}"/>
    <cellStyle name="Normal 4 3 7" xfId="3772" xr:uid="{99245750-B27C-4D2C-AA3C-F48146C69F83}"/>
    <cellStyle name="Normal 4 3 7 2" xfId="4480" xr:uid="{46227952-094B-447F-BD34-BDF44E8EBDD3}"/>
    <cellStyle name="Normal 4 3 8" xfId="4011" xr:uid="{22639B66-40DE-4708-815D-56010334939E}"/>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390" xr:uid="{157552D9-73AB-4390-A016-5113E48F0C0D}"/>
    <cellStyle name="Normal 4 4 2 2 2 3" xfId="3922" xr:uid="{A1492709-2CCC-41A3-83BF-B041EDB1A793}"/>
    <cellStyle name="Normal 4 4 2 2 2 3 2" xfId="4630" xr:uid="{C3C261B3-5E15-4E31-BD71-76A1DEDE7A70}"/>
    <cellStyle name="Normal 4 4 2 2 2 4" xfId="4161" xr:uid="{3F3FC1C4-3DE5-41D6-9AD3-A7E740428664}"/>
    <cellStyle name="Normal 4 4 2 2 3" xfId="3581" xr:uid="{48EED8D4-76B9-4A46-A51F-BC81D3E1D646}"/>
    <cellStyle name="Normal 4 4 2 2 3 2" xfId="4305" xr:uid="{D0F48F05-5A16-4393-BA93-99FB87E34A5C}"/>
    <cellStyle name="Normal 4 4 2 2 4" xfId="3837" xr:uid="{352BDC59-5494-493E-8B01-B97E7530B8F2}"/>
    <cellStyle name="Normal 4 4 2 2 4 2" xfId="4545" xr:uid="{2DD83E6B-9655-4EDF-99A0-F08CA8BCE866}"/>
    <cellStyle name="Normal 4 4 2 2 5" xfId="4076" xr:uid="{019F13B7-D949-49CD-86B1-1DA3E4D7B664}"/>
    <cellStyle name="Normal 4 4 2 3" xfId="3457" xr:uid="{603BC009-A252-49E1-A966-6BBF24B62296}"/>
    <cellStyle name="Normal 4 4 2 3 2" xfId="3722" xr:uid="{244380B4-5AEC-48D0-A2EF-A95450406E38}"/>
    <cellStyle name="Normal 4 4 2 3 2 2" xfId="4430" xr:uid="{20DEA30D-EFA0-48EF-9A52-BD94316A5D6C}"/>
    <cellStyle name="Normal 4 4 2 3 3" xfId="3962" xr:uid="{D04CA78D-2B6F-42FF-87A5-BC52BAB7EBBF}"/>
    <cellStyle name="Normal 4 4 2 3 3 2" xfId="4670" xr:uid="{C8253561-9CBF-4354-A54C-04F90F983A14}"/>
    <cellStyle name="Normal 4 4 2 3 4" xfId="4201" xr:uid="{CBE5F70E-5080-4C83-8207-F68C864BC4AF}"/>
    <cellStyle name="Normal 4 4 2 4" xfId="2957" xr:uid="{B6BD8F4B-7DE3-4A49-8A75-171644DE4B45}"/>
    <cellStyle name="Normal 4 4 2 4 2" xfId="3626" xr:uid="{C6ED27FC-A2F5-473D-B52E-DA25506805BC}"/>
    <cellStyle name="Normal 4 4 2 4 2 2" xfId="4350" xr:uid="{E4BCFF1B-C900-4B3C-B93F-6D4E99B2F05E}"/>
    <cellStyle name="Normal 4 4 2 4 3" xfId="3882" xr:uid="{C44D24E2-9281-4CE3-B864-2D0306DBC06A}"/>
    <cellStyle name="Normal 4 4 2 4 3 2" xfId="4590" xr:uid="{BAFCF30B-F2D1-4C85-995D-660981C7CBB7}"/>
    <cellStyle name="Normal 4 4 2 4 4" xfId="4121" xr:uid="{D801A09E-6D27-4645-A39E-786DF5259B05}"/>
    <cellStyle name="Normal 4 4 2 5" xfId="3536" xr:uid="{1B9216E6-0302-4DDB-842E-1C4D5D558AF7}"/>
    <cellStyle name="Normal 4 4 2 5 2" xfId="4260" xr:uid="{0E821280-31C2-4D0D-8377-E92C26556996}"/>
    <cellStyle name="Normal 4 4 2 6" xfId="3792" xr:uid="{8A5D4E5B-106E-4A25-865D-5958C7C2BADE}"/>
    <cellStyle name="Normal 4 4 2 6 2" xfId="4500" xr:uid="{22FD56EC-FC3D-4E64-8251-9F68DDB93AB4}"/>
    <cellStyle name="Normal 4 4 2 7" xfId="4031" xr:uid="{3106535B-183B-4F02-B9A5-708EBFFE301F}"/>
    <cellStyle name="Normal 4 4 3" xfId="2895" xr:uid="{31D89E02-9E55-42A5-9DC4-1228FD145ADF}"/>
    <cellStyle name="Normal 4 4 3 2" xfId="2996" xr:uid="{08E4F956-9DC8-4470-AAB7-3C6C658BCCD1}"/>
    <cellStyle name="Normal 4 4 3 2 2" xfId="3665" xr:uid="{56F916F1-3B59-4C13-B7CF-6FFD72C16681}"/>
    <cellStyle name="Normal 4 4 3 2 2 2" xfId="4373" xr:uid="{F4B37A63-6431-46F9-8943-69BBF60C0507}"/>
    <cellStyle name="Normal 4 4 3 2 3" xfId="3905" xr:uid="{8ED48ADE-B4DB-45D8-963A-8E687B21FA26}"/>
    <cellStyle name="Normal 4 4 3 2 3 2" xfId="4613" xr:uid="{F772A223-C7F0-475D-83A1-D0573A969870}"/>
    <cellStyle name="Normal 4 4 3 2 4" xfId="4144" xr:uid="{180D27D1-5EC3-4DB9-8476-731515A759A3}"/>
    <cellStyle name="Normal 4 4 3 3" xfId="3564" xr:uid="{94591AE2-72AD-46F7-A8E0-36A4C1395603}"/>
    <cellStyle name="Normal 4 4 3 3 2" xfId="4288" xr:uid="{34FEA3E7-04FF-4A1D-A5E9-2C8256434B00}"/>
    <cellStyle name="Normal 4 4 3 4" xfId="3820" xr:uid="{4DA52706-E22A-4408-A41A-FCC311622B13}"/>
    <cellStyle name="Normal 4 4 3 4 2" xfId="4528" xr:uid="{E226407A-31EE-4B24-9AA5-DE4B5F9CAB7C}"/>
    <cellStyle name="Normal 4 4 3 5" xfId="4059" xr:uid="{C5422FD6-F057-4420-9C1E-BB850D4503A5}"/>
    <cellStyle name="Normal 4 4 4" xfId="3439" xr:uid="{2C59E7BB-97B5-4DF7-829F-EE7A50649E81}"/>
    <cellStyle name="Normal 4 4 4 2" xfId="3705" xr:uid="{98E0296E-A976-4DB9-9CA4-2839128A46C2}"/>
    <cellStyle name="Normal 4 4 4 2 2" xfId="4413" xr:uid="{0EFBC782-5EB3-4284-9456-30E8A753DFAE}"/>
    <cellStyle name="Normal 4 4 4 3" xfId="3945" xr:uid="{7201B88F-F67E-4431-A152-2B1BE57A0B79}"/>
    <cellStyle name="Normal 4 4 4 3 2" xfId="4653" xr:uid="{CD7382B5-389E-4FED-AA40-6E3ABBD21180}"/>
    <cellStyle name="Normal 4 4 4 4" xfId="4184" xr:uid="{3679F791-4980-4216-9172-A60A249076E8}"/>
    <cellStyle name="Normal 4 4 5" xfId="2940" xr:uid="{D339D396-524A-4FC5-93FD-8ADCB9EC87F1}"/>
    <cellStyle name="Normal 4 4 5 2" xfId="3609" xr:uid="{8A005C51-8150-44F5-B3F9-8A689A25B884}"/>
    <cellStyle name="Normal 4 4 5 2 2" xfId="4333" xr:uid="{A7F3B579-DD21-4271-B054-237C2C2CAA7A}"/>
    <cellStyle name="Normal 4 4 5 3" xfId="3865" xr:uid="{A6C4FBD8-38EC-42EC-9FA7-37E91E5B3598}"/>
    <cellStyle name="Normal 4 4 5 3 2" xfId="4573" xr:uid="{51D2EFE5-A2DC-4719-B8C3-AF107C9F8347}"/>
    <cellStyle name="Normal 4 4 5 4" xfId="4104" xr:uid="{D3D35253-66B9-4D9F-802C-B588736D6D51}"/>
    <cellStyle name="Normal 4 4 6" xfId="3519" xr:uid="{12B38230-8BF1-4B5B-A331-B6FB04606618}"/>
    <cellStyle name="Normal 4 4 6 2" xfId="4243" xr:uid="{A2397F89-F47A-46A0-BA4A-7AA1C1865FD0}"/>
    <cellStyle name="Normal 4 4 7" xfId="3775" xr:uid="{867A55CC-56B9-40C2-A36E-2311F70EF0BE}"/>
    <cellStyle name="Normal 4 4 7 2" xfId="4483" xr:uid="{B49FB8AC-2700-4670-9069-84A05D3FD534}"/>
    <cellStyle name="Normal 4 4 8" xfId="4014" xr:uid="{65454EC9-A1FA-4548-9579-FE7A26320E14}"/>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363" xr:uid="{D5CC7C87-D80B-49FC-BA73-37BB6EF58ECA}"/>
    <cellStyle name="Normal 4 5 2 2 3" xfId="3895" xr:uid="{2176BDF6-9CD7-461A-9BF0-D1124CCA529E}"/>
    <cellStyle name="Normal 4 5 2 2 3 2" xfId="4603" xr:uid="{FAEECE7C-CCDD-43D9-AAC0-ECC5C40A4D90}"/>
    <cellStyle name="Normal 4 5 2 2 4" xfId="4134" xr:uid="{57CDBF11-B261-4104-89EA-AE62EA235D83}"/>
    <cellStyle name="Normal 4 5 2 3" xfId="3554" xr:uid="{7D9911A8-E0D2-4AE2-829D-199C5E3823B4}"/>
    <cellStyle name="Normal 4 5 2 3 2" xfId="4278" xr:uid="{6C8EDA3A-7E35-41F9-BB0F-970E6AF894E4}"/>
    <cellStyle name="Normal 4 5 2 4" xfId="3810" xr:uid="{8330BC6F-BB7C-4D2C-AC2A-39814DEC4A33}"/>
    <cellStyle name="Normal 4 5 2 4 2" xfId="4518" xr:uid="{E8B32CE6-C435-4493-B215-6CA875B6C695}"/>
    <cellStyle name="Normal 4 5 2 5" xfId="4049" xr:uid="{DDFF9AA3-1C14-46F9-A8E1-FC919BB6DCBC}"/>
    <cellStyle name="Normal 4 5 3" xfId="3040" xr:uid="{FF07AB09-14AA-4828-B57E-B817117672A2}"/>
    <cellStyle name="Normal 4 5 3 2" xfId="3695" xr:uid="{83F37EC2-5319-4AE8-87C5-D0A028B6C2FB}"/>
    <cellStyle name="Normal 4 5 3 2 2" xfId="4403" xr:uid="{4FB48E02-F342-4C71-8B2C-A9CE6976268B}"/>
    <cellStyle name="Normal 4 5 3 3" xfId="3935" xr:uid="{AF2295BF-D113-4859-880C-D7E0A4E479D0}"/>
    <cellStyle name="Normal 4 5 3 3 2" xfId="4643" xr:uid="{799AFDBB-F32E-4DEA-9C40-181B32D984B1}"/>
    <cellStyle name="Normal 4 5 3 4" xfId="4174" xr:uid="{26A23CDB-BCE1-4A46-95D3-6E6E4F0CB256}"/>
    <cellStyle name="Normal 4 5 4" xfId="2930" xr:uid="{127037BD-9E37-413D-9A1B-89CC01040EA9}"/>
    <cellStyle name="Normal 4 5 4 2" xfId="3599" xr:uid="{50DE78CD-2FF4-4B6C-996B-38AC7BD3C038}"/>
    <cellStyle name="Normal 4 5 4 2 2" xfId="4323" xr:uid="{374FFCBF-54F4-4704-83C1-193E11E68820}"/>
    <cellStyle name="Normal 4 5 4 3" xfId="3855" xr:uid="{E1B5077D-16C2-4CCF-AF6B-14CE51571DA2}"/>
    <cellStyle name="Normal 4 5 4 3 2" xfId="4563" xr:uid="{680F7162-4AA3-4B6A-A202-1BAC5072472D}"/>
    <cellStyle name="Normal 4 5 4 4" xfId="4094" xr:uid="{6D3B6510-F2CC-42E9-9001-BB769C9D7AB4}"/>
    <cellStyle name="Normal 4 5 5" xfId="3509" xr:uid="{EE80D27D-FF68-47E9-B3FD-412ABF79C8FA}"/>
    <cellStyle name="Normal 4 5 5 2" xfId="4233" xr:uid="{94AF8EE5-E590-451E-B045-7E0E35628B0E}"/>
    <cellStyle name="Normal 4 5 6" xfId="3765" xr:uid="{4E7517B0-B2D1-4910-A849-4C1060FE36FF}"/>
    <cellStyle name="Normal 4 5 6 2" xfId="4473" xr:uid="{BD558B3B-558C-414B-AEEC-0079FB245D29}"/>
    <cellStyle name="Normal 4 5 7" xfId="4004" xr:uid="{7EC8050C-95B2-45D9-8E31-C51220AEB123}"/>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380" xr:uid="{414F0ECA-8B5F-47F1-A39E-F75B802AB072}"/>
    <cellStyle name="Normal 4 6 2 2 3" xfId="3912" xr:uid="{FB568BD8-F41C-4964-99C1-2E1E87B16972}"/>
    <cellStyle name="Normal 4 6 2 2 3 2" xfId="4620" xr:uid="{8B356187-C0E4-4503-A5AA-9838A9879A94}"/>
    <cellStyle name="Normal 4 6 2 2 4" xfId="4151" xr:uid="{A624934E-D079-4125-A80E-6FABA958C9D0}"/>
    <cellStyle name="Normal 4 6 2 3" xfId="3571" xr:uid="{0A1A40D1-C1B0-41DA-AF95-6D0B88ADA848}"/>
    <cellStyle name="Normal 4 6 2 3 2" xfId="4295" xr:uid="{E042694F-BC12-4126-A5A4-7FB965E0001B}"/>
    <cellStyle name="Normal 4 6 2 4" xfId="3827" xr:uid="{DF67AF25-AC46-43E4-A0A1-0A84D2CF39A9}"/>
    <cellStyle name="Normal 4 6 2 4 2" xfId="4535" xr:uid="{4F907C70-1FCC-476C-8D69-E447D2AD7048}"/>
    <cellStyle name="Normal 4 6 2 5" xfId="4066" xr:uid="{4ADB54AF-9501-431A-B0B0-F0E723DB9633}"/>
    <cellStyle name="Normal 4 6 3" xfId="3447" xr:uid="{5403DFEF-8DF5-4821-A5AD-BE962DCD5622}"/>
    <cellStyle name="Normal 4 6 3 2" xfId="3712" xr:uid="{94C7A8FA-212A-4E84-8519-272318F7EBA8}"/>
    <cellStyle name="Normal 4 6 3 2 2" xfId="4420" xr:uid="{198C36C9-23CC-4C89-9AB6-970EB61227E4}"/>
    <cellStyle name="Normal 4 6 3 3" xfId="3952" xr:uid="{A4CEB479-966A-43F1-B49A-2CD5FA15DA5C}"/>
    <cellStyle name="Normal 4 6 3 3 2" xfId="4660" xr:uid="{877BDA05-615D-415C-935E-CD9CDE2F5574}"/>
    <cellStyle name="Normal 4 6 3 4" xfId="4191" xr:uid="{32CDCBA4-9558-432C-B503-A7474A688B00}"/>
    <cellStyle name="Normal 4 6 4" xfId="2947" xr:uid="{A671DB3F-E4AD-4FC7-940F-2A343291A944}"/>
    <cellStyle name="Normal 4 6 4 2" xfId="3616" xr:uid="{300DBA71-10EE-416C-8D9C-3A6BE45C10B1}"/>
    <cellStyle name="Normal 4 6 4 2 2" xfId="4340" xr:uid="{325D3B8D-5569-43C3-A0CF-D4524E0576B5}"/>
    <cellStyle name="Normal 4 6 4 3" xfId="3872" xr:uid="{A14B5406-17C4-431A-8215-B177BA40ECDC}"/>
    <cellStyle name="Normal 4 6 4 3 2" xfId="4580" xr:uid="{3F3FE1E6-8F3D-4A38-920A-8E3A6CE6F852}"/>
    <cellStyle name="Normal 4 6 4 4" xfId="4111" xr:uid="{45C9F674-89B6-4D17-BFC3-AA9F0C819377}"/>
    <cellStyle name="Normal 4 6 5" xfId="3526" xr:uid="{B066C5EF-CD9C-4F81-8FC7-F8B1C146D8B9}"/>
    <cellStyle name="Normal 4 6 5 2" xfId="4250" xr:uid="{C397E005-E6C9-4480-9B61-E73F35A4DB99}"/>
    <cellStyle name="Normal 4 6 6" xfId="3782" xr:uid="{3E58C187-2545-4D63-97EF-945E2C4B5913}"/>
    <cellStyle name="Normal 4 6 6 2" xfId="4490" xr:uid="{7D2E7CA6-9FB1-4419-B4FD-70BABCC97C9D}"/>
    <cellStyle name="Normal 4 6 7" xfId="4021" xr:uid="{DDB725CC-6043-449F-8A66-D0D6BB9121C1}"/>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271" xr:uid="{0D67BEE0-0E20-40FF-A32E-28F6DD591C38}"/>
    <cellStyle name="Normal 4 8 2 3" xfId="3803" xr:uid="{1B0D2D34-9168-4F77-B6A5-64247C15A1E6}"/>
    <cellStyle name="Normal 4 8 2 3 2" xfId="4511" xr:uid="{695A9957-F412-40FE-B930-56539BACCE76}"/>
    <cellStyle name="Normal 4 8 2 4" xfId="4042" xr:uid="{AFAD41C6-AD04-4365-91F5-8CA8587EEE71}"/>
    <cellStyle name="Normal 4 8 3" xfId="2923" xr:uid="{F834450C-FB76-4614-87A2-14233A0E8F61}"/>
    <cellStyle name="Normal 4 8 3 2" xfId="3592" xr:uid="{95336BC0-AF1C-441E-B761-6F87729A275C}"/>
    <cellStyle name="Normal 4 8 3 2 2" xfId="4316" xr:uid="{B89EA41E-C988-489F-8D2D-A836768936E0}"/>
    <cellStyle name="Normal 4 8 3 3" xfId="3848" xr:uid="{9948F455-0893-45AF-B423-47A74BF23064}"/>
    <cellStyle name="Normal 4 8 3 3 2" xfId="4556" xr:uid="{4E70B45E-E3FB-4D06-AB58-21FC90E836C0}"/>
    <cellStyle name="Normal 4 8 3 4" xfId="4087" xr:uid="{E041123A-5CA5-4BE4-968B-A0BEDA7A5E20}"/>
    <cellStyle name="Normal 4 8 4" xfId="3502" xr:uid="{C4359809-4B06-4ECC-85DA-A62E889FB51E}"/>
    <cellStyle name="Normal 4 8 4 2" xfId="4226" xr:uid="{69175A7D-280E-4466-BC3E-0D77878C56D5}"/>
    <cellStyle name="Normal 4 8 5" xfId="3758" xr:uid="{357FC4ED-7874-430E-8BAB-5B0AEC1BD4A7}"/>
    <cellStyle name="Normal 4 8 5 2" xfId="4466" xr:uid="{B964E6F5-48A1-4C68-BA47-98981B86422C}"/>
    <cellStyle name="Normal 4 8 6" xfId="3997" xr:uid="{ABC85802-2BA0-47A2-8B5E-508C890AF278}"/>
    <cellStyle name="Normal 4 9" xfId="27" xr:uid="{991B9F0F-1632-4E82-BA15-D4F5B44B6040}"/>
    <cellStyle name="Normal 4 9 2" xfId="2963" xr:uid="{1130FF09-DC98-4189-BFBA-210000AC8890}"/>
    <cellStyle name="Normal 4 9 2 2" xfId="3632" xr:uid="{63756306-B1DD-407B-B9E6-5AC0453CA823}"/>
    <cellStyle name="Normal 4 9 2 2 2" xfId="4356" xr:uid="{52AECF5C-E942-4225-9640-6B1556A5F190}"/>
    <cellStyle name="Normal 4 9 2 3" xfId="3888" xr:uid="{2492BDAB-A6B2-4826-B0B6-E42A10370EEC}"/>
    <cellStyle name="Normal 4 9 2 3 2" xfId="4596" xr:uid="{BB8DFB24-8D13-4E68-92A1-481B29DC16E7}"/>
    <cellStyle name="Normal 4 9 2 4" xfId="4127" xr:uid="{30F0B4EF-592F-493C-80B7-AA7CF32D1963}"/>
    <cellStyle name="Normal 4 9 3" xfId="3497" xr:uid="{7AF635FA-A1A1-48C3-B6EE-0201F5320E85}"/>
    <cellStyle name="Normal 4 9 3 2" xfId="4221" xr:uid="{74179C60-3B52-4B97-8402-40917833279E}"/>
    <cellStyle name="Normal 4 9 4" xfId="3753" xr:uid="{FF94E5C1-1B19-416E-9342-CDBCF34E005F}"/>
    <cellStyle name="Normal 4 9 4 2" xfId="4461" xr:uid="{7B701AA1-41E9-4CC2-8936-41BE007BD858}"/>
    <cellStyle name="Normal 4 9 5" xfId="3992" xr:uid="{7C94A30F-269B-43E4-BBA9-E835F425CF32}"/>
    <cellStyle name="Normal 5" xfId="17" xr:uid="{00000000-0005-0000-0000-000009000000}"/>
    <cellStyle name="Normal 5 10" xfId="3749" xr:uid="{F26CE7F9-D37D-4F04-A6DD-6EADBEC4A41E}"/>
    <cellStyle name="Normal 5 10 2" xfId="4457" xr:uid="{9561DE75-DD9D-40B0-AB93-3623D5F32E7F}"/>
    <cellStyle name="Normal 5 11" xfId="3982" xr:uid="{7D3972A6-9E82-4B59-B187-4476ED1DA654}"/>
    <cellStyle name="Normal 5 2" xfId="19" xr:uid="{00000000-0005-0000-0000-00000A000000}"/>
    <cellStyle name="Normal 5 2 2" xfId="2266" xr:uid="{EFC71671-2AB0-4883-AE8E-AEDE1E1A44DA}"/>
    <cellStyle name="Normal 5 2 3" xfId="3984" xr:uid="{28C0C705-C614-46C9-9B45-54AF2165849B}"/>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440" xr:uid="{3018A47D-8450-43B0-B751-1C87A5EC30D0}"/>
    <cellStyle name="Normal 5 4 2 3" xfId="3972" xr:uid="{66FD8F97-4C0A-4B75-8B6D-F8FCB8629B54}"/>
    <cellStyle name="Normal 5 4 2 3 2" xfId="4680" xr:uid="{6C8C7544-417D-4B4F-8F9A-ADC5D7B1F442}"/>
    <cellStyle name="Normal 5 4 2 4" xfId="4211" xr:uid="{3ED32CA3-3589-4A2A-8818-0A20CA140BEB}"/>
    <cellStyle name="Normal 5 4 3" xfId="3498" xr:uid="{2D4D7C69-4DE4-4FC8-A914-E421AFAB2860}"/>
    <cellStyle name="Normal 5 4 3 2" xfId="4222" xr:uid="{58645D99-CDC2-430E-8AF3-6960D0DBB6DC}"/>
    <cellStyle name="Normal 5 4 4" xfId="3754" xr:uid="{0B4BFF1C-3241-4C76-A1C1-2163A06578A5}"/>
    <cellStyle name="Normal 5 4 4 2" xfId="4462" xr:uid="{0716B8B2-09EF-4F18-8621-02BEBCCAD71E}"/>
    <cellStyle name="Normal 5 4 5" xfId="3993" xr:uid="{381743AA-5C9E-452E-9FFE-B20AC42FAE72}"/>
    <cellStyle name="Normal 5 5" xfId="2874" xr:uid="{9CDE6A7D-AF32-4552-B970-EE61A24273A0}"/>
    <cellStyle name="Normal 5 5 2" xfId="3543" xr:uid="{B74F021B-0F43-46BC-A2D3-0716E4A3AF8C}"/>
    <cellStyle name="Normal 5 5 2 2" xfId="4267" xr:uid="{8AACFDF8-53ED-4577-BEAB-B367688C274C}"/>
    <cellStyle name="Normal 5 5 3" xfId="3799" xr:uid="{B5324314-FB3D-4110-B1C0-AE9A01FD44A8}"/>
    <cellStyle name="Normal 5 5 3 2" xfId="4507" xr:uid="{B6CFE8EB-9749-4632-9D8E-21AAC237BF51}"/>
    <cellStyle name="Normal 5 5 4" xfId="4038" xr:uid="{E691452D-E375-4987-926B-83D1E163B4BE}"/>
    <cellStyle name="Normal 5 6" xfId="2919" xr:uid="{B16276D1-98A2-4189-986F-7A9FF9B2E12B}"/>
    <cellStyle name="Normal 5 6 2" xfId="3588" xr:uid="{DA980C1F-D20E-4C94-9DA4-E0EC327351BC}"/>
    <cellStyle name="Normal 5 6 2 2" xfId="4312" xr:uid="{9CF72DEE-D241-4D49-A7C8-503D4247181D}"/>
    <cellStyle name="Normal 5 6 3" xfId="3844" xr:uid="{7C876E54-5B5B-41C6-BC30-6E90DCB5FFCA}"/>
    <cellStyle name="Normal 5 6 3 2" xfId="4552" xr:uid="{386B4BB4-A864-4298-B38D-0FB4E8EC066B}"/>
    <cellStyle name="Normal 5 6 4" xfId="4083" xr:uid="{0A4DF5AF-DC1E-4458-8C47-0A65CFAE8FFB}"/>
    <cellStyle name="Normal 5 7" xfId="3493" xr:uid="{41B135DA-8464-47C0-9614-72B8A4AC8E21}"/>
    <cellStyle name="Normal 5 7 2" xfId="4217" xr:uid="{9C006997-8269-4CDA-BC10-1265EE9227A2}"/>
    <cellStyle name="Normal 5 8" xfId="3735" xr:uid="{545EF79B-AA68-4B74-B065-CE6B63D2B457}"/>
    <cellStyle name="Normal 5 8 2" xfId="4443" xr:uid="{D2958C84-2F0E-4363-AB7E-B15644EED221}"/>
    <cellStyle name="Normal 5 9" xfId="23" xr:uid="{DAEDE8B2-8047-4188-9525-6B3EF0C60E03}"/>
    <cellStyle name="Normal 5 9 2" xfId="3988" xr:uid="{FE5ABE35-8240-4E6C-925E-442CAB68290A}"/>
    <cellStyle name="Normal 6" xfId="2544" xr:uid="{314036B0-785A-4AFB-953C-3B272D73EC81}"/>
    <cellStyle name="Normal 6 2" xfId="2267" xr:uid="{A0D4D034-8A18-4339-BC30-62331279CE35}"/>
    <cellStyle name="Normal 6 3" xfId="3975" xr:uid="{6E55E937-7451-4672-8321-1FF4F791A7D6}"/>
    <cellStyle name="Normal 6 3 2" xfId="4683" xr:uid="{51B1902E-952D-4AE1-81EA-DFC2778E2DBC}"/>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391" xr:uid="{6F374514-6E72-4EC3-8C19-2EA3CAEDEFED}"/>
    <cellStyle name="Normal 7 3 2 3" xfId="3923" xr:uid="{6A329238-926F-4558-B85A-476432D695F6}"/>
    <cellStyle name="Normal 7 3 2 3 2" xfId="4631" xr:uid="{5B949125-433E-4EFB-8702-45413C8436B4}"/>
    <cellStyle name="Normal 7 3 2 4" xfId="4162" xr:uid="{57D4FB74-0557-4147-A7C7-1D2FD0328445}"/>
    <cellStyle name="Normal 7 3 3" xfId="3582" xr:uid="{7D2264C0-F1A9-4DCA-A32A-EB499D494EBF}"/>
    <cellStyle name="Normal 7 3 3 2" xfId="4306" xr:uid="{C9214A05-72D3-4668-8FB4-A6726D43CAB2}"/>
    <cellStyle name="Normal 7 3 4" xfId="3838" xr:uid="{669CB12D-4B17-462F-B467-97F9980A113B}"/>
    <cellStyle name="Normal 7 3 4 2" xfId="4546" xr:uid="{4B037A15-B996-41D3-B89C-58C03899B1E2}"/>
    <cellStyle name="Normal 7 3 5" xfId="4077" xr:uid="{F5E55C5A-D551-4807-B709-73FED530A5FC}"/>
    <cellStyle name="Normal 7 4" xfId="3458" xr:uid="{1092CC19-2F99-4393-B784-EFC2A6AEB43C}"/>
    <cellStyle name="Normal 7 4 2" xfId="3723" xr:uid="{0D55B3BF-BBD0-4E9D-86FD-488182A6561F}"/>
    <cellStyle name="Normal 7 4 2 2" xfId="4431" xr:uid="{51E31417-C8A0-478A-92EF-0DAAF3458E3C}"/>
    <cellStyle name="Normal 7 4 3" xfId="3963" xr:uid="{BDD1A027-7C8D-43D7-9CA8-DF95132FE7DF}"/>
    <cellStyle name="Normal 7 4 3 2" xfId="4671" xr:uid="{ABC561EC-F8D3-452C-A3FC-4954D0DE4B8F}"/>
    <cellStyle name="Normal 7 4 4" xfId="4202" xr:uid="{9D643108-6277-463C-BD22-44BCE01E3DE5}"/>
    <cellStyle name="Normal 7 5" xfId="2958" xr:uid="{99099E35-371D-44EE-A4D8-19D973BD4E12}"/>
    <cellStyle name="Normal 7 5 2" xfId="3627" xr:uid="{6A79BA35-1D50-41F6-B98D-FCBCCD565DF3}"/>
    <cellStyle name="Normal 7 5 2 2" xfId="4351" xr:uid="{D3276A44-2642-4087-9DF1-53341271AB02}"/>
    <cellStyle name="Normal 7 5 3" xfId="3883" xr:uid="{62A4A7FC-24F6-427F-9579-9BC1E8FABD74}"/>
    <cellStyle name="Normal 7 5 3 2" xfId="4591" xr:uid="{88D0039C-D2AC-40BE-A967-8FA42D7FA794}"/>
    <cellStyle name="Normal 7 5 4" xfId="4122" xr:uid="{7B16968F-C430-49A7-8539-53ABD4745ED2}"/>
    <cellStyle name="Normal 7 6" xfId="3537" xr:uid="{0B2E2D67-91A9-4261-A82B-2178984B9A39}"/>
    <cellStyle name="Normal 7 6 2" xfId="4261" xr:uid="{30007517-F89C-47AC-917B-3A36795C25E9}"/>
    <cellStyle name="Normal 7 7" xfId="3793" xr:uid="{101B2E3F-D3DF-4790-9418-FF60F151E0AC}"/>
    <cellStyle name="Normal 7 7 2" xfId="4501" xr:uid="{BE26FB73-6354-4B6D-9A65-4ABC4F72110A}"/>
    <cellStyle name="Normal 7 8" xfId="4032" xr:uid="{74596A84-B7E5-40CC-9D99-9B36F663FA3D}"/>
    <cellStyle name="Normal 8" xfId="3479" xr:uid="{F65E7F24-28BF-47D4-B373-5F9607D80DE1}"/>
    <cellStyle name="Normal 8 2" xfId="2269" xr:uid="{B3E2D75E-C975-46FE-B6CD-080EE9FE5F8B}"/>
    <cellStyle name="Normal 8 3" xfId="3726" xr:uid="{D5BC5667-1DB1-4948-AF65-C6F8BB8B7555}"/>
    <cellStyle name="Normal 8 3 2" xfId="4434" xr:uid="{5358AF6A-4566-4A81-B3A4-8B8DFD9161D4}"/>
    <cellStyle name="Normal 8 4" xfId="3966" xr:uid="{4E8A6D8D-B925-4378-ADDE-A052EE5626F6}"/>
    <cellStyle name="Normal 8 4 2" xfId="4674" xr:uid="{CAE7F1E3-9928-45EA-825A-0837965DD74B}"/>
    <cellStyle name="Normal 8 5" xfId="4205" xr:uid="{6C0DF35F-3289-4BDC-9CB7-49B81EA842C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Percent 2" xfId="3745" xr:uid="{662A1421-2DB2-4CC5-AE14-D7D95E99E16C}"/>
    <cellStyle name="Percent 2 2" xfId="4453" xr:uid="{3D4ED8C1-DD13-4FDB-9ECC-629A31DA4BF8}"/>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4</xdr:row>
          <xdr:rowOff>66675</xdr:rowOff>
        </xdr:from>
        <xdr:to>
          <xdr:col>1</xdr:col>
          <xdr:colOff>885825</xdr:colOff>
          <xdr:row>8</xdr:row>
          <xdr:rowOff>104775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4</xdr:row>
          <xdr:rowOff>57150</xdr:rowOff>
        </xdr:from>
        <xdr:to>
          <xdr:col>1</xdr:col>
          <xdr:colOff>2105025</xdr:colOff>
          <xdr:row>8</xdr:row>
          <xdr:rowOff>95250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0">
        <f>+'AFR20'!E4</f>
        <v>44119</v>
      </c>
      <c r="C1" s="2140"/>
      <c r="D1" s="2141"/>
      <c r="I1" s="2099" t="s">
        <v>402</v>
      </c>
      <c r="J1" s="2100"/>
      <c r="K1" s="2100"/>
      <c r="L1" s="2100"/>
      <c r="M1" s="2100"/>
      <c r="N1" s="2100"/>
      <c r="O1" s="2100"/>
      <c r="P1" s="2100"/>
      <c r="Q1" s="2100"/>
      <c r="R1" s="2100"/>
      <c r="S1" s="2100"/>
    </row>
    <row r="2" spans="1:32" ht="12" customHeight="1" x14ac:dyDescent="0.2">
      <c r="A2" s="1820" t="str">
        <f>"Due to ISBE on "</f>
        <v xml:space="preserve">Due to ISBE on </v>
      </c>
      <c r="B2" s="2142">
        <f>+'AFR20'!F4</f>
        <v>44151</v>
      </c>
      <c r="C2" s="2142"/>
      <c r="D2" s="2143"/>
      <c r="I2" s="2101" t="s">
        <v>2000</v>
      </c>
      <c r="J2" s="2100"/>
      <c r="K2" s="2100"/>
      <c r="L2" s="2100"/>
      <c r="M2" s="2100"/>
      <c r="N2" s="2100"/>
      <c r="O2" s="2100"/>
      <c r="P2" s="2100"/>
      <c r="Q2" s="2100"/>
      <c r="R2" s="2100"/>
      <c r="S2" s="2100"/>
    </row>
    <row r="3" spans="1:32" ht="12" customHeight="1" x14ac:dyDescent="0.2">
      <c r="A3" s="1823" t="str">
        <f>"SD/JA"&amp;MID('AFR20'!E2,3,2)</f>
        <v>SD/JA20</v>
      </c>
      <c r="B3" s="151"/>
      <c r="C3" s="151"/>
      <c r="D3" s="152"/>
      <c r="I3" s="2101" t="s">
        <v>52</v>
      </c>
      <c r="J3" s="2100"/>
      <c r="K3" s="2100"/>
      <c r="L3" s="2100"/>
      <c r="M3" s="2100"/>
      <c r="N3" s="2100"/>
      <c r="O3" s="2100"/>
      <c r="P3" s="2100"/>
      <c r="Q3" s="2100"/>
      <c r="R3" s="2100"/>
      <c r="S3" s="2100"/>
    </row>
    <row r="4" spans="1:32" ht="12" customHeight="1" x14ac:dyDescent="0.2">
      <c r="A4" s="37"/>
      <c r="I4" s="2101" t="s">
        <v>521</v>
      </c>
      <c r="J4" s="2100"/>
      <c r="K4" s="2100"/>
      <c r="L4" s="2100"/>
      <c r="M4" s="2100"/>
      <c r="N4" s="2100"/>
      <c r="O4" s="2100"/>
      <c r="P4" s="2100"/>
      <c r="Q4" s="2100"/>
      <c r="R4" s="2100"/>
      <c r="S4" s="2100"/>
    </row>
    <row r="5" spans="1:32" ht="14.1" customHeight="1" x14ac:dyDescent="0.2">
      <c r="B5" s="101" t="s">
        <v>2015</v>
      </c>
      <c r="C5" s="26" t="s">
        <v>903</v>
      </c>
      <c r="D5" s="81"/>
      <c r="E5" s="81"/>
      <c r="H5" s="38"/>
      <c r="I5" s="2109" t="s">
        <v>675</v>
      </c>
      <c r="J5" s="2108"/>
      <c r="K5" s="2108"/>
      <c r="L5" s="2108"/>
      <c r="M5" s="2108"/>
      <c r="N5" s="2108"/>
      <c r="O5" s="2108"/>
      <c r="P5" s="2108"/>
      <c r="Q5" s="2108"/>
      <c r="R5" s="2108"/>
      <c r="S5" s="2108"/>
      <c r="AF5" s="1816"/>
    </row>
    <row r="6" spans="1:32" ht="14.1" customHeight="1" x14ac:dyDescent="0.2">
      <c r="B6" s="101"/>
      <c r="C6" s="26" t="s">
        <v>904</v>
      </c>
      <c r="D6" s="81"/>
      <c r="E6" s="81"/>
      <c r="I6" s="2107" t="s">
        <v>876</v>
      </c>
      <c r="J6" s="2108"/>
      <c r="K6" s="2108"/>
      <c r="L6" s="2108"/>
      <c r="M6" s="2108"/>
      <c r="N6" s="2108"/>
      <c r="O6" s="2108"/>
      <c r="P6" s="2108"/>
      <c r="Q6" s="2108"/>
      <c r="R6" s="2108"/>
      <c r="S6" s="2108"/>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669</v>
      </c>
      <c r="J9" s="2105"/>
      <c r="K9" s="2105"/>
      <c r="L9" s="2105"/>
      <c r="M9" s="2105"/>
      <c r="N9" s="2105"/>
      <c r="O9" s="2105"/>
      <c r="P9" s="2105"/>
      <c r="Q9" s="2105"/>
      <c r="R9" s="2105"/>
      <c r="S9" s="2106"/>
      <c r="T9" s="2157" t="s">
        <v>530</v>
      </c>
      <c r="U9" s="2158"/>
      <c r="V9" s="2158"/>
      <c r="W9" s="2158"/>
      <c r="X9" s="2158"/>
      <c r="Y9" s="2158"/>
      <c r="Z9" s="2158"/>
      <c r="AA9" s="2159"/>
    </row>
    <row r="10" spans="1:32" ht="13.5" customHeight="1" x14ac:dyDescent="0.2">
      <c r="A10" s="2164" t="s">
        <v>670</v>
      </c>
      <c r="B10" s="2165"/>
      <c r="C10" s="2165"/>
      <c r="D10" s="2165"/>
      <c r="E10" s="2165"/>
      <c r="F10" s="2165"/>
      <c r="G10" s="2165"/>
      <c r="H10" s="2166"/>
      <c r="I10" s="29"/>
      <c r="J10" s="30"/>
      <c r="K10" s="28"/>
      <c r="R10" s="30"/>
      <c r="S10" s="30"/>
      <c r="T10" s="2160"/>
      <c r="U10" s="2108"/>
      <c r="V10" s="2108"/>
      <c r="W10" s="2108"/>
      <c r="X10" s="2108"/>
      <c r="Y10" s="2108"/>
      <c r="Z10" s="2108"/>
      <c r="AA10" s="2114"/>
    </row>
    <row r="11" spans="1:32" ht="14.25" customHeight="1" x14ac:dyDescent="0.2">
      <c r="A11" s="2167" t="s">
        <v>948</v>
      </c>
      <c r="B11" s="2168"/>
      <c r="C11" s="2168"/>
      <c r="D11" s="2168"/>
      <c r="E11" s="2168"/>
      <c r="F11" s="2168"/>
      <c r="G11" s="2168"/>
      <c r="H11" s="2169"/>
      <c r="I11" s="27"/>
      <c r="J11" s="71"/>
      <c r="K11" s="27"/>
      <c r="O11" s="144" t="s">
        <v>2015</v>
      </c>
      <c r="P11" s="97" t="s">
        <v>199</v>
      </c>
      <c r="Q11" s="30"/>
      <c r="R11" s="28"/>
      <c r="S11" s="27"/>
      <c r="T11" s="2161"/>
      <c r="U11" s="2162"/>
      <c r="V11" s="2162"/>
      <c r="W11" s="2162"/>
      <c r="X11" s="2162"/>
      <c r="Y11" s="2162"/>
      <c r="Z11" s="2162"/>
      <c r="AA11" s="2163"/>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0">
        <v>44063154016</v>
      </c>
      <c r="B13" s="2121"/>
      <c r="C13" s="2121"/>
      <c r="D13" s="2121"/>
      <c r="E13" s="2121"/>
      <c r="F13" s="2121"/>
      <c r="G13" s="2121"/>
      <c r="H13" s="2122"/>
      <c r="I13" s="31"/>
      <c r="J13" s="30"/>
      <c r="K13" s="28"/>
      <c r="L13" s="30"/>
      <c r="M13" s="30"/>
      <c r="N13" s="30"/>
      <c r="O13" s="30"/>
      <c r="P13" s="30"/>
      <c r="Q13" s="30"/>
      <c r="R13" s="30"/>
      <c r="S13" s="30"/>
      <c r="T13" s="2126" t="s">
        <v>2021</v>
      </c>
      <c r="U13" s="2127"/>
      <c r="V13" s="2127"/>
      <c r="W13" s="2127"/>
      <c r="X13" s="2127"/>
      <c r="Y13" s="2128"/>
      <c r="Z13" s="2128"/>
      <c r="AA13" s="212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3" t="s">
        <v>2016</v>
      </c>
      <c r="B15" s="2124"/>
      <c r="C15" s="2124"/>
      <c r="D15" s="2124"/>
      <c r="E15" s="2124"/>
      <c r="F15" s="2124"/>
      <c r="G15" s="2124"/>
      <c r="H15" s="2125"/>
      <c r="T15" s="2130" t="s">
        <v>2022</v>
      </c>
      <c r="U15" s="2087"/>
      <c r="V15" s="2087"/>
      <c r="W15" s="2087"/>
      <c r="X15" s="2087"/>
      <c r="Y15" s="2131"/>
      <c r="Z15" s="2131"/>
      <c r="AA15" s="213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3" t="s">
        <v>2102</v>
      </c>
      <c r="B17" s="2094"/>
      <c r="C17" s="2094"/>
      <c r="D17" s="2094"/>
      <c r="E17" s="2094"/>
      <c r="F17" s="2094"/>
      <c r="G17" s="2094"/>
      <c r="H17" s="2119"/>
      <c r="T17" s="2137" t="s">
        <v>2023</v>
      </c>
      <c r="U17" s="2138"/>
      <c r="V17" s="2138"/>
      <c r="W17" s="2138"/>
      <c r="X17" s="2138"/>
      <c r="Y17" s="2138"/>
      <c r="Z17" s="2138"/>
      <c r="AA17" s="2139"/>
    </row>
    <row r="18" spans="1:27" ht="13.5" customHeight="1" x14ac:dyDescent="0.2">
      <c r="A18" s="82" t="s">
        <v>527</v>
      </c>
      <c r="B18" s="73"/>
      <c r="C18" s="69"/>
      <c r="D18" s="73"/>
      <c r="E18" s="73"/>
      <c r="F18" s="73"/>
      <c r="G18" s="73"/>
      <c r="H18" s="53"/>
      <c r="I18" s="2118" t="s">
        <v>671</v>
      </c>
      <c r="J18" s="2069"/>
      <c r="K18" s="2069"/>
      <c r="L18" s="2069"/>
      <c r="M18" s="2069"/>
      <c r="N18" s="2069"/>
      <c r="O18" s="2069"/>
      <c r="P18" s="2069"/>
      <c r="Q18" s="2069"/>
      <c r="R18" s="2069"/>
      <c r="S18" s="2070"/>
      <c r="T18" s="82" t="s">
        <v>705</v>
      </c>
      <c r="U18" s="48"/>
      <c r="V18" s="69"/>
      <c r="W18" s="47"/>
      <c r="X18" s="82" t="s">
        <v>264</v>
      </c>
      <c r="Y18" s="78"/>
      <c r="Z18" s="154" t="s">
        <v>672</v>
      </c>
      <c r="AA18" s="44"/>
    </row>
    <row r="19" spans="1:27" ht="13.5" customHeight="1" x14ac:dyDescent="0.2">
      <c r="A19" s="2123" t="s">
        <v>2017</v>
      </c>
      <c r="B19" s="2079"/>
      <c r="C19" s="2079"/>
      <c r="D19" s="2079"/>
      <c r="E19" s="2079"/>
      <c r="F19" s="2079"/>
      <c r="G19" s="2079"/>
      <c r="H19" s="2059"/>
      <c r="I19" s="30"/>
      <c r="J19" s="96"/>
      <c r="K19" s="40"/>
      <c r="L19" s="38"/>
      <c r="M19" s="109" t="s">
        <v>312</v>
      </c>
      <c r="P19" s="27"/>
      <c r="Q19" s="27"/>
      <c r="R19" s="27"/>
      <c r="S19" s="31"/>
      <c r="T19" s="2123" t="s">
        <v>2016</v>
      </c>
      <c r="U19" s="2058"/>
      <c r="V19" s="2058"/>
      <c r="W19" s="2059"/>
      <c r="X19" s="2135" t="s">
        <v>2024</v>
      </c>
      <c r="Y19" s="2136"/>
      <c r="Z19" s="2133">
        <v>60050</v>
      </c>
      <c r="AA19" s="2134"/>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57" t="s">
        <v>2018</v>
      </c>
      <c r="B21" s="2058"/>
      <c r="C21" s="2058"/>
      <c r="D21" s="2058"/>
      <c r="E21" s="2058"/>
      <c r="F21" s="2058"/>
      <c r="G21" s="2058"/>
      <c r="H21" s="2059"/>
      <c r="I21" s="2113" t="s">
        <v>673</v>
      </c>
      <c r="J21" s="2108"/>
      <c r="K21" s="2108"/>
      <c r="L21" s="2108"/>
      <c r="M21" s="2108"/>
      <c r="N21" s="2108"/>
      <c r="O21" s="2108"/>
      <c r="P21" s="2108"/>
      <c r="Q21" s="2108"/>
      <c r="R21" s="2108"/>
      <c r="S21" s="2114"/>
      <c r="T21" s="2148" t="s">
        <v>2025</v>
      </c>
      <c r="U21" s="2149"/>
      <c r="V21" s="2149"/>
      <c r="W21" s="2149"/>
      <c r="X21" s="2154" t="s">
        <v>2099</v>
      </c>
      <c r="Y21" s="2155"/>
      <c r="Z21" s="2155"/>
      <c r="AA21" s="2156"/>
    </row>
    <row r="22" spans="1:27" ht="13.5" customHeight="1" x14ac:dyDescent="0.2">
      <c r="A22" s="84" t="s">
        <v>528</v>
      </c>
      <c r="B22" s="56"/>
      <c r="C22" s="56"/>
      <c r="D22" s="56"/>
      <c r="E22" s="56"/>
      <c r="F22" s="56"/>
      <c r="G22" s="56"/>
      <c r="H22" s="57"/>
      <c r="I22" s="2115" t="s">
        <v>1409</v>
      </c>
      <c r="J22" s="2116"/>
      <c r="K22" s="2116"/>
      <c r="L22" s="2116"/>
      <c r="M22" s="2116"/>
      <c r="N22" s="2116"/>
      <c r="O22" s="2116"/>
      <c r="P22" s="2116"/>
      <c r="Q22" s="2116"/>
      <c r="R22" s="2116"/>
      <c r="S22" s="2117"/>
      <c r="T22" s="82" t="s">
        <v>1496</v>
      </c>
      <c r="U22" s="48"/>
      <c r="V22" s="69"/>
      <c r="W22" s="48"/>
      <c r="X22" s="155" t="s">
        <v>1306</v>
      </c>
      <c r="Z22" s="43"/>
      <c r="AA22" s="44"/>
    </row>
    <row r="23" spans="1:27" ht="13.5" customHeight="1" x14ac:dyDescent="0.2">
      <c r="A23" s="2110" t="s">
        <v>2019</v>
      </c>
      <c r="B23" s="2111"/>
      <c r="C23" s="2111"/>
      <c r="D23" s="2111"/>
      <c r="E23" s="2111"/>
      <c r="F23" s="2111"/>
      <c r="G23" s="2111"/>
      <c r="H23" s="2112"/>
      <c r="T23" s="2093" t="s">
        <v>2026</v>
      </c>
      <c r="U23" s="2147"/>
      <c r="V23" s="2147"/>
      <c r="W23" s="2147"/>
      <c r="X23" s="2151">
        <v>44530</v>
      </c>
      <c r="Y23" s="2152"/>
      <c r="Z23" s="2152"/>
      <c r="AA23" s="2153"/>
    </row>
    <row r="24" spans="1:27" ht="14.1" customHeight="1" x14ac:dyDescent="0.2">
      <c r="A24" s="85" t="s">
        <v>672</v>
      </c>
      <c r="B24" s="46"/>
      <c r="C24" s="46"/>
      <c r="D24" s="46"/>
      <c r="E24" s="46"/>
      <c r="F24" s="46"/>
      <c r="G24" s="46"/>
      <c r="H24" s="58"/>
      <c r="J24" s="2080">
        <f>IF(B5="x",IF(AUDITCHECK!D29="AFR form Incomplete.","",IF(AUDITCHECK!D29="Deficit reduction plan is required.","School District must complete a deficit reduction plan in the 2020-2021 Budget",)),"")</f>
        <v>0</v>
      </c>
      <c r="K24" s="2080"/>
      <c r="L24" s="2080"/>
      <c r="M24" s="2080"/>
      <c r="N24" s="2080"/>
      <c r="O24" s="2080"/>
      <c r="P24" s="2080"/>
      <c r="Q24" s="2080"/>
      <c r="R24" s="2080"/>
      <c r="S24" s="2081"/>
      <c r="T24" s="102" t="s">
        <v>528</v>
      </c>
      <c r="U24" s="103"/>
      <c r="V24" s="103"/>
      <c r="W24" s="103"/>
      <c r="X24" s="104"/>
      <c r="Y24" s="104"/>
      <c r="Z24" s="104"/>
      <c r="AA24" s="105"/>
    </row>
    <row r="25" spans="1:27" ht="14.1" customHeight="1" x14ac:dyDescent="0.2">
      <c r="A25" s="2057" t="s">
        <v>2020</v>
      </c>
      <c r="B25" s="2058"/>
      <c r="C25" s="2058"/>
      <c r="D25" s="2058"/>
      <c r="E25" s="2058"/>
      <c r="F25" s="2058"/>
      <c r="G25" s="2058"/>
      <c r="H25" s="2059"/>
      <c r="I25" s="110"/>
      <c r="J25" s="2082"/>
      <c r="K25" s="2082"/>
      <c r="L25" s="2082"/>
      <c r="M25" s="2082"/>
      <c r="N25" s="2082"/>
      <c r="O25" s="2082"/>
      <c r="P25" s="2082"/>
      <c r="Q25" s="2082"/>
      <c r="R25" s="2082"/>
      <c r="S25" s="2083"/>
      <c r="T25" s="2144" t="s">
        <v>2027</v>
      </c>
      <c r="U25" s="2145"/>
      <c r="V25" s="2145"/>
      <c r="W25" s="2145"/>
      <c r="X25" s="2145"/>
      <c r="Y25" s="2145"/>
      <c r="Z25" s="2145"/>
      <c r="AA25" s="21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68" t="s">
        <v>1491</v>
      </c>
      <c r="J27" s="2069"/>
      <c r="K27" s="2069"/>
      <c r="L27" s="2069"/>
      <c r="M27" s="2069"/>
      <c r="N27" s="2069"/>
      <c r="O27" s="2069"/>
      <c r="P27" s="2069"/>
      <c r="Q27" s="2069"/>
      <c r="R27" s="2069"/>
      <c r="S27" s="207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2015</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79"/>
      <c r="Q35" s="2058"/>
      <c r="R35" s="205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3"/>
      <c r="B38" s="2094"/>
      <c r="C38" s="2094"/>
      <c r="D38" s="2094"/>
      <c r="E38" s="2094"/>
      <c r="F38" s="2058"/>
      <c r="G38" s="2058"/>
      <c r="H38" s="2059"/>
      <c r="I38" s="2086"/>
      <c r="J38" s="2087"/>
      <c r="K38" s="2087"/>
      <c r="L38" s="2087"/>
      <c r="M38" s="2087"/>
      <c r="N38" s="2087"/>
      <c r="O38" s="2087"/>
      <c r="P38" s="2088"/>
      <c r="Q38" s="2088"/>
      <c r="R38" s="2088"/>
      <c r="S38" s="2089"/>
      <c r="T38" s="2130"/>
      <c r="U38" s="2087"/>
      <c r="V38" s="2087"/>
      <c r="W38" s="2087"/>
      <c r="X38" s="2088"/>
      <c r="Y38" s="2088"/>
      <c r="Z38" s="2088"/>
      <c r="AA38" s="2089"/>
    </row>
    <row r="39" spans="1:27" ht="12" customHeight="1" x14ac:dyDescent="0.2">
      <c r="A39" s="2063" t="s">
        <v>528</v>
      </c>
      <c r="B39" s="2064"/>
      <c r="C39" s="69"/>
      <c r="D39" s="66"/>
      <c r="E39" s="66"/>
      <c r="F39" s="76"/>
      <c r="G39" s="66"/>
      <c r="H39" s="53"/>
      <c r="I39" s="2063" t="s">
        <v>528</v>
      </c>
      <c r="J39" s="2064"/>
      <c r="K39" s="2064"/>
      <c r="L39" s="2064"/>
      <c r="M39" s="2064"/>
      <c r="N39" s="64"/>
      <c r="O39" s="69"/>
      <c r="P39" s="69"/>
      <c r="Q39" s="75"/>
      <c r="R39" s="69"/>
      <c r="S39" s="53"/>
      <c r="T39" s="69" t="s">
        <v>528</v>
      </c>
      <c r="U39" s="48"/>
      <c r="V39" s="69"/>
      <c r="W39" s="47"/>
      <c r="X39" s="75"/>
      <c r="Y39" s="43"/>
      <c r="Z39" s="43"/>
      <c r="AA39" s="44"/>
    </row>
    <row r="40" spans="1:27" ht="13.5" customHeight="1" x14ac:dyDescent="0.2">
      <c r="A40" s="2071"/>
      <c r="B40" s="2072"/>
      <c r="C40" s="2073"/>
      <c r="D40" s="2073"/>
      <c r="E40" s="2073"/>
      <c r="F40" s="2074"/>
      <c r="G40" s="2074"/>
      <c r="H40" s="2075"/>
      <c r="I40" s="2096"/>
      <c r="J40" s="2097"/>
      <c r="K40" s="2097"/>
      <c r="L40" s="2097"/>
      <c r="M40" s="2097"/>
      <c r="N40" s="2097"/>
      <c r="O40" s="2097"/>
      <c r="P40" s="2097"/>
      <c r="Q40" s="2097"/>
      <c r="R40" s="2097"/>
      <c r="S40" s="2098"/>
      <c r="T40" s="2096"/>
      <c r="U40" s="2150"/>
      <c r="V40" s="2097"/>
      <c r="W40" s="2097"/>
      <c r="X40" s="2097"/>
      <c r="Y40" s="2097"/>
      <c r="Z40" s="2097"/>
      <c r="AA40" s="209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5"/>
      <c r="B42" s="2077"/>
      <c r="C42" s="2078"/>
      <c r="D42" s="2076"/>
      <c r="E42" s="2077"/>
      <c r="F42" s="2077"/>
      <c r="G42" s="2077"/>
      <c r="H42" s="2078"/>
      <c r="I42" s="2060"/>
      <c r="J42" s="2061"/>
      <c r="K42" s="2061"/>
      <c r="L42" s="2061"/>
      <c r="M42" s="2061"/>
      <c r="N42" s="2061"/>
      <c r="O42" s="2062"/>
      <c r="P42" s="2095"/>
      <c r="Q42" s="2061"/>
      <c r="R42" s="2061"/>
      <c r="S42" s="2062"/>
      <c r="T42" s="2060"/>
      <c r="U42" s="2061"/>
      <c r="V42" s="2061"/>
      <c r="W42" s="2062"/>
      <c r="X42" s="2095"/>
      <c r="Y42" s="2061"/>
      <c r="Z42" s="2061"/>
      <c r="AA42" s="206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0"/>
      <c r="B44" s="2091"/>
      <c r="C44" s="2091"/>
      <c r="D44" s="2091"/>
      <c r="E44" s="2091"/>
      <c r="F44" s="2091"/>
      <c r="G44" s="2091"/>
      <c r="H44" s="2092"/>
      <c r="I44" s="2065"/>
      <c r="J44" s="2066"/>
      <c r="K44" s="2066"/>
      <c r="L44" s="2066"/>
      <c r="M44" s="2066"/>
      <c r="N44" s="2066"/>
      <c r="O44" s="2066"/>
      <c r="P44" s="2066"/>
      <c r="Q44" s="2066"/>
      <c r="R44" s="2066"/>
      <c r="S44" s="2067"/>
      <c r="T44" s="2065"/>
      <c r="U44" s="2084"/>
      <c r="V44" s="2084"/>
      <c r="W44" s="2084"/>
      <c r="X44" s="2084"/>
      <c r="Y44" s="2084"/>
      <c r="Z44" s="2066"/>
      <c r="AA44" s="2067"/>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IMRy+Tr6v1JHbOb92WzJkYmh4uVwdHLdbLWAqWt4HpsfQrc0fEsQNRqlKvGUpKo4edb5tZkklANYuxNMV+MA6w==" saltValue="IkFClVaVIoeqpuv2RS7iN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9"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308"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309"/>
      <c r="B3" s="1287"/>
      <c r="C3" s="1288"/>
      <c r="D3" s="1289" t="s">
        <v>254</v>
      </c>
      <c r="E3" s="1288"/>
      <c r="F3" s="1289" t="s">
        <v>255</v>
      </c>
    </row>
    <row r="4" spans="1:8" ht="13.7" customHeight="1" x14ac:dyDescent="0.2">
      <c r="A4" s="579" t="s">
        <v>1144</v>
      </c>
      <c r="B4" s="1710">
        <f>'Revenues 9-14'!C5</f>
        <v>6100999</v>
      </c>
      <c r="C4" s="1711">
        <v>3101627.27</v>
      </c>
      <c r="D4" s="1712">
        <f>B4-C4</f>
        <v>2999371.73</v>
      </c>
      <c r="E4" s="1711">
        <v>6530410</v>
      </c>
      <c r="F4" s="1712">
        <f>E4-C4</f>
        <v>3428782.73</v>
      </c>
    </row>
    <row r="5" spans="1:8" ht="13.7" customHeight="1" x14ac:dyDescent="0.2">
      <c r="A5" s="579" t="s">
        <v>864</v>
      </c>
      <c r="B5" s="1713">
        <f>'Revenues 9-14'!D5</f>
        <v>1167290</v>
      </c>
      <c r="C5" s="1654">
        <v>601457.68000000005</v>
      </c>
      <c r="D5" s="1714">
        <f t="shared" ref="D5:D18" si="0">B5-C5</f>
        <v>565832.31999999995</v>
      </c>
      <c r="E5" s="1654">
        <v>1266356</v>
      </c>
      <c r="F5" s="1714">
        <f>E5-C5</f>
        <v>664898.31999999995</v>
      </c>
    </row>
    <row r="6" spans="1:8" ht="13.7" customHeight="1" x14ac:dyDescent="0.2">
      <c r="A6" s="579" t="s">
        <v>408</v>
      </c>
      <c r="B6" s="1713">
        <f>'Revenues 9-14'!E5</f>
        <v>2642903</v>
      </c>
      <c r="C6" s="1654">
        <v>1382108.52</v>
      </c>
      <c r="D6" s="1714">
        <f t="shared" si="0"/>
        <v>1260794.48</v>
      </c>
      <c r="E6" s="1654">
        <v>2910000</v>
      </c>
      <c r="F6" s="1714">
        <f t="shared" ref="F6:F18" si="1">E6-C6</f>
        <v>1527891.48</v>
      </c>
    </row>
    <row r="7" spans="1:8" ht="13.7" customHeight="1" x14ac:dyDescent="0.2">
      <c r="A7" s="579" t="s">
        <v>154</v>
      </c>
      <c r="B7" s="1713">
        <f>'Revenues 9-14'!F5</f>
        <v>72251</v>
      </c>
      <c r="C7" s="1654">
        <v>23588.17</v>
      </c>
      <c r="D7" s="1714">
        <f t="shared" si="0"/>
        <v>48662.83</v>
      </c>
      <c r="E7" s="1654">
        <v>49664</v>
      </c>
      <c r="F7" s="1714">
        <f t="shared" si="1"/>
        <v>26075.83</v>
      </c>
    </row>
    <row r="8" spans="1:8" ht="13.7" customHeight="1" x14ac:dyDescent="0.2">
      <c r="A8" s="579" t="s">
        <v>1168</v>
      </c>
      <c r="B8" s="1713">
        <f>'Revenues 9-14'!G5</f>
        <v>116944</v>
      </c>
      <c r="C8" s="1654">
        <v>59440.24</v>
      </c>
      <c r="D8" s="1714">
        <f t="shared" si="0"/>
        <v>57503.76</v>
      </c>
      <c r="E8" s="1654">
        <v>125150.14</v>
      </c>
      <c r="F8" s="1714">
        <f t="shared" si="1"/>
        <v>65709.899999999994</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0</v>
      </c>
      <c r="C10" s="1654"/>
      <c r="D10" s="1714">
        <f t="shared" si="0"/>
        <v>0</v>
      </c>
      <c r="E10" s="1654"/>
      <c r="F10" s="1714">
        <f t="shared" si="1"/>
        <v>0</v>
      </c>
    </row>
    <row r="11" spans="1:8" x14ac:dyDescent="0.2">
      <c r="A11" s="579" t="s">
        <v>406</v>
      </c>
      <c r="B11" s="1713">
        <f>'Revenues 9-14'!J5</f>
        <v>79259</v>
      </c>
      <c r="C11" s="1654">
        <v>42457.32</v>
      </c>
      <c r="D11" s="1714">
        <f t="shared" si="0"/>
        <v>36801.68</v>
      </c>
      <c r="E11" s="1654">
        <v>89393</v>
      </c>
      <c r="F11" s="1714">
        <f t="shared" si="1"/>
        <v>46935.68</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77311</v>
      </c>
      <c r="C14" s="1654">
        <v>40096.949999999997</v>
      </c>
      <c r="D14" s="1714">
        <f t="shared" si="0"/>
        <v>37214.050000000003</v>
      </c>
      <c r="E14" s="1654">
        <v>84423</v>
      </c>
      <c r="F14" s="1714">
        <f t="shared" si="1"/>
        <v>44326.05</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153741</v>
      </c>
      <c r="C16" s="1654">
        <v>77836.98</v>
      </c>
      <c r="D16" s="1714">
        <f t="shared" si="0"/>
        <v>75904.02</v>
      </c>
      <c r="E16" s="1654">
        <v>163884</v>
      </c>
      <c r="F16" s="1714">
        <f t="shared" si="1"/>
        <v>86047.02</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10410698</v>
      </c>
      <c r="C19" s="1715">
        <f>SUM(C4:C18)</f>
        <v>5328613.1300000018</v>
      </c>
      <c r="D19" s="1715">
        <f>SUM(D4:D18)</f>
        <v>5082084.8699999982</v>
      </c>
      <c r="E19" s="1715">
        <f>SUM(E4:E18)</f>
        <v>11219280.140000001</v>
      </c>
      <c r="F19" s="1715">
        <f>SUM(F4:F18)</f>
        <v>5890667.0099999988</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2" colorId="8" zoomScale="110" zoomScaleNormal="110" workbookViewId="0">
      <selection activeCell="E31" sqref="E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0" t="s">
        <v>625</v>
      </c>
      <c r="B1" s="2328"/>
      <c r="C1" s="585"/>
    </row>
    <row r="2" spans="1:7" ht="33.75" x14ac:dyDescent="0.2">
      <c r="A2" s="2335" t="s">
        <v>1776</v>
      </c>
      <c r="B2" s="2336"/>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37" t="s">
        <v>1103</v>
      </c>
      <c r="B3" s="2338"/>
      <c r="C3" s="2331"/>
      <c r="D3" s="2332"/>
      <c r="E3" s="2332"/>
      <c r="F3" s="2333"/>
    </row>
    <row r="4" spans="1:7" ht="12.75" customHeight="1" thickBot="1" x14ac:dyDescent="0.25">
      <c r="A4" s="2325" t="s">
        <v>626</v>
      </c>
      <c r="B4" s="2326"/>
      <c r="C4" s="1646"/>
      <c r="D4" s="1646"/>
      <c r="E4" s="1646"/>
      <c r="F4" s="1721">
        <f>SUM(C4+D4)-E4</f>
        <v>0</v>
      </c>
    </row>
    <row r="5" spans="1:7" ht="15.75" customHeight="1" thickTop="1" x14ac:dyDescent="0.2">
      <c r="A5" s="2329" t="s">
        <v>1100</v>
      </c>
      <c r="B5" s="2324"/>
      <c r="C5" s="2318"/>
      <c r="D5" s="2319"/>
      <c r="E5" s="2319"/>
      <c r="F5" s="2320"/>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21" t="s">
        <v>627</v>
      </c>
      <c r="B15" s="2322"/>
      <c r="C15" s="1721">
        <f>SUM(C6:C14)</f>
        <v>0</v>
      </c>
      <c r="D15" s="1721">
        <f>SUM(D6:D14)</f>
        <v>0</v>
      </c>
      <c r="E15" s="1721">
        <f>SUM(E6:E14)</f>
        <v>0</v>
      </c>
      <c r="F15" s="1721">
        <f>SUM(F6:F14)</f>
        <v>0</v>
      </c>
      <c r="G15" s="473"/>
    </row>
    <row r="16" spans="1:7" s="197" customFormat="1" ht="15.75" customHeight="1" thickTop="1" x14ac:dyDescent="0.2">
      <c r="A16" s="2334" t="s">
        <v>1101</v>
      </c>
      <c r="B16" s="2324"/>
      <c r="C16" s="2318"/>
      <c r="D16" s="2319"/>
      <c r="E16" s="2319"/>
      <c r="F16" s="2320"/>
    </row>
    <row r="17" spans="1:11" ht="12.75" customHeight="1" thickBot="1" x14ac:dyDescent="0.25">
      <c r="A17" s="2316" t="s">
        <v>64</v>
      </c>
      <c r="B17" s="2317"/>
      <c r="C17" s="1722"/>
      <c r="D17" s="1654"/>
      <c r="E17" s="1722"/>
      <c r="F17" s="1721">
        <f>SUM(C17+D17)-E17</f>
        <v>0</v>
      </c>
    </row>
    <row r="18" spans="1:11" ht="12.75" customHeight="1" thickTop="1" thickBot="1" x14ac:dyDescent="0.25">
      <c r="A18" s="2316" t="s">
        <v>6</v>
      </c>
      <c r="B18" s="2317"/>
      <c r="C18" s="1722"/>
      <c r="D18" s="1654"/>
      <c r="E18" s="1722"/>
      <c r="F18" s="1721">
        <f>SUM(C18+D18)-E18</f>
        <v>0</v>
      </c>
    </row>
    <row r="19" spans="1:11" ht="12.75" customHeight="1" thickTop="1" thickBot="1" x14ac:dyDescent="0.25">
      <c r="A19" s="2316" t="s">
        <v>385</v>
      </c>
      <c r="B19" s="2317"/>
      <c r="C19" s="1722"/>
      <c r="D19" s="1654"/>
      <c r="E19" s="1722"/>
      <c r="F19" s="1721">
        <f>SUM(C19+D19)-E19</f>
        <v>0</v>
      </c>
    </row>
    <row r="20" spans="1:11" ht="12.75" customHeight="1" thickTop="1" thickBot="1" x14ac:dyDescent="0.25">
      <c r="A20" s="2316" t="s">
        <v>445</v>
      </c>
      <c r="B20" s="2317"/>
      <c r="C20" s="1722"/>
      <c r="D20" s="1654"/>
      <c r="E20" s="1722"/>
      <c r="F20" s="1721">
        <f>SUM(C20+D20)-E20</f>
        <v>0</v>
      </c>
    </row>
    <row r="21" spans="1:11" ht="14.25" thickTop="1" thickBot="1" x14ac:dyDescent="0.25">
      <c r="A21" s="2321" t="s">
        <v>628</v>
      </c>
      <c r="B21" s="2322"/>
      <c r="C21" s="1721">
        <f>SUM(C17:C20)</f>
        <v>0</v>
      </c>
      <c r="D21" s="1721">
        <f>SUM(D17:D20)</f>
        <v>0</v>
      </c>
      <c r="E21" s="1721">
        <f>SUM(E17:E20)</f>
        <v>0</v>
      </c>
      <c r="F21" s="1721">
        <f>SUM(F17:F20)</f>
        <v>0</v>
      </c>
      <c r="G21" s="473"/>
    </row>
    <row r="22" spans="1:11" ht="15.75" customHeight="1" thickTop="1" x14ac:dyDescent="0.2">
      <c r="A22" s="2323" t="s">
        <v>1102</v>
      </c>
      <c r="B22" s="2324"/>
      <c r="C22" s="2318"/>
      <c r="D22" s="2319"/>
      <c r="E22" s="2319"/>
      <c r="F22" s="2320"/>
    </row>
    <row r="23" spans="1:11" ht="13.5" thickBot="1" x14ac:dyDescent="0.25">
      <c r="A23" s="2325" t="s">
        <v>629</v>
      </c>
      <c r="B23" s="2326"/>
      <c r="C23" s="1646"/>
      <c r="D23" s="1646"/>
      <c r="E23" s="1646"/>
      <c r="F23" s="1721">
        <f>SUM(C23+D23)-E23</f>
        <v>0</v>
      </c>
      <c r="G23" s="473"/>
    </row>
    <row r="24" spans="1:11" ht="15.75" customHeight="1" thickTop="1" x14ac:dyDescent="0.2">
      <c r="A24" s="2323" t="s">
        <v>2003</v>
      </c>
      <c r="B24" s="2324"/>
      <c r="C24" s="2318"/>
      <c r="D24" s="2319"/>
      <c r="E24" s="2319"/>
      <c r="F24" s="2320"/>
    </row>
    <row r="25" spans="1:11" ht="13.5" thickBot="1" x14ac:dyDescent="0.25">
      <c r="A25" s="2325" t="s">
        <v>2004</v>
      </c>
      <c r="B25" s="2326"/>
      <c r="C25" s="1646"/>
      <c r="D25" s="1646"/>
      <c r="E25" s="1646"/>
      <c r="F25" s="1721">
        <f>SUM(C25+D25)-E25</f>
        <v>0</v>
      </c>
      <c r="G25" s="473"/>
    </row>
    <row r="26" spans="1:11" ht="15.75" customHeight="1" thickTop="1" x14ac:dyDescent="0.2">
      <c r="A26" s="2329" t="s">
        <v>652</v>
      </c>
      <c r="B26" s="2324"/>
      <c r="C26" s="589"/>
      <c r="D26" s="589"/>
      <c r="E26" s="589"/>
      <c r="F26" s="590"/>
    </row>
    <row r="27" spans="1:11" ht="13.5" thickBot="1" x14ac:dyDescent="0.25">
      <c r="A27" s="2321" t="s">
        <v>1060</v>
      </c>
      <c r="B27" s="2322"/>
      <c r="C27" s="1654"/>
      <c r="D27" s="1654"/>
      <c r="E27" s="1654"/>
      <c r="F27" s="1721">
        <f>SUM(C27+D27)-E27</f>
        <v>0</v>
      </c>
      <c r="G27" s="473"/>
    </row>
    <row r="28" spans="1:11" ht="7.5" customHeight="1" thickTop="1" x14ac:dyDescent="0.2">
      <c r="A28" s="489"/>
    </row>
    <row r="29" spans="1:11" ht="23.25" customHeight="1" x14ac:dyDescent="0.2">
      <c r="A29" s="2327" t="s">
        <v>578</v>
      </c>
      <c r="B29" s="2328"/>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2035</v>
      </c>
      <c r="B31" s="595">
        <v>37147</v>
      </c>
      <c r="C31" s="1723">
        <v>15441479</v>
      </c>
      <c r="D31" s="1724">
        <v>6</v>
      </c>
      <c r="E31" s="1723">
        <v>1087295</v>
      </c>
      <c r="F31" s="1723"/>
      <c r="G31" s="1723"/>
      <c r="H31" s="1723">
        <v>555110</v>
      </c>
      <c r="I31" s="1725">
        <f>((E31+F31)-H31)+G31</f>
        <v>532185</v>
      </c>
      <c r="J31" s="1723">
        <v>-856884</v>
      </c>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15441479</v>
      </c>
      <c r="D49" s="1731"/>
      <c r="E49" s="1725">
        <f t="shared" ref="E49:J49" si="2">SUM(E31:E48)</f>
        <v>1087295</v>
      </c>
      <c r="F49" s="1725">
        <f t="shared" si="2"/>
        <v>0</v>
      </c>
      <c r="G49" s="1725">
        <f t="shared" si="2"/>
        <v>0</v>
      </c>
      <c r="H49" s="1725">
        <f t="shared" si="2"/>
        <v>555110</v>
      </c>
      <c r="I49" s="1725">
        <f t="shared" si="2"/>
        <v>532185</v>
      </c>
      <c r="J49" s="1725">
        <f t="shared" si="2"/>
        <v>-856884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10" t="s">
        <v>580</v>
      </c>
      <c r="C52" s="2311"/>
      <c r="D52" s="2311"/>
      <c r="E52" s="603" t="s">
        <v>839</v>
      </c>
      <c r="F52" s="2312"/>
      <c r="G52" s="2313"/>
      <c r="H52" s="596"/>
      <c r="I52" s="596"/>
      <c r="J52" s="600"/>
    </row>
    <row r="53" spans="1:11" ht="11.25" customHeight="1" x14ac:dyDescent="0.2">
      <c r="A53" s="604" t="s">
        <v>906</v>
      </c>
      <c r="B53" s="605" t="s">
        <v>944</v>
      </c>
      <c r="C53" s="600"/>
      <c r="D53" s="597"/>
      <c r="E53" s="603" t="s">
        <v>494</v>
      </c>
      <c r="F53" s="2314"/>
      <c r="G53" s="2315"/>
      <c r="H53" s="596"/>
      <c r="I53" s="596"/>
      <c r="J53" s="600"/>
    </row>
    <row r="54" spans="1:11" ht="11.25" customHeight="1" x14ac:dyDescent="0.2">
      <c r="A54" s="606" t="s">
        <v>907</v>
      </c>
      <c r="B54" s="601" t="s">
        <v>945</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9" t="s">
        <v>850</v>
      </c>
      <c r="B1" s="2340"/>
      <c r="C1" s="2340"/>
      <c r="D1" s="2340"/>
      <c r="E1" s="2340"/>
      <c r="F1" s="2340"/>
      <c r="G1" s="2341"/>
      <c r="H1" s="1291"/>
      <c r="I1" s="614"/>
      <c r="J1" s="400"/>
    </row>
    <row r="2" spans="1:11" ht="26.25" x14ac:dyDescent="0.2">
      <c r="A2" s="2358" t="s">
        <v>1655</v>
      </c>
      <c r="B2" s="2359"/>
      <c r="C2" s="2359"/>
      <c r="D2" s="2359"/>
      <c r="E2" s="2360"/>
      <c r="F2" s="615" t="s">
        <v>897</v>
      </c>
      <c r="G2" s="616" t="s">
        <v>1652</v>
      </c>
      <c r="H2" s="616" t="s">
        <v>407</v>
      </c>
      <c r="I2" s="616" t="s">
        <v>1147</v>
      </c>
      <c r="J2" s="616" t="s">
        <v>1786</v>
      </c>
      <c r="K2" s="616" t="s">
        <v>137</v>
      </c>
    </row>
    <row r="3" spans="1:11" x14ac:dyDescent="0.2">
      <c r="A3" s="2361" t="str">
        <f>"Cash Basis Fund Balance as of July 1, "&amp;'AFR20'!E2-1</f>
        <v>Cash Basis Fund Balance as of July 1, 2019</v>
      </c>
      <c r="B3" s="2362"/>
      <c r="C3" s="2362"/>
      <c r="D3" s="2362"/>
      <c r="E3" s="2363"/>
      <c r="F3" s="617"/>
      <c r="G3" s="1733"/>
      <c r="H3" s="1733"/>
      <c r="I3" s="1733"/>
      <c r="J3" s="1734"/>
      <c r="K3" s="1734"/>
    </row>
    <row r="4" spans="1:11" x14ac:dyDescent="0.2">
      <c r="A4" s="2364" t="s">
        <v>366</v>
      </c>
      <c r="B4" s="2365"/>
      <c r="C4" s="2365"/>
      <c r="D4" s="2365"/>
      <c r="E4" s="2311"/>
      <c r="F4" s="620"/>
      <c r="G4" s="1735"/>
      <c r="H4" s="1736"/>
      <c r="I4" s="1735"/>
      <c r="J4" s="1737"/>
      <c r="K4" s="1737"/>
    </row>
    <row r="5" spans="1:11" x14ac:dyDescent="0.2">
      <c r="A5" s="2342" t="s">
        <v>1059</v>
      </c>
      <c r="B5" s="2343"/>
      <c r="C5" s="2343"/>
      <c r="D5" s="2343"/>
      <c r="E5" s="2344"/>
      <c r="F5" s="622" t="s">
        <v>842</v>
      </c>
      <c r="G5" s="1738"/>
      <c r="H5" s="1733">
        <f>'Revenues 9-14'!C7</f>
        <v>77311</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7937</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18173</v>
      </c>
    </row>
    <row r="10" spans="1:11" x14ac:dyDescent="0.2">
      <c r="A10" s="2342" t="s">
        <v>1787</v>
      </c>
      <c r="B10" s="2343"/>
      <c r="C10" s="2343"/>
      <c r="D10" s="2343"/>
      <c r="E10" s="2345"/>
      <c r="F10" s="633" t="s">
        <v>856</v>
      </c>
      <c r="G10" s="1742"/>
      <c r="H10" s="1743"/>
      <c r="I10" s="1733"/>
      <c r="J10" s="1734"/>
      <c r="K10" s="1734"/>
    </row>
    <row r="11" spans="1:11" x14ac:dyDescent="0.2">
      <c r="A11" s="2342" t="s">
        <v>159</v>
      </c>
      <c r="B11" s="2343"/>
      <c r="C11" s="2343"/>
      <c r="D11" s="2343"/>
      <c r="E11" s="2344"/>
      <c r="F11" s="622" t="s">
        <v>846</v>
      </c>
      <c r="G11" s="1738"/>
      <c r="H11" s="1733"/>
      <c r="I11" s="1733"/>
      <c r="J11" s="1734"/>
      <c r="K11" s="1740"/>
    </row>
    <row r="12" spans="1:11" ht="13.5" thickBot="1" x14ac:dyDescent="0.25">
      <c r="A12" s="2369" t="s">
        <v>898</v>
      </c>
      <c r="B12" s="2370"/>
      <c r="C12" s="2370"/>
      <c r="D12" s="2370"/>
      <c r="E12" s="2371"/>
      <c r="F12" s="1426"/>
      <c r="G12" s="1744">
        <f>SUM(G5:G11)</f>
        <v>0</v>
      </c>
      <c r="H12" s="1744">
        <f>SUM(H5:H11)</f>
        <v>77311</v>
      </c>
      <c r="I12" s="1744">
        <f>SUM(I5:I11)</f>
        <v>0</v>
      </c>
      <c r="J12" s="1744">
        <f>SUM(J5:J11)</f>
        <v>0</v>
      </c>
      <c r="K12" s="1744">
        <f>SUM(K5:K11)</f>
        <v>26110</v>
      </c>
    </row>
    <row r="13" spans="1:11" ht="13.5" thickTop="1" x14ac:dyDescent="0.2">
      <c r="A13" s="2366" t="s">
        <v>367</v>
      </c>
      <c r="B13" s="2367"/>
      <c r="C13" s="2367"/>
      <c r="D13" s="2367"/>
      <c r="E13" s="2368"/>
      <c r="F13" s="634"/>
      <c r="G13" s="1745"/>
      <c r="H13" s="1746"/>
      <c r="I13" s="1747"/>
      <c r="J13" s="1747"/>
      <c r="K13" s="1747"/>
    </row>
    <row r="14" spans="1:11" x14ac:dyDescent="0.2">
      <c r="A14" s="2349" t="s">
        <v>453</v>
      </c>
      <c r="B14" s="2349"/>
      <c r="C14" s="2349"/>
      <c r="D14" s="2349"/>
      <c r="E14" s="2350"/>
      <c r="F14" s="635" t="s">
        <v>848</v>
      </c>
      <c r="G14" s="1742"/>
      <c r="H14" s="1733">
        <f>H12</f>
        <v>77311</v>
      </c>
      <c r="I14" s="1738"/>
      <c r="J14" s="1740"/>
      <c r="K14" s="1734">
        <v>26100</v>
      </c>
    </row>
    <row r="15" spans="1:11" x14ac:dyDescent="0.2">
      <c r="A15" s="2343" t="s">
        <v>4</v>
      </c>
      <c r="B15" s="2343"/>
      <c r="C15" s="2343"/>
      <c r="D15" s="2343"/>
      <c r="E15" s="2344"/>
      <c r="F15" s="635" t="s">
        <v>849</v>
      </c>
      <c r="G15" s="1738"/>
      <c r="H15" s="1733"/>
      <c r="I15" s="1733"/>
      <c r="J15" s="1734"/>
      <c r="K15" s="1734"/>
    </row>
    <row r="16" spans="1:11" x14ac:dyDescent="0.2">
      <c r="A16" s="2343" t="s">
        <v>295</v>
      </c>
      <c r="B16" s="2343"/>
      <c r="C16" s="2343"/>
      <c r="D16" s="2343"/>
      <c r="E16" s="2344"/>
      <c r="F16" s="635" t="s">
        <v>916</v>
      </c>
      <c r="G16" s="1739"/>
      <c r="H16" s="1735"/>
      <c r="I16" s="1735"/>
      <c r="J16" s="1737"/>
      <c r="K16" s="1737"/>
    </row>
    <row r="17" spans="1:15" x14ac:dyDescent="0.2">
      <c r="A17" s="2376" t="s">
        <v>928</v>
      </c>
      <c r="B17" s="2376"/>
      <c r="C17" s="2376"/>
      <c r="D17" s="2376"/>
      <c r="E17" s="2377"/>
      <c r="F17" s="636"/>
      <c r="G17" s="1748"/>
      <c r="H17" s="1749"/>
      <c r="I17" s="1749"/>
      <c r="J17" s="1750"/>
      <c r="K17" s="1751"/>
    </row>
    <row r="18" spans="1:15" x14ac:dyDescent="0.2">
      <c r="A18" s="2353" t="s">
        <v>365</v>
      </c>
      <c r="B18" s="2354"/>
      <c r="C18" s="2354"/>
      <c r="D18" s="2354"/>
      <c r="E18" s="2355"/>
      <c r="F18" s="635" t="s">
        <v>925</v>
      </c>
      <c r="G18" s="1742"/>
      <c r="H18" s="1742"/>
      <c r="I18" s="1742"/>
      <c r="J18" s="1734"/>
      <c r="K18" s="1752"/>
    </row>
    <row r="19" spans="1:15" ht="21.75" customHeight="1" x14ac:dyDescent="0.2">
      <c r="A19" s="2351" t="s">
        <v>1783</v>
      </c>
      <c r="B19" s="2351"/>
      <c r="C19" s="2351"/>
      <c r="D19" s="2351"/>
      <c r="E19" s="2352"/>
      <c r="F19" s="635" t="s">
        <v>926</v>
      </c>
      <c r="G19" s="1742"/>
      <c r="H19" s="1742"/>
      <c r="I19" s="1742"/>
      <c r="J19" s="1734"/>
      <c r="K19" s="1752"/>
    </row>
    <row r="20" spans="1:15" x14ac:dyDescent="0.2">
      <c r="A20" s="2353" t="s">
        <v>1788</v>
      </c>
      <c r="B20" s="2354"/>
      <c r="C20" s="2354"/>
      <c r="D20" s="2354"/>
      <c r="E20" s="2355"/>
      <c r="F20" s="635" t="s">
        <v>927</v>
      </c>
      <c r="G20" s="1742"/>
      <c r="H20" s="1742"/>
      <c r="I20" s="1742"/>
      <c r="J20" s="1734"/>
      <c r="K20" s="1752"/>
    </row>
    <row r="21" spans="1:15" ht="13.5" thickBot="1" x14ac:dyDescent="0.25">
      <c r="A21" s="2372" t="s">
        <v>633</v>
      </c>
      <c r="B21" s="2372"/>
      <c r="C21" s="2372"/>
      <c r="D21" s="2372"/>
      <c r="E21" s="2372"/>
      <c r="F21" s="1427"/>
      <c r="G21" s="1749"/>
      <c r="H21" s="1753"/>
      <c r="I21" s="1753"/>
      <c r="J21" s="1754">
        <f>SUM(J18:J20)</f>
        <v>0</v>
      </c>
      <c r="K21" s="1750"/>
    </row>
    <row r="22" spans="1:15" ht="13.5" thickTop="1" x14ac:dyDescent="0.2">
      <c r="A22" s="2343" t="s">
        <v>1789</v>
      </c>
      <c r="B22" s="2343"/>
      <c r="C22" s="2343"/>
      <c r="D22" s="2343"/>
      <c r="E22" s="2344"/>
      <c r="F22" s="635" t="s">
        <v>856</v>
      </c>
      <c r="G22" s="1742"/>
      <c r="H22" s="1733"/>
      <c r="I22" s="1733"/>
      <c r="J22" s="1755"/>
      <c r="K22" s="1734"/>
    </row>
    <row r="23" spans="1:15" ht="13.5" thickBot="1" x14ac:dyDescent="0.25">
      <c r="A23" s="2373" t="s">
        <v>899</v>
      </c>
      <c r="B23" s="2372"/>
      <c r="C23" s="2372"/>
      <c r="D23" s="2372"/>
      <c r="E23" s="2372"/>
      <c r="F23" s="1429"/>
      <c r="G23" s="1744">
        <f>SUM(G14:G16,G21,G22)</f>
        <v>0</v>
      </c>
      <c r="H23" s="1744">
        <f>SUM(H14:H16,H21,H22)</f>
        <v>77311</v>
      </c>
      <c r="I23" s="1744">
        <f>SUM(I14:I16,I21,I22)</f>
        <v>0</v>
      </c>
      <c r="J23" s="1744">
        <f>SUM(J14:J16,J21,J22)</f>
        <v>0</v>
      </c>
      <c r="K23" s="1744">
        <f>SUM(K14:K16,K21,K22)</f>
        <v>26100</v>
      </c>
      <c r="M23" s="1835"/>
      <c r="N23" s="1835"/>
      <c r="O23" s="1835"/>
    </row>
    <row r="24" spans="1:15" ht="14.25" thickTop="1" thickBot="1" x14ac:dyDescent="0.25">
      <c r="A24" s="2374" t="str">
        <f>"Ending Cash Basis Fund Balance as of June 30, "&amp;'AFR20'!E2</f>
        <v>Ending Cash Basis Fund Balance as of June 30, 2020</v>
      </c>
      <c r="B24" s="2375"/>
      <c r="C24" s="2375"/>
      <c r="D24" s="2375"/>
      <c r="E24" s="2375"/>
      <c r="F24" s="1430"/>
      <c r="G24" s="1756">
        <f>SUM(G3,G12)-G23</f>
        <v>0</v>
      </c>
      <c r="H24" s="1756">
        <f>SUM(H3,H12)-H23</f>
        <v>0</v>
      </c>
      <c r="I24" s="1756">
        <f>SUM(I3,I12)-I23</f>
        <v>0</v>
      </c>
      <c r="J24" s="1756">
        <f>SUM(J3,J12)-J23</f>
        <v>0</v>
      </c>
      <c r="K24" s="1756">
        <f>SUM(K3,K12)-K23</f>
        <v>10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10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46"/>
      <c r="I31" s="2347"/>
      <c r="J31" s="2347"/>
      <c r="K31" s="2347"/>
    </row>
    <row r="32" spans="1:15" x14ac:dyDescent="0.2">
      <c r="A32" s="649"/>
      <c r="B32" s="232"/>
      <c r="C32" s="232"/>
      <c r="D32" s="232"/>
      <c r="E32" s="645"/>
      <c r="F32" s="651" t="s">
        <v>537</v>
      </c>
      <c r="G32" s="618"/>
      <c r="H32" s="2348"/>
      <c r="I32" s="2347"/>
      <c r="J32" s="2347"/>
      <c r="K32" s="2347"/>
    </row>
    <row r="33" spans="1:11" ht="1.5" customHeight="1" x14ac:dyDescent="0.2">
      <c r="A33" s="652" t="s">
        <v>1158</v>
      </c>
      <c r="B33" s="341"/>
      <c r="C33" s="341"/>
      <c r="D33" s="341"/>
      <c r="E33" s="341"/>
      <c r="F33" s="341"/>
      <c r="G33" s="653"/>
      <c r="H33" s="2348"/>
      <c r="I33" s="2347"/>
      <c r="J33" s="2347"/>
      <c r="K33" s="2347"/>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3" t="s">
        <v>538</v>
      </c>
      <c r="B41" s="2356"/>
      <c r="C41" s="2356"/>
      <c r="D41" s="2356"/>
      <c r="E41" s="2356"/>
      <c r="F41" s="235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0" t="s">
        <v>1872</v>
      </c>
      <c r="B1" s="2381"/>
      <c r="C1" s="2382"/>
      <c r="D1" s="666"/>
      <c r="E1" s="667"/>
      <c r="F1" s="667"/>
      <c r="G1" s="668"/>
      <c r="H1" s="669"/>
      <c r="I1" s="670"/>
      <c r="J1" s="2378"/>
      <c r="K1" s="2379"/>
      <c r="L1" s="2379"/>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1174836</v>
      </c>
      <c r="D5" s="1759"/>
      <c r="E5" s="1759"/>
      <c r="F5" s="1754">
        <f>(C5+D5)-E5</f>
        <v>1174836</v>
      </c>
      <c r="G5" s="676"/>
      <c r="H5" s="680"/>
      <c r="I5" s="680"/>
      <c r="J5" s="680"/>
      <c r="K5" s="637"/>
      <c r="L5" s="1435">
        <f>F5-K5</f>
        <v>1174836</v>
      </c>
    </row>
    <row r="6" spans="1:14" ht="14.25" thickTop="1" thickBot="1" x14ac:dyDescent="0.25">
      <c r="A6" s="629" t="s">
        <v>1106</v>
      </c>
      <c r="B6" s="679">
        <v>222</v>
      </c>
      <c r="C6" s="1734">
        <v>0</v>
      </c>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31122012</v>
      </c>
      <c r="D8" s="1760"/>
      <c r="E8" s="1760"/>
      <c r="F8" s="1754">
        <f>(C8+D8)-E8</f>
        <v>31122012</v>
      </c>
      <c r="G8" s="681">
        <v>50</v>
      </c>
      <c r="H8" s="619">
        <v>9925875</v>
      </c>
      <c r="I8" s="619">
        <v>646035</v>
      </c>
      <c r="J8" s="619"/>
      <c r="K8" s="1435">
        <f>(H8+I8)-J8</f>
        <v>10571910</v>
      </c>
      <c r="L8" s="1435">
        <f>F8-K8</f>
        <v>20550102</v>
      </c>
    </row>
    <row r="9" spans="1:14" ht="14.25" thickTop="1" thickBot="1" x14ac:dyDescent="0.25">
      <c r="A9" s="629" t="s">
        <v>1108</v>
      </c>
      <c r="B9" s="679">
        <v>232</v>
      </c>
      <c r="C9" s="1734">
        <v>0</v>
      </c>
      <c r="D9" s="1734"/>
      <c r="E9" s="1734"/>
      <c r="F9" s="1754">
        <f>(C9+D9)-E9</f>
        <v>0</v>
      </c>
      <c r="G9" s="681">
        <v>20</v>
      </c>
      <c r="H9" s="619">
        <v>0</v>
      </c>
      <c r="I9" s="619"/>
      <c r="J9" s="619"/>
      <c r="K9" s="1435">
        <f>(H9+I9)-J9</f>
        <v>0</v>
      </c>
      <c r="L9" s="1435">
        <f>F9-K9</f>
        <v>0</v>
      </c>
    </row>
    <row r="10" spans="1:14" ht="24" thickTop="1" thickBot="1" x14ac:dyDescent="0.25">
      <c r="A10" s="682" t="s">
        <v>1109</v>
      </c>
      <c r="B10" s="679">
        <v>240</v>
      </c>
      <c r="C10" s="1761">
        <v>2918346</v>
      </c>
      <c r="D10" s="1761">
        <v>67997</v>
      </c>
      <c r="E10" s="1761"/>
      <c r="F10" s="1762">
        <f>(C10+D10)-E10</f>
        <v>2986343</v>
      </c>
      <c r="G10" s="681">
        <v>20</v>
      </c>
      <c r="H10" s="683">
        <v>2220479</v>
      </c>
      <c r="I10" s="683">
        <v>118509.06</v>
      </c>
      <c r="J10" s="683"/>
      <c r="K10" s="1435">
        <f>(H10+I10)-J10</f>
        <v>2338988.06</v>
      </c>
      <c r="L10" s="1435">
        <f>F10-K10</f>
        <v>647354.93999999994</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2069016</v>
      </c>
      <c r="D12" s="1760">
        <v>51283</v>
      </c>
      <c r="E12" s="1760">
        <v>45251.75</v>
      </c>
      <c r="F12" s="1754">
        <f>(C12+D12)-E12</f>
        <v>2075047.25</v>
      </c>
      <c r="G12" s="681">
        <v>10</v>
      </c>
      <c r="H12" s="619">
        <v>1550067</v>
      </c>
      <c r="I12" s="619">
        <f>75383.92+7527.62+1</f>
        <v>82912.539999999994</v>
      </c>
      <c r="J12" s="619">
        <v>36439</v>
      </c>
      <c r="K12" s="1435">
        <f>(H12+I12)-J12</f>
        <v>1596540.54</v>
      </c>
      <c r="L12" s="1435">
        <f>F12-K12</f>
        <v>478506.70999999996</v>
      </c>
    </row>
    <row r="13" spans="1:14" ht="14.25" thickTop="1" thickBot="1" x14ac:dyDescent="0.25">
      <c r="A13" s="684" t="s">
        <v>1111</v>
      </c>
      <c r="B13" s="679">
        <v>252</v>
      </c>
      <c r="C13" s="1760">
        <v>1239353</v>
      </c>
      <c r="D13" s="1760">
        <v>52394</v>
      </c>
      <c r="E13" s="1760">
        <v>308197</v>
      </c>
      <c r="F13" s="1754">
        <f>(C13+D13)-E13</f>
        <v>983550</v>
      </c>
      <c r="G13" s="681">
        <v>5</v>
      </c>
      <c r="H13" s="619">
        <v>1158894</v>
      </c>
      <c r="I13" s="619">
        <v>52531.77</v>
      </c>
      <c r="J13" s="619">
        <v>308197</v>
      </c>
      <c r="K13" s="1435">
        <f>(H13+I13)-J13</f>
        <v>903228.77</v>
      </c>
      <c r="L13" s="1435">
        <f>F13-K13</f>
        <v>80321.229999999981</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c r="E15" s="1760"/>
      <c r="F15" s="1754">
        <f>(C15+D15)-E15</f>
        <v>0</v>
      </c>
      <c r="G15" s="685" t="s">
        <v>856</v>
      </c>
      <c r="H15" s="632"/>
      <c r="I15" s="632"/>
      <c r="J15" s="632"/>
      <c r="K15" s="632"/>
      <c r="L15" s="1435">
        <f>F15-K15</f>
        <v>0</v>
      </c>
    </row>
    <row r="16" spans="1:14" ht="15" customHeight="1" thickTop="1" thickBot="1" x14ac:dyDescent="0.25">
      <c r="A16" s="1431" t="s">
        <v>638</v>
      </c>
      <c r="B16" s="1432">
        <v>200</v>
      </c>
      <c r="C16" s="1754">
        <f>SUM(C3,C5:C6,C8:C10,C12:C15)</f>
        <v>38523563</v>
      </c>
      <c r="D16" s="1754">
        <f>SUM(D3,D5:D6,D8:D10,D12:D15)</f>
        <v>171674</v>
      </c>
      <c r="E16" s="1754">
        <f>SUM(E3,E5:E6,E8:E10,E12:E15)</f>
        <v>353448.75</v>
      </c>
      <c r="F16" s="1754">
        <f>SUM(F3,F5:F6,F8:F10,F12:F15)</f>
        <v>38341788.25</v>
      </c>
      <c r="G16" s="681"/>
      <c r="H16" s="1428">
        <f>SUM(H3,H6,H8:H10,H12:H14,)</f>
        <v>14855315</v>
      </c>
      <c r="I16" s="1428">
        <f>SUM(I3,I6,I8:I10,I12:I14,)</f>
        <v>899988.37000000011</v>
      </c>
      <c r="J16" s="1428">
        <f>SUM(J3,J6,J8:J10,J12:J14,)</f>
        <v>344636</v>
      </c>
      <c r="K16" s="1428">
        <f>(H16+I16)-J16</f>
        <v>15410667.370000001</v>
      </c>
      <c r="L16" s="1428">
        <f>F16-K16</f>
        <v>22931120.879999999</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115280</v>
      </c>
      <c r="G17" s="676">
        <v>10</v>
      </c>
      <c r="H17" s="621"/>
      <c r="I17" s="1435">
        <f>F17/G17</f>
        <v>11528</v>
      </c>
      <c r="J17" s="621"/>
      <c r="K17" s="638"/>
      <c r="L17" s="638"/>
    </row>
    <row r="18" spans="1:12" ht="14.25" thickTop="1" thickBot="1" x14ac:dyDescent="0.25">
      <c r="A18" s="1433" t="s">
        <v>679</v>
      </c>
      <c r="B18" s="1434"/>
      <c r="C18" s="623"/>
      <c r="D18" s="623"/>
      <c r="E18" s="623"/>
      <c r="F18" s="686"/>
      <c r="G18" s="687"/>
      <c r="H18" s="624"/>
      <c r="I18" s="1428">
        <f>SUM(I16,I17)</f>
        <v>911516.37000000011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23" activePane="bottomLeft" state="frozen"/>
      <selection activeCell="A47" sqref="A47"/>
      <selection pane="bottomLeft" activeCell="F65" sqref="F6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6" t="str">
        <f>"ESTIMATED OPERATING EXPENSE PER PUPIL (OEPP)/PER CAPITA TUITION CHARGE (PCTC) COMPUTATIONS ("&amp;'AFR20'!E2-1&amp;" - "&amp;'AFR20'!E2&amp;")"</f>
        <v>ESTIMATED OPERATING EXPENSE PER PUPIL (OEPP)/PER CAPITA TUITION CHARGE (PCTC) COMPUTATIONS (2019 - 2020)</v>
      </c>
      <c r="B1" s="2387"/>
      <c r="C1" s="2387"/>
      <c r="D1" s="2387"/>
      <c r="E1" s="2387"/>
      <c r="F1" s="2388"/>
      <c r="G1" s="691"/>
      <c r="I1" s="701"/>
    </row>
    <row r="2" spans="1:9" ht="15" customHeight="1" thickBot="1" x14ac:dyDescent="0.25">
      <c r="A2" s="2389" t="s">
        <v>474</v>
      </c>
      <c r="B2" s="2390"/>
      <c r="C2" s="2390"/>
      <c r="D2" s="2390"/>
      <c r="E2" s="2390"/>
      <c r="F2" s="2391"/>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92"/>
      <c r="B5" s="2393"/>
      <c r="C5" s="2393"/>
      <c r="D5" s="2393"/>
      <c r="E5" s="2393"/>
      <c r="F5" s="2393"/>
    </row>
    <row r="6" spans="1:9" ht="13.5" customHeight="1" thickBot="1" x14ac:dyDescent="0.25">
      <c r="A6" s="2383" t="s">
        <v>1094</v>
      </c>
      <c r="B6" s="2384"/>
      <c r="C6" s="2384"/>
      <c r="D6" s="2384"/>
      <c r="E6" s="2384"/>
      <c r="F6" s="2385"/>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9153884</v>
      </c>
      <c r="G8" s="701"/>
    </row>
    <row r="9" spans="1:9" x14ac:dyDescent="0.2">
      <c r="A9" s="705" t="s">
        <v>457</v>
      </c>
      <c r="B9" s="706" t="s">
        <v>1845</v>
      </c>
      <c r="C9" s="707"/>
      <c r="D9" s="705" t="s">
        <v>498</v>
      </c>
      <c r="E9" s="704"/>
      <c r="F9" s="1764">
        <f>'Expenditures 15-22'!K151</f>
        <v>1174117</v>
      </c>
      <c r="G9" s="708"/>
    </row>
    <row r="10" spans="1:9" x14ac:dyDescent="0.2">
      <c r="A10" s="705" t="s">
        <v>496</v>
      </c>
      <c r="B10" s="706" t="s">
        <v>1846</v>
      </c>
      <c r="C10" s="707"/>
      <c r="D10" s="705" t="s">
        <v>498</v>
      </c>
      <c r="E10" s="704"/>
      <c r="F10" s="1764">
        <f>'Expenditures 15-22'!K174</f>
        <v>2780000</v>
      </c>
      <c r="G10" s="708"/>
    </row>
    <row r="11" spans="1:9" x14ac:dyDescent="0.2">
      <c r="A11" s="705" t="s">
        <v>458</v>
      </c>
      <c r="B11" s="706" t="s">
        <v>1847</v>
      </c>
      <c r="C11" s="707"/>
      <c r="D11" s="705" t="s">
        <v>498</v>
      </c>
      <c r="E11" s="704"/>
      <c r="F11" s="1764">
        <f>'Expenditures 15-22'!K210</f>
        <v>633826</v>
      </c>
      <c r="G11" s="708"/>
    </row>
    <row r="12" spans="1:9" x14ac:dyDescent="0.2">
      <c r="A12" s="705" t="s">
        <v>459</v>
      </c>
      <c r="B12" s="706" t="s">
        <v>1848</v>
      </c>
      <c r="C12" s="707"/>
      <c r="D12" s="705" t="s">
        <v>498</v>
      </c>
      <c r="E12" s="704"/>
      <c r="F12" s="1764">
        <f>'Expenditures 15-22'!K295</f>
        <v>293007</v>
      </c>
      <c r="G12" s="708"/>
    </row>
    <row r="13" spans="1:9" x14ac:dyDescent="0.2">
      <c r="A13" s="705" t="s">
        <v>106</v>
      </c>
      <c r="B13" s="706" t="s">
        <v>1849</v>
      </c>
      <c r="C13" s="707"/>
      <c r="D13" s="705" t="s">
        <v>498</v>
      </c>
      <c r="E13" s="704"/>
      <c r="F13" s="1764">
        <f>'Expenditures 15-22'!K342</f>
        <v>103217</v>
      </c>
      <c r="G13" s="709"/>
    </row>
    <row r="14" spans="1:9" ht="12" customHeight="1" thickBot="1" x14ac:dyDescent="0.25">
      <c r="A14" s="1436"/>
      <c r="B14" s="1437"/>
      <c r="C14" s="1438"/>
      <c r="D14" s="1439" t="s">
        <v>498</v>
      </c>
      <c r="E14" s="1440" t="s">
        <v>951</v>
      </c>
      <c r="F14" s="1765">
        <f>SUM(F8:F13)</f>
        <v>14138051</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59753</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13482</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524725</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89660</v>
      </c>
      <c r="G53" s="701"/>
    </row>
    <row r="54" spans="1:7" x14ac:dyDescent="0.2">
      <c r="A54" s="705" t="s">
        <v>456</v>
      </c>
      <c r="B54" s="705" t="s">
        <v>1456</v>
      </c>
      <c r="C54" s="724" t="s">
        <v>974</v>
      </c>
      <c r="D54" s="720" t="s">
        <v>1085</v>
      </c>
      <c r="E54" s="704"/>
      <c r="F54" s="1771">
        <f>'Expenditures 15-22'!G114</f>
        <v>38566</v>
      </c>
      <c r="G54" s="701"/>
    </row>
    <row r="55" spans="1:7" x14ac:dyDescent="0.2">
      <c r="A55" s="705" t="s">
        <v>456</v>
      </c>
      <c r="B55" s="705" t="s">
        <v>1457</v>
      </c>
      <c r="C55" s="724" t="s">
        <v>974</v>
      </c>
      <c r="D55" s="720" t="s">
        <v>288</v>
      </c>
      <c r="E55" s="704"/>
      <c r="F55" s="1771">
        <f>'Expenditures 15-22'!I114</f>
        <v>55829</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74222</v>
      </c>
      <c r="G58" s="701"/>
    </row>
    <row r="59" spans="1:7" x14ac:dyDescent="0.2">
      <c r="A59" s="728" t="s">
        <v>457</v>
      </c>
      <c r="B59" s="692" t="s">
        <v>1852</v>
      </c>
      <c r="C59" s="729" t="s">
        <v>974</v>
      </c>
      <c r="D59" s="692" t="s">
        <v>288</v>
      </c>
      <c r="F59" s="1774">
        <f>'Expenditures 15-22'!I151</f>
        <v>54582</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555110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58886</v>
      </c>
      <c r="G65" s="701"/>
    </row>
    <row r="66" spans="1:9" x14ac:dyDescent="0.2">
      <c r="A66" s="705" t="s">
        <v>458</v>
      </c>
      <c r="B66" s="705" t="s">
        <v>1859</v>
      </c>
      <c r="C66" s="721" t="s">
        <v>974</v>
      </c>
      <c r="D66" s="720" t="s">
        <v>288</v>
      </c>
      <c r="E66" s="704"/>
      <c r="F66" s="1771">
        <f>'Expenditures 15-22'!I210</f>
        <v>4869</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225</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1529909</v>
      </c>
      <c r="G77" s="701"/>
    </row>
    <row r="78" spans="1:9" s="728" customFormat="1" ht="12" customHeight="1" thickTop="1" thickBot="1" x14ac:dyDescent="0.25">
      <c r="A78" s="1443"/>
      <c r="B78" s="1441"/>
      <c r="C78" s="1438"/>
      <c r="D78" s="1442" t="s">
        <v>2009</v>
      </c>
      <c r="E78" s="1440"/>
      <c r="F78" s="1777">
        <f>(F14-F77)</f>
        <v>12608142</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610.5</v>
      </c>
      <c r="G79" s="733"/>
      <c r="H79" s="705"/>
      <c r="I79" s="705"/>
    </row>
    <row r="80" spans="1:9" s="728" customFormat="1" ht="12" customHeight="1" thickBot="1" x14ac:dyDescent="0.25">
      <c r="A80" s="1445"/>
      <c r="B80" s="1441"/>
      <c r="C80" s="1438"/>
      <c r="D80" s="1442" t="s">
        <v>2010</v>
      </c>
      <c r="E80" s="1440" t="s">
        <v>951</v>
      </c>
      <c r="F80" s="1779">
        <f>IF(F79&gt;0,F78/F79," Complete Line 79")</f>
        <v>20652.157248157248</v>
      </c>
      <c r="G80" s="705"/>
    </row>
    <row r="81" spans="1:7" s="728" customFormat="1" ht="8.25" customHeight="1" thickTop="1" x14ac:dyDescent="0.2">
      <c r="A81" s="734"/>
      <c r="B81" s="705"/>
      <c r="C81" s="707"/>
      <c r="D81" s="735"/>
      <c r="E81" s="704"/>
      <c r="F81" s="1780"/>
      <c r="G81" s="705"/>
    </row>
    <row r="82" spans="1:7" s="728" customFormat="1" ht="12" thickBot="1" x14ac:dyDescent="0.25">
      <c r="A82" s="2383" t="s">
        <v>1095</v>
      </c>
      <c r="B82" s="2384"/>
      <c r="C82" s="2384"/>
      <c r="D82" s="2384"/>
      <c r="E82" s="2384"/>
      <c r="F82" s="238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5826</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199183</v>
      </c>
      <c r="G95" s="745"/>
    </row>
    <row r="96" spans="1:7" x14ac:dyDescent="0.2">
      <c r="A96" s="741" t="s">
        <v>139</v>
      </c>
      <c r="B96" s="741" t="s">
        <v>174</v>
      </c>
      <c r="C96" s="743">
        <v>1700</v>
      </c>
      <c r="D96" s="751" t="str">
        <f>'Revenues 9-14'!A82</f>
        <v>Total District/School Activity Income</v>
      </c>
      <c r="E96" s="739"/>
      <c r="F96" s="1782">
        <f>SUM('Revenues 9-14'!C82,'Revenues 9-14'!D82)</f>
        <v>97827</v>
      </c>
      <c r="G96" s="745"/>
    </row>
    <row r="97" spans="1:7" x14ac:dyDescent="0.2">
      <c r="A97" s="741" t="s">
        <v>456</v>
      </c>
      <c r="B97" s="741" t="s">
        <v>175</v>
      </c>
      <c r="C97" s="743">
        <f>'Revenues 9-14'!B84</f>
        <v>1811</v>
      </c>
      <c r="D97" s="744" t="str">
        <f>'Revenues 9-14'!A84</f>
        <v>Rentals - Regular Textbooks</v>
      </c>
      <c r="E97" s="739"/>
      <c r="F97" s="1782">
        <f>'Revenues 9-14'!C84</f>
        <v>59512</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2227</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27752</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122376</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33207</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942</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18173</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339682</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50000</v>
      </c>
      <c r="G121" s="763"/>
    </row>
    <row r="122" spans="1:7" x14ac:dyDescent="0.2">
      <c r="A122" s="760" t="s">
        <v>497</v>
      </c>
      <c r="B122" s="760" t="s">
        <v>1923</v>
      </c>
      <c r="C122" s="761">
        <f>'Revenues 9-14'!B168</f>
        <v>3999</v>
      </c>
      <c r="D122" s="762" t="s">
        <v>540</v>
      </c>
      <c r="E122" s="764"/>
      <c r="F122" s="1782">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83673</v>
      </c>
      <c r="G126" s="763"/>
    </row>
    <row r="127" spans="1:7" x14ac:dyDescent="0.2">
      <c r="A127" s="760" t="s">
        <v>663</v>
      </c>
      <c r="B127" s="760" t="s">
        <v>1928</v>
      </c>
      <c r="C127" s="765">
        <v>4300</v>
      </c>
      <c r="D127" s="766" t="str">
        <f>'Revenues 9-14'!A204</f>
        <v>Total Title I</v>
      </c>
      <c r="E127" s="739"/>
      <c r="F127" s="1782">
        <f>SUM('Revenues 9-14'!C204,'Revenues 9-14'!D204,'Revenues 9-14'!F204,'Revenues 9-14'!G204)</f>
        <v>112232</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13000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140885</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218888</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14844</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21721</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3571</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24846</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18075</v>
      </c>
      <c r="G171" s="760"/>
    </row>
    <row r="172" spans="1:7" x14ac:dyDescent="0.2">
      <c r="A172" s="1522" t="s">
        <v>5</v>
      </c>
      <c r="B172" s="1523" t="s">
        <v>1882</v>
      </c>
      <c r="C172" s="1524">
        <v>3100</v>
      </c>
      <c r="D172" s="1525" t="s">
        <v>1884</v>
      </c>
      <c r="E172" s="739"/>
      <c r="F172" s="1783">
        <v>211793.81</v>
      </c>
      <c r="G172" s="760"/>
    </row>
    <row r="173" spans="1:7" x14ac:dyDescent="0.2">
      <c r="A173" s="1522" t="s">
        <v>659</v>
      </c>
      <c r="B173" s="1523" t="s">
        <v>1882</v>
      </c>
      <c r="C173" s="1524">
        <v>3300</v>
      </c>
      <c r="D173" s="1525" t="s">
        <v>1885</v>
      </c>
      <c r="E173" s="739"/>
      <c r="F173" s="1783">
        <v>891.48</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1821877.29</v>
      </c>
    </row>
    <row r="176" spans="1:7" ht="12" customHeight="1" x14ac:dyDescent="0.2">
      <c r="A176" s="1436"/>
      <c r="B176" s="1446"/>
      <c r="C176" s="1447"/>
      <c r="D176" s="1448" t="s">
        <v>2011</v>
      </c>
      <c r="E176" s="1449"/>
      <c r="F176" s="1782">
        <f>'PCTC-OEPP 27-28'!F78-F175</f>
        <v>10786264.710000001</v>
      </c>
    </row>
    <row r="177" spans="1:9" ht="12" customHeight="1" x14ac:dyDescent="0.2">
      <c r="A177" s="1436"/>
      <c r="B177" s="1446"/>
      <c r="C177" s="1447"/>
      <c r="D177" s="1448" t="s">
        <v>1791</v>
      </c>
      <c r="E177" s="1449"/>
      <c r="F177" s="1782">
        <f>'Cap Outlay Deprec 26'!I18</f>
        <v>911516.37000000011</v>
      </c>
    </row>
    <row r="178" spans="1:9" ht="12" customHeight="1" x14ac:dyDescent="0.2">
      <c r="A178" s="1436"/>
      <c r="B178" s="1446"/>
      <c r="C178" s="1447"/>
      <c r="D178" s="1448" t="s">
        <v>2012</v>
      </c>
      <c r="E178" s="1449"/>
      <c r="F178" s="1782">
        <f>F176+F177</f>
        <v>11697781.080000002</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610.5</v>
      </c>
      <c r="G179" s="763"/>
      <c r="I179" s="701"/>
    </row>
    <row r="180" spans="1:9" ht="12" customHeight="1" thickBot="1" x14ac:dyDescent="0.25">
      <c r="A180" s="1436"/>
      <c r="B180" s="1450"/>
      <c r="C180" s="1447"/>
      <c r="D180" s="1448" t="s">
        <v>2014</v>
      </c>
      <c r="E180" s="1449" t="s">
        <v>1525</v>
      </c>
      <c r="F180" s="1787">
        <f>F178/F179</f>
        <v>19160.984570024571</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B25" sqref="B25"/>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97" t="s">
        <v>1792</v>
      </c>
      <c r="B4" s="2398"/>
      <c r="C4" s="2398"/>
      <c r="D4" s="2398"/>
      <c r="E4" s="2398"/>
      <c r="F4" s="2399"/>
    </row>
    <row r="5" spans="1:6" x14ac:dyDescent="0.25">
      <c r="A5" s="2400"/>
      <c r="B5" s="2401"/>
      <c r="C5" s="2401"/>
      <c r="D5" s="2401"/>
      <c r="E5" s="2401"/>
      <c r="F5" s="2402"/>
    </row>
    <row r="6" spans="1:6" ht="18.75" x14ac:dyDescent="0.25">
      <c r="A6" s="1854" t="s">
        <v>1793</v>
      </c>
      <c r="B6" s="1855"/>
      <c r="C6" s="1856"/>
      <c r="D6" s="1856"/>
      <c r="E6" s="1856"/>
      <c r="F6" s="1857"/>
    </row>
    <row r="7" spans="1:6" ht="47.25" customHeight="1" x14ac:dyDescent="0.25">
      <c r="A7" s="2403" t="s">
        <v>1982</v>
      </c>
      <c r="B7" s="2404"/>
      <c r="C7" s="2404"/>
      <c r="D7" s="2404"/>
      <c r="E7" s="2404"/>
      <c r="F7" s="2405"/>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406" t="s">
        <v>1978</v>
      </c>
      <c r="B10" s="2407"/>
      <c r="C10" s="2407"/>
      <c r="D10" s="2407"/>
      <c r="E10" s="2407"/>
      <c r="F10" s="2408"/>
    </row>
    <row r="11" spans="1:6" ht="33" customHeight="1" x14ac:dyDescent="0.25">
      <c r="A11" s="2403" t="s">
        <v>1983</v>
      </c>
      <c r="B11" s="2404"/>
      <c r="C11" s="2404"/>
      <c r="D11" s="2404"/>
      <c r="E11" s="2404"/>
      <c r="F11" s="2405"/>
    </row>
    <row r="12" spans="1:6" ht="15" customHeight="1" x14ac:dyDescent="0.25">
      <c r="A12" s="1860" t="s">
        <v>1979</v>
      </c>
      <c r="B12" s="1861"/>
      <c r="C12" s="1862"/>
      <c r="D12" s="1862"/>
      <c r="E12" s="1862"/>
      <c r="F12" s="1863"/>
    </row>
    <row r="13" spans="1:6" ht="17.25" customHeight="1" x14ac:dyDescent="0.25">
      <c r="A13" s="2403" t="s">
        <v>1980</v>
      </c>
      <c r="B13" s="2404"/>
      <c r="C13" s="2404"/>
      <c r="D13" s="2404"/>
      <c r="E13" s="2404"/>
      <c r="F13" s="2405"/>
    </row>
    <row r="14" spans="1:6" ht="15" customHeight="1" x14ac:dyDescent="0.25">
      <c r="A14" s="1860" t="s">
        <v>1797</v>
      </c>
      <c r="B14" s="1861"/>
      <c r="C14" s="1862"/>
      <c r="D14" s="1862"/>
      <c r="E14" s="1862"/>
      <c r="F14" s="1863"/>
    </row>
    <row r="15" spans="1:6" ht="32.25" customHeight="1" x14ac:dyDescent="0.25">
      <c r="A15" s="239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5"/>
      <c r="C15" s="2395"/>
      <c r="D15" s="2395"/>
      <c r="E15" s="2395"/>
      <c r="F15" s="2396"/>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52" t="s">
        <v>2046</v>
      </c>
      <c r="B18" s="2053">
        <v>102200300</v>
      </c>
      <c r="C18" s="2054" t="s">
        <v>2045</v>
      </c>
      <c r="D18" s="2055">
        <v>33534</v>
      </c>
      <c r="E18" s="2056" t="s">
        <v>2101</v>
      </c>
      <c r="F18" s="2056">
        <v>8534</v>
      </c>
      <c r="G18" s="1874"/>
    </row>
    <row r="19" spans="1:7" x14ac:dyDescent="0.25">
      <c r="A19" s="2052" t="s">
        <v>2047</v>
      </c>
      <c r="B19" s="2053">
        <v>402550300</v>
      </c>
      <c r="C19" s="2054" t="s">
        <v>2048</v>
      </c>
      <c r="D19" s="2055">
        <v>108212</v>
      </c>
      <c r="E19" s="2056" t="s">
        <v>2101</v>
      </c>
      <c r="F19" s="2056">
        <v>83212</v>
      </c>
    </row>
    <row r="20" spans="1:7" x14ac:dyDescent="0.25">
      <c r="A20" s="2052" t="s">
        <v>2049</v>
      </c>
      <c r="B20" s="2053">
        <v>101000300</v>
      </c>
      <c r="C20" s="2054" t="s">
        <v>2050</v>
      </c>
      <c r="D20" s="2055">
        <v>41925</v>
      </c>
      <c r="E20" s="2056" t="s">
        <v>2101</v>
      </c>
      <c r="F20" s="2056">
        <v>16925</v>
      </c>
    </row>
    <row r="21" spans="1:7" x14ac:dyDescent="0.25">
      <c r="A21" s="2052" t="s">
        <v>2051</v>
      </c>
      <c r="B21" s="2053">
        <v>101000300</v>
      </c>
      <c r="C21" s="2054" t="s">
        <v>2052</v>
      </c>
      <c r="D21" s="2055">
        <v>254815</v>
      </c>
      <c r="E21" s="2056" t="s">
        <v>2101</v>
      </c>
      <c r="F21" s="2056">
        <v>229815</v>
      </c>
    </row>
    <row r="22" spans="1:7" x14ac:dyDescent="0.25">
      <c r="A22" s="2052" t="s">
        <v>2051</v>
      </c>
      <c r="B22" s="2053">
        <v>101000300</v>
      </c>
      <c r="C22" s="2054" t="s">
        <v>2053</v>
      </c>
      <c r="D22" s="2055">
        <v>108929</v>
      </c>
      <c r="E22" s="2056" t="s">
        <v>2101</v>
      </c>
      <c r="F22" s="2056">
        <v>83929</v>
      </c>
    </row>
    <row r="23" spans="1:7" x14ac:dyDescent="0.25">
      <c r="A23" s="2052" t="s">
        <v>2054</v>
      </c>
      <c r="B23" s="2053">
        <v>102560400</v>
      </c>
      <c r="C23" s="2054" t="s">
        <v>2055</v>
      </c>
      <c r="D23" s="2055">
        <v>25682</v>
      </c>
      <c r="E23" s="2056" t="s">
        <v>2101</v>
      </c>
      <c r="F23" s="2056">
        <v>682</v>
      </c>
    </row>
    <row r="24" spans="1:7" x14ac:dyDescent="0.25">
      <c r="A24" s="2052" t="s">
        <v>2056</v>
      </c>
      <c r="B24" s="2053">
        <v>202540400</v>
      </c>
      <c r="C24" s="2054" t="s">
        <v>2057</v>
      </c>
      <c r="D24" s="2055">
        <v>49774</v>
      </c>
      <c r="E24" s="2056" t="s">
        <v>2101</v>
      </c>
      <c r="F24" s="2056">
        <v>24774</v>
      </c>
    </row>
    <row r="25" spans="1:7" x14ac:dyDescent="0.25">
      <c r="A25" s="2052" t="s">
        <v>2058</v>
      </c>
      <c r="B25" s="2053">
        <v>202540400</v>
      </c>
      <c r="C25" s="2054" t="s">
        <v>2057</v>
      </c>
      <c r="D25" s="2055">
        <v>138540</v>
      </c>
      <c r="E25" s="2056" t="s">
        <v>2101</v>
      </c>
      <c r="F25" s="2056">
        <v>113540</v>
      </c>
    </row>
    <row r="26" spans="1:7" x14ac:dyDescent="0.25">
      <c r="A26" s="2048" t="s">
        <v>1158</v>
      </c>
      <c r="B26" s="1895"/>
      <c r="C26" s="2049" t="s">
        <v>1158</v>
      </c>
      <c r="D26" s="2050" t="s">
        <v>1158</v>
      </c>
      <c r="E26" s="2051">
        <v>0</v>
      </c>
      <c r="F26" s="2051">
        <v>0</v>
      </c>
    </row>
    <row r="27" spans="1:7" x14ac:dyDescent="0.25">
      <c r="A27" s="1875"/>
      <c r="B27" s="1895"/>
      <c r="C27" s="1876"/>
      <c r="D27" s="1873"/>
      <c r="E27" s="1893">
        <f t="shared" ref="E27:E81" si="0">IF(D27&lt;25000,D27,"25,000")</f>
        <v>0</v>
      </c>
      <c r="F27" s="1893" t="str">
        <f t="shared" ref="F27:F81" si="1">IF(D27&gt;=25000,(D27-E27),"0")</f>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761411</v>
      </c>
      <c r="E142" s="1880">
        <f>SUM(E18:E141)</f>
        <v>0</v>
      </c>
      <c r="F142" s="1881">
        <f>SUM(F18:F141)</f>
        <v>561411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4"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9" t="s">
        <v>1657</v>
      </c>
      <c r="B5" s="2410"/>
      <c r="C5" s="2410"/>
      <c r="D5" s="2410"/>
      <c r="E5" s="2410"/>
      <c r="F5" s="2410"/>
      <c r="G5" s="2411"/>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184855</v>
      </c>
      <c r="F10" s="805"/>
      <c r="G10" s="806"/>
      <c r="H10" s="157"/>
      <c r="I10" s="157"/>
    </row>
    <row r="11" spans="1:13" s="542" customFormat="1" ht="22.5" customHeight="1" x14ac:dyDescent="0.2">
      <c r="A11" s="241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5"/>
      <c r="C11" s="2415"/>
      <c r="D11" s="2416"/>
      <c r="E11" s="1790">
        <v>22260</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6362269</v>
      </c>
      <c r="F19" s="1791"/>
      <c r="G19" s="1793">
        <f>'Expenditures 15-22'!K33-SUM('Expenditures 15-22'!G33,'Expenditures 15-22'!I33)+'Expenditures 15-22'!D229</f>
        <v>6362269</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734014</v>
      </c>
      <c r="F21" s="1794"/>
      <c r="G21" s="1797">
        <f>'Expenditures 15-22'!K42-SUM('Expenditures 15-22'!G42,'Expenditures 15-22'!I42)+'Expenditures 15-22'!K120-SUM('Expenditures 15-22'!G120,'Expenditures 15-22'!I120)+'Expenditures 15-22'!K180-SUM('Expenditures 15-22'!G180,'Expenditures 15-22'!I180)+'Expenditures 15-22'!D238</f>
        <v>734014</v>
      </c>
      <c r="H21" s="817"/>
      <c r="I21" s="157"/>
    </row>
    <row r="22" spans="1:9" s="542" customFormat="1" ht="12" customHeight="1" x14ac:dyDescent="0.2">
      <c r="A22" s="824" t="s">
        <v>560</v>
      </c>
      <c r="B22" s="825"/>
      <c r="C22" s="823">
        <v>2200</v>
      </c>
      <c r="D22" s="1794"/>
      <c r="E22" s="1796">
        <f>'Expenditures 15-22'!K47-SUM('Expenditures 15-22'!G47,'Expenditures 15-22'!I47)+'Expenditures 15-22'!D243</f>
        <v>587038</v>
      </c>
      <c r="F22" s="1794"/>
      <c r="G22" s="1797">
        <f>'Expenditures 15-22'!K47-SUM('Expenditures 15-22'!G47,'Expenditures 15-22'!I47)+'Expenditures 15-22'!D243</f>
        <v>587038</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514369</v>
      </c>
      <c r="F23" s="1794"/>
      <c r="G23" s="1796">
        <f>'Expenditures 15-22'!K53-SUM('Expenditures 15-22'!G53,'Expenditures 15-22'!I53)+'Expenditures 15-22'!D257+'Expenditures 15-22'!K330-SUM('Expenditures 15-22'!G330,'Expenditures 15-22'!I330)</f>
        <v>514369</v>
      </c>
      <c r="H23" s="817"/>
      <c r="I23" s="157"/>
    </row>
    <row r="24" spans="1:9" s="542" customFormat="1" ht="12" customHeight="1" x14ac:dyDescent="0.2">
      <c r="A24" s="824" t="s">
        <v>562</v>
      </c>
      <c r="B24" s="825"/>
      <c r="C24" s="823">
        <v>2400</v>
      </c>
      <c r="D24" s="1794"/>
      <c r="E24" s="1796">
        <f>'Expenditures 15-22'!K57-SUM('Expenditures 15-22'!G57,'Expenditures 15-22'!I57)+'Expenditures 15-22'!D261</f>
        <v>452592</v>
      </c>
      <c r="F24" s="1794"/>
      <c r="G24" s="1797">
        <f>'Expenditures 15-22'!K57-SUM('Expenditures 15-22'!G57,'Expenditures 15-22'!I57)+'Expenditures 15-22'!D261</f>
        <v>452592</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102097</v>
      </c>
      <c r="E26" s="1796">
        <f>'Expenditures 15-22'!K122-SUM('Expenditures 15-22'!G122,'Expenditures 15-22'!I122)+E7</f>
        <v>0</v>
      </c>
      <c r="F26" s="1796">
        <f>'Expenditures 15-22'!K59-SUM('Expenditures 15-22'!G59,'Expenditures 15-22'!I59)+'Expenditures 15-22'!D263-E7</f>
        <v>102097</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184253</v>
      </c>
      <c r="E27" s="1796">
        <f>E8</f>
        <v>0</v>
      </c>
      <c r="F27" s="1796">
        <f>'Expenditures 15-22'!K60-SUM('Expenditures 15-22'!G60,'Expenditures 15-22'!I60)+'Expenditures 15-22'!D264-E8</f>
        <v>184253</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1096363</v>
      </c>
      <c r="F28" s="1798">
        <f>'Expenditures 15-22'!K61-SUM('Expenditures 15-22'!G61,'Expenditures 15-22'!I61)+'Expenditures 15-22'!K124-SUM('Expenditures 15-22'!G124,'Expenditures 15-22'!I124)+'Expenditures 15-22'!D266-E9</f>
        <v>1096363</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619415</v>
      </c>
      <c r="F29" s="1794"/>
      <c r="G29" s="1797">
        <f>'Expenditures 15-22'!K62-SUM('Expenditures 15-22'!G62,'Expenditures 15-22'!I62)+'Expenditures 15-22'!K125-SUM('Expenditures 15-22'!G125,'Expenditures 15-22'!I125)+'Expenditures 15-22'!K182-SUM('Expenditures 15-22'!G182,'Expenditures 15-22'!I182)+'Expenditures 15-22'!D267</f>
        <v>619415</v>
      </c>
      <c r="H29" s="815"/>
    </row>
    <row r="30" spans="1:9" ht="12" customHeight="1" x14ac:dyDescent="0.2">
      <c r="A30" s="824" t="s">
        <v>100</v>
      </c>
      <c r="B30" s="827"/>
      <c r="C30" s="823">
        <v>2560</v>
      </c>
      <c r="D30" s="1794"/>
      <c r="E30" s="1796">
        <f>'Expenditures 15-22'!K63-SUM('Expenditures 15-22'!G63,'Expenditures 15-22'!I63)+'Expenditures 15-22'!D268-E10</f>
        <v>117048</v>
      </c>
      <c r="F30" s="1794"/>
      <c r="G30" s="1796">
        <f>'Expenditures 15-22'!K63-SUM('Expenditures 15-22'!G63,'Expenditures 15-22'!I63)+'Expenditures 15-22'!D268-E10</f>
        <v>117048</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26411</v>
      </c>
      <c r="E37" s="1796">
        <f>E14</f>
        <v>0</v>
      </c>
      <c r="F37" s="1796">
        <f>'Expenditures 15-22'!K71-SUM('Expenditures 15-22'!G71,'Expenditures 15-22'!I71)+'Expenditures 15-22'!D276-E14</f>
        <v>26411</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713</v>
      </c>
      <c r="F38" s="1794"/>
      <c r="G38" s="1796">
        <f>'Expenditures 15-22'!K73-SUM('Expenditures 15-22'!G73,'Expenditures 15-22'!I73)+'Expenditures 15-22'!K128-SUM('Expenditures 15-22'!G128,'Expenditures 15-22'!I128)+'Expenditures 15-22'!K183-SUM('Expenditures 15-22'!G183,'Expenditures 15-22'!I183)+'Expenditures 15-22'!D278</f>
        <v>713</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-561411</v>
      </c>
      <c r="F40" s="1794"/>
      <c r="G40" s="1798">
        <f>-'Contracts Paid in CY 29'!F142</f>
        <v>-561411</v>
      </c>
    </row>
    <row r="41" spans="1:7" ht="12" customHeight="1" x14ac:dyDescent="0.2">
      <c r="A41" s="828" t="s">
        <v>155</v>
      </c>
      <c r="B41" s="829"/>
      <c r="C41" s="830"/>
      <c r="D41" s="1798">
        <f>SUM(D19:D39)</f>
        <v>312761</v>
      </c>
      <c r="E41" s="1798">
        <f>SUM(E19:E40)</f>
        <v>9922410</v>
      </c>
      <c r="F41" s="1798">
        <f>SUM(F19:F39)</f>
        <v>1409124</v>
      </c>
      <c r="G41" s="1798">
        <f>SUM(G19:G40)</f>
        <v>8826047</v>
      </c>
    </row>
    <row r="42" spans="1:7" x14ac:dyDescent="0.2">
      <c r="A42" s="817"/>
      <c r="B42" s="157"/>
      <c r="C42" s="831"/>
      <c r="D42" s="2412" t="s">
        <v>519</v>
      </c>
      <c r="E42" s="2413"/>
      <c r="F42" s="832" t="s">
        <v>520</v>
      </c>
      <c r="G42" s="833"/>
    </row>
    <row r="43" spans="1:7" ht="12" customHeight="1" x14ac:dyDescent="0.2">
      <c r="A43" s="817"/>
      <c r="B43" s="157"/>
      <c r="C43" s="831"/>
      <c r="D43" s="1451" t="s">
        <v>470</v>
      </c>
      <c r="E43" s="1799">
        <f>D41</f>
        <v>312761</v>
      </c>
      <c r="F43" s="1451" t="s">
        <v>470</v>
      </c>
      <c r="G43" s="1799">
        <f>F41</f>
        <v>1409124</v>
      </c>
    </row>
    <row r="44" spans="1:7" ht="12" customHeight="1" x14ac:dyDescent="0.2">
      <c r="A44" s="817"/>
      <c r="B44" s="157"/>
      <c r="C44" s="831"/>
      <c r="D44" s="1451" t="s">
        <v>471</v>
      </c>
      <c r="E44" s="1799">
        <f>E41</f>
        <v>9922410</v>
      </c>
      <c r="F44" s="1451" t="s">
        <v>471</v>
      </c>
      <c r="G44" s="1799">
        <f>G41</f>
        <v>8826047</v>
      </c>
    </row>
    <row r="45" spans="1:7" ht="12" customHeight="1" x14ac:dyDescent="0.2">
      <c r="A45" s="817"/>
      <c r="B45" s="157"/>
      <c r="C45" s="157"/>
      <c r="D45" s="1452" t="s">
        <v>998</v>
      </c>
      <c r="E45" s="1800">
        <f>(E43/E44)</f>
        <v>3.1520668869760474E-2</v>
      </c>
      <c r="F45" s="1452" t="s">
        <v>998</v>
      </c>
      <c r="G45" s="1800">
        <f>(G43/G44)</f>
        <v>0.15965516612363384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11" activePane="bottomLeft" state="frozen"/>
      <selection activeCell="A47" sqref="A47"/>
      <selection pane="bottomLeft" activeCell="A19" sqref="A19"/>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31" t="s">
        <v>1360</v>
      </c>
      <c r="B1" s="2431"/>
      <c r="C1" s="2431"/>
      <c r="D1" s="2431"/>
      <c r="E1" s="2431"/>
      <c r="F1" s="2431"/>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32" t="s">
        <v>1526</v>
      </c>
      <c r="B5" s="2433"/>
      <c r="C5" s="2434"/>
      <c r="D5" s="2434"/>
      <c r="E5" s="2434"/>
      <c r="F5" s="2434"/>
      <c r="G5" s="1500"/>
      <c r="L5" s="1500"/>
      <c r="M5" s="1844"/>
      <c r="N5" s="1844"/>
      <c r="O5" s="1844"/>
    </row>
    <row r="6" spans="1:15" ht="12" customHeight="1" x14ac:dyDescent="0.25">
      <c r="A6" s="1473"/>
      <c r="B6" s="1474"/>
      <c r="C6" s="2435" t="str">
        <f>COVER!A17</f>
        <v>Marengo CHSD 154</v>
      </c>
      <c r="D6" s="2435"/>
      <c r="E6" s="2435"/>
      <c r="F6" s="1475"/>
      <c r="G6" s="1500"/>
      <c r="L6" s="1500"/>
      <c r="M6" s="1844"/>
      <c r="N6" s="1844"/>
      <c r="O6" s="1844"/>
    </row>
    <row r="7" spans="1:15" ht="11.25" customHeight="1" thickBot="1" x14ac:dyDescent="0.3">
      <c r="A7" s="1473"/>
      <c r="B7" s="1474"/>
      <c r="C7" s="2436">
        <f>COVER!A13</f>
        <v>44063154016</v>
      </c>
      <c r="D7" s="2436"/>
      <c r="E7" s="2436"/>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t="s">
        <v>2015</v>
      </c>
      <c r="D11" s="1488" t="s">
        <v>2015</v>
      </c>
      <c r="E11" s="1489" t="s">
        <v>2015</v>
      </c>
      <c r="F11" s="1924">
        <v>1</v>
      </c>
      <c r="G11" s="1500"/>
      <c r="H11" s="1500">
        <f>IF(C11="X",5,0)</f>
        <v>5</v>
      </c>
      <c r="I11" s="1500">
        <f>IF(D11="X",5,0)</f>
        <v>5</v>
      </c>
      <c r="J11" s="1500">
        <f>IF(E11="X",5,0)</f>
        <v>5</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t="s">
        <v>2015</v>
      </c>
      <c r="D13" s="1488" t="s">
        <v>2015</v>
      </c>
      <c r="E13" s="1491" t="s">
        <v>2015</v>
      </c>
      <c r="F13" s="1924">
        <v>1</v>
      </c>
      <c r="G13" s="1500"/>
      <c r="H13" s="1500">
        <f t="shared" si="0"/>
        <v>5</v>
      </c>
      <c r="I13" s="1500">
        <f t="shared" si="1"/>
        <v>5</v>
      </c>
      <c r="J13" s="1500">
        <f t="shared" si="2"/>
        <v>5</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t="s">
        <v>2015</v>
      </c>
      <c r="D16" s="1488" t="s">
        <v>2015</v>
      </c>
      <c r="E16" s="1491" t="s">
        <v>2015</v>
      </c>
      <c r="F16" s="1490" t="s">
        <v>2029</v>
      </c>
      <c r="G16" s="1500"/>
      <c r="H16" s="1500">
        <f t="shared" si="0"/>
        <v>5</v>
      </c>
      <c r="I16" s="1500">
        <f t="shared" si="1"/>
        <v>5</v>
      </c>
      <c r="J16" s="1500">
        <f t="shared" si="2"/>
        <v>5</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2015</v>
      </c>
      <c r="D19" s="1488" t="s">
        <v>2015</v>
      </c>
      <c r="E19" s="1491" t="s">
        <v>2015</v>
      </c>
      <c r="F19" s="1490" t="s">
        <v>2030</v>
      </c>
      <c r="G19" s="1500"/>
      <c r="H19" s="1500">
        <f t="shared" si="0"/>
        <v>5</v>
      </c>
      <c r="I19" s="1500">
        <f t="shared" si="1"/>
        <v>5</v>
      </c>
      <c r="J19" s="1500">
        <f t="shared" si="2"/>
        <v>5</v>
      </c>
      <c r="L19" s="1500"/>
      <c r="M19" s="1844"/>
      <c r="N19" s="1844"/>
      <c r="O19" s="1844"/>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t="s">
        <v>2015</v>
      </c>
      <c r="D24" s="1488" t="s">
        <v>2015</v>
      </c>
      <c r="E24" s="1491" t="s">
        <v>2015</v>
      </c>
      <c r="F24" s="1924">
        <v>1</v>
      </c>
      <c r="G24" s="1500"/>
      <c r="H24" s="1500">
        <f t="shared" si="0"/>
        <v>5</v>
      </c>
      <c r="I24" s="1500">
        <f t="shared" si="1"/>
        <v>5</v>
      </c>
      <c r="J24" s="1500">
        <f t="shared" si="2"/>
        <v>5</v>
      </c>
      <c r="L24" s="1500"/>
      <c r="M24" s="1844"/>
      <c r="N24" s="1844"/>
      <c r="O24" s="1844"/>
    </row>
    <row r="25" spans="1:15" ht="12" customHeight="1" x14ac:dyDescent="0.2">
      <c r="A25" s="1486" t="s">
        <v>1513</v>
      </c>
      <c r="B25" s="1487"/>
      <c r="C25" s="1488" t="s">
        <v>2015</v>
      </c>
      <c r="D25" s="1488" t="s">
        <v>2015</v>
      </c>
      <c r="E25" s="1491" t="s">
        <v>2015</v>
      </c>
      <c r="F25" s="1924">
        <v>1</v>
      </c>
      <c r="G25" s="1500"/>
      <c r="H25" s="1500">
        <f t="shared" si="0"/>
        <v>5</v>
      </c>
      <c r="I25" s="1500">
        <f t="shared" si="1"/>
        <v>5</v>
      </c>
      <c r="J25" s="1500">
        <f t="shared" si="2"/>
        <v>5</v>
      </c>
      <c r="L25" s="1500"/>
      <c r="M25" s="1844"/>
      <c r="N25" s="1844"/>
      <c r="O25" s="1844"/>
    </row>
    <row r="26" spans="1:15" ht="12" customHeight="1" x14ac:dyDescent="0.2">
      <c r="A26" s="1486" t="s">
        <v>1514</v>
      </c>
      <c r="B26" s="1487"/>
      <c r="C26" s="1488" t="s">
        <v>2015</v>
      </c>
      <c r="D26" s="1488" t="s">
        <v>2015</v>
      </c>
      <c r="E26" s="1491" t="s">
        <v>2015</v>
      </c>
      <c r="F26" s="1490" t="s">
        <v>2031</v>
      </c>
      <c r="G26" s="1500"/>
      <c r="H26" s="1500">
        <f t="shared" si="0"/>
        <v>5</v>
      </c>
      <c r="I26" s="1500">
        <f t="shared" si="1"/>
        <v>5</v>
      </c>
      <c r="J26" s="1500">
        <f t="shared" si="2"/>
        <v>5</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t="s">
        <v>2015</v>
      </c>
      <c r="F29" s="1924">
        <v>1</v>
      </c>
      <c r="G29" s="1500"/>
      <c r="H29" s="1500">
        <f t="shared" si="0"/>
        <v>0</v>
      </c>
      <c r="I29" s="1500">
        <f t="shared" si="1"/>
        <v>0</v>
      </c>
      <c r="J29" s="1500">
        <f t="shared" si="2"/>
        <v>5</v>
      </c>
      <c r="L29" s="1500"/>
      <c r="M29" s="1844"/>
      <c r="N29" s="1844"/>
      <c r="O29" s="1844"/>
    </row>
    <row r="30" spans="1:15" ht="12" customHeight="1" x14ac:dyDescent="0.2">
      <c r="A30" s="1486" t="s">
        <v>1518</v>
      </c>
      <c r="B30" s="1487"/>
      <c r="C30" s="1488" t="s">
        <v>2015</v>
      </c>
      <c r="D30" s="1488"/>
      <c r="E30" s="1491"/>
      <c r="F30" s="1924">
        <v>1</v>
      </c>
      <c r="G30" s="1500"/>
      <c r="H30" s="1500">
        <f t="shared" si="0"/>
        <v>5</v>
      </c>
      <c r="I30" s="1500">
        <f t="shared" si="1"/>
        <v>0</v>
      </c>
      <c r="J30" s="1500">
        <f t="shared" si="2"/>
        <v>0</v>
      </c>
      <c r="L30" s="1500"/>
      <c r="M30" s="1844"/>
      <c r="N30" s="1844"/>
      <c r="O30" s="1844"/>
    </row>
    <row r="31" spans="1:15" ht="12" customHeight="1" x14ac:dyDescent="0.2">
      <c r="A31" s="1486" t="s">
        <v>1519</v>
      </c>
      <c r="B31" s="1487"/>
      <c r="C31" s="1488" t="s">
        <v>2015</v>
      </c>
      <c r="D31" s="1488" t="s">
        <v>2015</v>
      </c>
      <c r="E31" s="1491"/>
      <c r="F31" s="1490" t="s">
        <v>2032</v>
      </c>
      <c r="G31" s="1500"/>
      <c r="H31" s="1500">
        <f t="shared" si="0"/>
        <v>5</v>
      </c>
      <c r="I31" s="1500">
        <f t="shared" si="1"/>
        <v>5</v>
      </c>
      <c r="J31" s="1500">
        <f t="shared" si="2"/>
        <v>0</v>
      </c>
      <c r="L31" s="1845"/>
      <c r="M31" s="1844"/>
      <c r="N31" s="1844"/>
      <c r="O31" s="1844"/>
    </row>
    <row r="32" spans="1:15" ht="12" customHeight="1" x14ac:dyDescent="0.2">
      <c r="A32" s="1486" t="s">
        <v>1520</v>
      </c>
      <c r="B32" s="1487"/>
      <c r="C32" s="1488" t="s">
        <v>2015</v>
      </c>
      <c r="D32" s="1488" t="s">
        <v>2015</v>
      </c>
      <c r="E32" s="1491"/>
      <c r="F32" s="1490" t="s">
        <v>2033</v>
      </c>
      <c r="G32" s="1500"/>
      <c r="H32" s="1500">
        <f t="shared" si="0"/>
        <v>5</v>
      </c>
      <c r="I32" s="1500">
        <f t="shared" si="1"/>
        <v>5</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50</v>
      </c>
      <c r="I34" s="1500">
        <f>SUM(I11:I32)</f>
        <v>45</v>
      </c>
      <c r="J34" s="1500">
        <f>SUM(J11:J32)</f>
        <v>40</v>
      </c>
      <c r="K34" s="1500">
        <f>SUM(H34:J34)</f>
        <v>135</v>
      </c>
      <c r="L34" s="1500"/>
      <c r="M34" s="1844"/>
      <c r="N34" s="1844"/>
      <c r="O34" s="1844"/>
    </row>
    <row r="35" spans="1:15" ht="12" customHeight="1" x14ac:dyDescent="0.2">
      <c r="A35" s="1493" t="s">
        <v>1373</v>
      </c>
      <c r="B35" s="1494"/>
      <c r="C35" s="2437"/>
      <c r="D35" s="2437"/>
      <c r="E35" s="2437"/>
      <c r="F35" s="2438"/>
    </row>
    <row r="36" spans="1:15" ht="12" customHeight="1" x14ac:dyDescent="0.2">
      <c r="A36" s="2420"/>
      <c r="B36" s="2421"/>
      <c r="C36" s="2421"/>
      <c r="D36" s="2421"/>
      <c r="E36" s="2421"/>
      <c r="F36" s="2422"/>
    </row>
    <row r="37" spans="1:15" ht="12" customHeight="1" x14ac:dyDescent="0.2">
      <c r="A37" s="2420"/>
      <c r="B37" s="2421"/>
      <c r="C37" s="2421"/>
      <c r="D37" s="2421"/>
      <c r="E37" s="2421"/>
      <c r="F37" s="2422"/>
    </row>
    <row r="38" spans="1:15" ht="12" customHeight="1" x14ac:dyDescent="0.2">
      <c r="A38" s="2423"/>
      <c r="B38" s="2424"/>
      <c r="C38" s="2424"/>
      <c r="D38" s="2424"/>
      <c r="E38" s="2424"/>
      <c r="F38" s="2425"/>
    </row>
    <row r="39" spans="1:15" ht="4.5" hidden="1" customHeight="1" x14ac:dyDescent="0.2">
      <c r="A39" s="1495"/>
      <c r="B39" s="1495"/>
      <c r="C39" s="1495"/>
      <c r="D39" s="1495"/>
      <c r="E39" s="1495"/>
      <c r="F39" s="1495"/>
    </row>
    <row r="40" spans="1:15" s="1492" customFormat="1" ht="12" customHeight="1" x14ac:dyDescent="0.25">
      <c r="A40" s="1496" t="s">
        <v>1372</v>
      </c>
      <c r="B40" s="1497"/>
      <c r="C40" s="2426"/>
      <c r="D40" s="2426"/>
      <c r="E40" s="2426"/>
      <c r="F40" s="2427"/>
      <c r="H40" s="1501"/>
      <c r="I40" s="1501"/>
      <c r="J40" s="1501"/>
      <c r="K40" s="1501"/>
    </row>
    <row r="41" spans="1:15" s="1492" customFormat="1" ht="12" customHeight="1" x14ac:dyDescent="0.25">
      <c r="A41" s="2428" t="s">
        <v>2034</v>
      </c>
      <c r="B41" s="2429"/>
      <c r="C41" s="2429"/>
      <c r="D41" s="2429"/>
      <c r="E41" s="2429"/>
      <c r="F41" s="2430"/>
      <c r="H41" s="1501"/>
      <c r="I41" s="1501"/>
      <c r="J41" s="1501"/>
      <c r="K41" s="1501"/>
    </row>
    <row r="42" spans="1:15" s="1492" customFormat="1" ht="12" customHeight="1" x14ac:dyDescent="0.25">
      <c r="A42" s="2428"/>
      <c r="B42" s="2429"/>
      <c r="C42" s="2429"/>
      <c r="D42" s="2429"/>
      <c r="E42" s="2429"/>
      <c r="F42" s="2430"/>
      <c r="H42" s="1501"/>
      <c r="I42" s="1501"/>
      <c r="J42" s="1501"/>
      <c r="K42" s="1501"/>
    </row>
    <row r="43" spans="1:15" s="1492" customFormat="1" ht="15" x14ac:dyDescent="0.25">
      <c r="A43" s="2417"/>
      <c r="B43" s="2418"/>
      <c r="C43" s="2418"/>
      <c r="D43" s="2418"/>
      <c r="E43" s="2418"/>
      <c r="F43" s="2419"/>
      <c r="H43" s="1501"/>
      <c r="I43" s="1501"/>
      <c r="J43" s="1501"/>
      <c r="K43" s="1501"/>
    </row>
    <row r="44" spans="1:15" s="1492" customFormat="1" ht="12" hidden="1" customHeight="1" x14ac:dyDescent="0.25">
      <c r="A44" s="2417"/>
      <c r="B44" s="2418"/>
      <c r="C44" s="2418"/>
      <c r="D44" s="2418"/>
      <c r="E44" s="2418"/>
      <c r="F44" s="2419"/>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4E4E9-AEA5-4665-B47F-3618A50F251F}">
  <sheetPr>
    <tabColor rgb="FF92D050"/>
  </sheetPr>
  <dimension ref="A1:N72"/>
  <sheetViews>
    <sheetView showGridLines="0" topLeftCell="A46" zoomScaleNormal="100" workbookViewId="0">
      <selection activeCell="E67" sqref="E67"/>
    </sheetView>
  </sheetViews>
  <sheetFormatPr defaultColWidth="9.140625" defaultRowHeight="15" x14ac:dyDescent="0.25"/>
  <cols>
    <col min="1" max="1" width="2.7109375" style="1937" customWidth="1"/>
    <col min="2" max="2" width="3" style="1937" customWidth="1"/>
    <col min="3" max="3" width="38" style="1937" customWidth="1"/>
    <col min="4" max="4" width="7.7109375" style="1937" customWidth="1"/>
    <col min="5" max="5" width="10.7109375" style="1937" customWidth="1"/>
    <col min="6" max="6" width="11" style="1937" customWidth="1"/>
    <col min="7" max="8" width="9.140625" style="1937"/>
    <col min="9" max="9" width="10.85546875" style="1937" customWidth="1"/>
    <col min="10" max="10" width="12.42578125" style="1937" customWidth="1"/>
    <col min="11" max="11" width="9.140625" style="1937"/>
    <col min="12" max="12" width="13.140625" style="1937" customWidth="1"/>
    <col min="13" max="13" width="9.140625" style="1937"/>
    <col min="14" max="14" width="17.85546875" style="1937" customWidth="1"/>
    <col min="15" max="16384" width="9.140625" style="1937"/>
  </cols>
  <sheetData>
    <row r="1" spans="1:14" x14ac:dyDescent="0.25">
      <c r="A1" s="1932"/>
      <c r="B1" s="1933"/>
      <c r="C1" s="1933"/>
      <c r="D1" s="1933"/>
      <c r="E1" s="1933"/>
      <c r="F1" s="1933"/>
      <c r="G1" s="1934" t="s">
        <v>402</v>
      </c>
      <c r="H1" s="1935"/>
      <c r="I1" s="1933"/>
      <c r="J1" s="1933"/>
      <c r="K1" s="1933"/>
      <c r="L1" s="1933"/>
      <c r="M1" s="1933"/>
      <c r="N1" s="1936"/>
    </row>
    <row r="2" spans="1:14" x14ac:dyDescent="0.25">
      <c r="A2" s="1938"/>
      <c r="B2" s="847"/>
      <c r="C2" s="847"/>
      <c r="D2" s="847"/>
      <c r="E2" s="847"/>
      <c r="F2" s="847"/>
      <c r="G2" s="1931" t="s">
        <v>1999</v>
      </c>
      <c r="H2" s="1939"/>
      <c r="I2" s="847"/>
      <c r="J2" s="847"/>
      <c r="K2" s="847"/>
      <c r="L2" s="847"/>
      <c r="M2" s="847"/>
      <c r="N2" s="1940"/>
    </row>
    <row r="3" spans="1:14" x14ac:dyDescent="0.25">
      <c r="A3" s="1938"/>
      <c r="B3" s="847"/>
      <c r="C3" s="847"/>
      <c r="D3" s="847"/>
      <c r="E3" s="847"/>
      <c r="F3" s="847"/>
      <c r="G3" s="1931" t="s">
        <v>403</v>
      </c>
      <c r="H3" s="847"/>
      <c r="I3" s="847"/>
      <c r="J3" s="847"/>
      <c r="K3" s="847"/>
      <c r="L3" s="847"/>
      <c r="M3" s="847"/>
      <c r="N3" s="1940"/>
    </row>
    <row r="4" spans="1:14" x14ac:dyDescent="0.25">
      <c r="A4" s="1938"/>
      <c r="B4" s="847"/>
      <c r="C4" s="847"/>
      <c r="D4" s="847"/>
      <c r="E4" s="847"/>
      <c r="F4" s="847"/>
      <c r="G4" s="1931" t="s">
        <v>862</v>
      </c>
      <c r="H4" s="847"/>
      <c r="I4" s="847"/>
      <c r="J4" s="847"/>
      <c r="K4" s="847"/>
      <c r="L4" s="847"/>
      <c r="M4" s="847"/>
      <c r="N4" s="1940"/>
    </row>
    <row r="5" spans="1:14" x14ac:dyDescent="0.25">
      <c r="A5" s="1938"/>
      <c r="B5" s="847"/>
      <c r="C5" s="847"/>
      <c r="D5" s="847"/>
      <c r="E5" s="847"/>
      <c r="F5" s="1931"/>
      <c r="G5" s="1931"/>
      <c r="H5" s="847"/>
      <c r="I5" s="847"/>
      <c r="J5" s="847"/>
      <c r="K5" s="847"/>
      <c r="L5" s="847"/>
      <c r="M5" s="847"/>
      <c r="N5" s="1940"/>
    </row>
    <row r="6" spans="1:14" x14ac:dyDescent="0.25">
      <c r="A6" s="1941" t="s">
        <v>667</v>
      </c>
      <c r="B6" s="1370"/>
      <c r="C6" s="1370"/>
      <c r="D6" s="1370"/>
      <c r="E6" s="1371"/>
      <c r="F6" s="1942"/>
      <c r="G6" s="1931"/>
      <c r="H6" s="847"/>
      <c r="I6" s="1943" t="s">
        <v>1020</v>
      </c>
      <c r="J6" s="2481" t="str">
        <f>COVER!A17</f>
        <v>Marengo CHSD 154</v>
      </c>
      <c r="K6" s="2481"/>
      <c r="L6" s="2482"/>
      <c r="M6" s="847"/>
      <c r="N6" s="1940"/>
    </row>
    <row r="7" spans="1:14" x14ac:dyDescent="0.25">
      <c r="A7" s="2483" t="s">
        <v>863</v>
      </c>
      <c r="B7" s="2484"/>
      <c r="C7" s="2484"/>
      <c r="D7" s="2484"/>
      <c r="E7" s="2485"/>
      <c r="F7" s="1944"/>
      <c r="G7" s="847"/>
      <c r="H7" s="847"/>
      <c r="I7" s="1943" t="s">
        <v>369</v>
      </c>
      <c r="J7" s="2486">
        <f>COVER!A13</f>
        <v>44063154016</v>
      </c>
      <c r="K7" s="2486"/>
      <c r="L7" s="2486"/>
      <c r="M7" s="847"/>
      <c r="N7" s="1940"/>
    </row>
    <row r="8" spans="1:14" x14ac:dyDescent="0.25">
      <c r="A8" s="1945"/>
      <c r="B8" s="1946"/>
      <c r="C8" s="1946"/>
      <c r="D8" s="1946"/>
      <c r="E8" s="1947"/>
      <c r="F8" s="1948"/>
      <c r="G8" s="1949"/>
      <c r="H8" s="1949"/>
      <c r="I8" s="1949"/>
      <c r="J8" s="1949"/>
      <c r="K8" s="1949"/>
      <c r="L8" s="1949"/>
      <c r="M8" s="847"/>
      <c r="N8" s="1940"/>
    </row>
    <row r="9" spans="1:14" x14ac:dyDescent="0.25">
      <c r="A9" s="1950"/>
      <c r="B9" s="1951"/>
      <c r="C9" s="1951"/>
      <c r="D9" s="1952"/>
      <c r="E9" s="1953" t="s">
        <v>2059</v>
      </c>
      <c r="F9" s="1954"/>
      <c r="G9" s="1954"/>
      <c r="H9" s="1954"/>
      <c r="I9" s="1955" t="s">
        <v>2060</v>
      </c>
      <c r="J9" s="1954"/>
      <c r="K9" s="1954"/>
      <c r="L9" s="1956"/>
      <c r="M9" s="847"/>
      <c r="N9" s="1940"/>
    </row>
    <row r="10" spans="1:14" x14ac:dyDescent="0.25">
      <c r="A10" s="1938"/>
      <c r="B10" s="847"/>
      <c r="C10" s="1931"/>
      <c r="D10" s="1957"/>
      <c r="E10" s="1958" t="s">
        <v>422</v>
      </c>
      <c r="F10" s="1959" t="s">
        <v>423</v>
      </c>
      <c r="G10" s="1960" t="s">
        <v>429</v>
      </c>
      <c r="H10" s="1961"/>
      <c r="I10" s="1959" t="s">
        <v>422</v>
      </c>
      <c r="J10" s="1959" t="s">
        <v>423</v>
      </c>
      <c r="K10" s="1960" t="s">
        <v>429</v>
      </c>
      <c r="L10" s="1959"/>
      <c r="M10" s="847"/>
      <c r="N10" s="1940"/>
    </row>
    <row r="11" spans="1:14" ht="51" x14ac:dyDescent="0.25">
      <c r="A11" s="2487" t="s">
        <v>478</v>
      </c>
      <c r="B11" s="2488"/>
      <c r="C11" s="2489"/>
      <c r="D11" s="1962" t="s">
        <v>865</v>
      </c>
      <c r="E11" s="1962" t="s">
        <v>64</v>
      </c>
      <c r="F11" s="1962" t="s">
        <v>6</v>
      </c>
      <c r="G11" s="1963" t="s">
        <v>2061</v>
      </c>
      <c r="H11" s="1964" t="s">
        <v>155</v>
      </c>
      <c r="I11" s="1962" t="s">
        <v>64</v>
      </c>
      <c r="J11" s="1962" t="s">
        <v>6</v>
      </c>
      <c r="K11" s="1963" t="s">
        <v>1998</v>
      </c>
      <c r="L11" s="1964" t="s">
        <v>155</v>
      </c>
      <c r="M11" s="847"/>
      <c r="N11" s="1940"/>
    </row>
    <row r="12" spans="1:14" x14ac:dyDescent="0.25">
      <c r="A12" s="1965">
        <v>1</v>
      </c>
      <c r="B12" s="1966" t="s">
        <v>812</v>
      </c>
      <c r="C12" s="1967"/>
      <c r="D12" s="1968">
        <v>2320</v>
      </c>
      <c r="E12" s="1969">
        <f>'Expenditures 15-22'!K50</f>
        <v>117590</v>
      </c>
      <c r="F12" s="1970"/>
      <c r="G12" s="1971">
        <f>G68</f>
        <v>850</v>
      </c>
      <c r="H12" s="1972">
        <f t="shared" ref="H12:H18" si="0">SUM(E12:G12)</f>
        <v>118440</v>
      </c>
      <c r="I12" s="1973">
        <v>122345</v>
      </c>
      <c r="J12" s="1970"/>
      <c r="K12" s="1973"/>
      <c r="L12" s="1972">
        <f t="shared" ref="L12:L18" si="1">SUM(I12:K12)</f>
        <v>122345</v>
      </c>
      <c r="M12" s="847"/>
      <c r="N12" s="1940"/>
    </row>
    <row r="13" spans="1:14" x14ac:dyDescent="0.25">
      <c r="A13" s="1965">
        <v>2</v>
      </c>
      <c r="B13" s="1966" t="s">
        <v>42</v>
      </c>
      <c r="C13" s="1967"/>
      <c r="D13" s="1968">
        <v>2330</v>
      </c>
      <c r="E13" s="1969">
        <f>'Expenditures 15-22'!K51</f>
        <v>127036</v>
      </c>
      <c r="F13" s="1970"/>
      <c r="G13" s="1971">
        <f>H68</f>
        <v>0</v>
      </c>
      <c r="H13" s="1972">
        <f t="shared" si="0"/>
        <v>127036</v>
      </c>
      <c r="I13" s="1973">
        <v>130725</v>
      </c>
      <c r="J13" s="1970"/>
      <c r="K13" s="1973"/>
      <c r="L13" s="1972">
        <f t="shared" si="1"/>
        <v>130725</v>
      </c>
      <c r="M13" s="847"/>
      <c r="N13" s="1940"/>
    </row>
    <row r="14" spans="1:14" x14ac:dyDescent="0.25">
      <c r="A14" s="1965">
        <v>3</v>
      </c>
      <c r="B14" s="1966" t="s">
        <v>43</v>
      </c>
      <c r="C14" s="1967"/>
      <c r="D14" s="1974">
        <v>2490</v>
      </c>
      <c r="E14" s="1969">
        <f>'Expenditures 15-22'!K56</f>
        <v>23320</v>
      </c>
      <c r="F14" s="1970"/>
      <c r="G14" s="1971">
        <f>I68</f>
        <v>0</v>
      </c>
      <c r="H14" s="1972">
        <f t="shared" si="0"/>
        <v>23320</v>
      </c>
      <c r="I14" s="1973">
        <v>24370</v>
      </c>
      <c r="J14" s="1970"/>
      <c r="K14" s="1973"/>
      <c r="L14" s="1972">
        <f t="shared" si="1"/>
        <v>24370</v>
      </c>
      <c r="M14" s="847"/>
      <c r="N14" s="1940"/>
    </row>
    <row r="15" spans="1:14" x14ac:dyDescent="0.25">
      <c r="A15" s="1965">
        <v>4</v>
      </c>
      <c r="B15" s="1966" t="s">
        <v>1058</v>
      </c>
      <c r="C15" s="1967"/>
      <c r="D15" s="1968">
        <v>2510</v>
      </c>
      <c r="E15" s="1969">
        <f>'Expenditures 15-22'!K59</f>
        <v>100957</v>
      </c>
      <c r="F15" s="1969">
        <f>'Expenditures 15-22'!K122</f>
        <v>0</v>
      </c>
      <c r="G15" s="1971">
        <f>J68</f>
        <v>300</v>
      </c>
      <c r="H15" s="1972">
        <f t="shared" si="0"/>
        <v>101257</v>
      </c>
      <c r="I15" s="1973">
        <v>102920</v>
      </c>
      <c r="J15" s="1973"/>
      <c r="K15" s="1973"/>
      <c r="L15" s="1972">
        <f t="shared" si="1"/>
        <v>102920</v>
      </c>
      <c r="M15" s="847"/>
      <c r="N15" s="1940"/>
    </row>
    <row r="16" spans="1:14" x14ac:dyDescent="0.25">
      <c r="A16" s="1965">
        <v>5</v>
      </c>
      <c r="B16" s="1966" t="s">
        <v>101</v>
      </c>
      <c r="C16" s="1967"/>
      <c r="D16" s="1968">
        <v>2570</v>
      </c>
      <c r="E16" s="1969">
        <f>'Expenditures 15-22'!K64</f>
        <v>0</v>
      </c>
      <c r="F16" s="1970"/>
      <c r="G16" s="1971">
        <f>K68</f>
        <v>0</v>
      </c>
      <c r="H16" s="1972">
        <f t="shared" si="0"/>
        <v>0</v>
      </c>
      <c r="I16" s="1973"/>
      <c r="J16" s="1970"/>
      <c r="K16" s="1973"/>
      <c r="L16" s="1972">
        <f t="shared" si="1"/>
        <v>0</v>
      </c>
      <c r="M16" s="847"/>
      <c r="N16" s="1940"/>
    </row>
    <row r="17" spans="1:14" x14ac:dyDescent="0.25">
      <c r="A17" s="1965">
        <v>6</v>
      </c>
      <c r="B17" s="1966" t="s">
        <v>1050</v>
      </c>
      <c r="C17" s="1967"/>
      <c r="D17" s="1968">
        <v>2610</v>
      </c>
      <c r="E17" s="1969">
        <f>'Expenditures 15-22'!K67</f>
        <v>0</v>
      </c>
      <c r="F17" s="1970"/>
      <c r="G17" s="1971">
        <f>L68</f>
        <v>3409</v>
      </c>
      <c r="H17" s="1972">
        <f t="shared" si="0"/>
        <v>3409</v>
      </c>
      <c r="I17" s="1973"/>
      <c r="J17" s="1970"/>
      <c r="K17" s="1973"/>
      <c r="L17" s="1972">
        <f t="shared" si="1"/>
        <v>0</v>
      </c>
      <c r="M17" s="847"/>
      <c r="N17" s="1940"/>
    </row>
    <row r="18" spans="1:14" ht="28.5" customHeight="1" x14ac:dyDescent="0.25">
      <c r="A18" s="1975">
        <v>7</v>
      </c>
      <c r="B18" s="2490" t="s">
        <v>7</v>
      </c>
      <c r="C18" s="2490"/>
      <c r="D18" s="2491"/>
      <c r="E18" s="1973"/>
      <c r="F18" s="1973"/>
      <c r="G18" s="1973"/>
      <c r="H18" s="1972">
        <f t="shared" si="0"/>
        <v>0</v>
      </c>
      <c r="I18" s="1973"/>
      <c r="J18" s="1973"/>
      <c r="K18" s="1973"/>
      <c r="L18" s="1972">
        <f t="shared" si="1"/>
        <v>0</v>
      </c>
      <c r="M18" s="847"/>
      <c r="N18" s="1940"/>
    </row>
    <row r="19" spans="1:14" ht="15.75" thickBot="1" x14ac:dyDescent="0.3">
      <c r="A19" s="1965">
        <v>8</v>
      </c>
      <c r="B19" s="1976" t="s">
        <v>1150</v>
      </c>
      <c r="C19" s="847"/>
      <c r="D19" s="1977"/>
      <c r="E19" s="1978">
        <f t="shared" ref="E19:L19" si="2">SUM(E12:E17)-E18</f>
        <v>368903</v>
      </c>
      <c r="F19" s="1978">
        <f t="shared" si="2"/>
        <v>0</v>
      </c>
      <c r="G19" s="1978">
        <f t="shared" ref="G19" si="3">SUM(G12:G17)-G18</f>
        <v>4559</v>
      </c>
      <c r="H19" s="1978">
        <f t="shared" si="2"/>
        <v>373462</v>
      </c>
      <c r="I19" s="1978">
        <f t="shared" si="2"/>
        <v>380360</v>
      </c>
      <c r="J19" s="1978">
        <f t="shared" si="2"/>
        <v>0</v>
      </c>
      <c r="K19" s="1978">
        <f t="shared" si="2"/>
        <v>0</v>
      </c>
      <c r="L19" s="1978">
        <f t="shared" si="2"/>
        <v>380360</v>
      </c>
      <c r="M19" s="847"/>
      <c r="N19" s="1940"/>
    </row>
    <row r="20" spans="1:14" ht="15.75" thickTop="1" x14ac:dyDescent="0.25">
      <c r="A20" s="1965">
        <v>9</v>
      </c>
      <c r="B20" s="2479" t="s">
        <v>2062</v>
      </c>
      <c r="C20" s="2479"/>
      <c r="D20" s="2480"/>
      <c r="E20" s="1979"/>
      <c r="F20" s="1979"/>
      <c r="G20" s="1979"/>
      <c r="H20" s="1979"/>
      <c r="I20" s="1979"/>
      <c r="J20" s="1979"/>
      <c r="K20" s="1979"/>
      <c r="L20" s="1980">
        <f>IF(AND(H19&gt;0,L19&gt;0),(((L19-H19)/H19)),"Enter Budget Data")</f>
        <v>1.8470420015958784E-2</v>
      </c>
      <c r="M20" s="847"/>
      <c r="N20" s="1940"/>
    </row>
    <row r="21" spans="1:14" x14ac:dyDescent="0.25">
      <c r="A21" s="1981" t="s">
        <v>194</v>
      </c>
      <c r="B21" s="294" t="s">
        <v>2063</v>
      </c>
      <c r="C21" s="847"/>
      <c r="D21" s="1982"/>
      <c r="E21" s="1983"/>
      <c r="F21" s="1984"/>
      <c r="G21" s="1984"/>
      <c r="H21" s="1984"/>
      <c r="I21" s="1984"/>
      <c r="J21" s="1984"/>
      <c r="K21" s="1984"/>
      <c r="L21" s="1985"/>
      <c r="M21" s="847"/>
      <c r="N21" s="1940"/>
    </row>
    <row r="22" spans="1:14" x14ac:dyDescent="0.25">
      <c r="A22" s="1938"/>
      <c r="B22" s="1986"/>
      <c r="C22" s="847"/>
      <c r="D22" s="847"/>
      <c r="E22" s="847"/>
      <c r="F22" s="847"/>
      <c r="G22" s="847"/>
      <c r="H22" s="847"/>
      <c r="I22" s="847"/>
      <c r="J22" s="847"/>
      <c r="K22" s="847"/>
      <c r="L22" s="847"/>
      <c r="M22" s="847"/>
      <c r="N22" s="1940"/>
    </row>
    <row r="23" spans="1:14" x14ac:dyDescent="0.25">
      <c r="A23" s="1987" t="s">
        <v>132</v>
      </c>
      <c r="B23" s="1986"/>
      <c r="C23" s="847"/>
      <c r="D23" s="847"/>
      <c r="E23" s="847"/>
      <c r="F23" s="847"/>
      <c r="G23" s="847"/>
      <c r="H23" s="847"/>
      <c r="I23" s="847"/>
      <c r="J23" s="847"/>
      <c r="K23" s="847"/>
      <c r="L23" s="847"/>
      <c r="M23" s="847"/>
      <c r="N23" s="1940"/>
    </row>
    <row r="24" spans="1:14" x14ac:dyDescent="0.25">
      <c r="A24" s="1988" t="s">
        <v>2064</v>
      </c>
      <c r="B24" s="1989"/>
      <c r="C24" s="1990"/>
      <c r="D24" s="1990"/>
      <c r="E24" s="1990"/>
      <c r="F24" s="1990"/>
      <c r="G24" s="1990"/>
      <c r="H24" s="1990"/>
      <c r="I24" s="1990"/>
      <c r="J24" s="1990"/>
      <c r="K24" s="1990"/>
      <c r="L24" s="847"/>
      <c r="M24" s="847"/>
      <c r="N24" s="1940"/>
    </row>
    <row r="25" spans="1:14" x14ac:dyDescent="0.25">
      <c r="A25" s="1988" t="s">
        <v>2065</v>
      </c>
      <c r="B25" s="1989"/>
      <c r="C25" s="1990"/>
      <c r="D25" s="1990"/>
      <c r="E25" s="1990"/>
      <c r="F25" s="1990"/>
      <c r="G25" s="1990"/>
      <c r="H25" s="1990"/>
      <c r="I25" s="1990"/>
      <c r="J25" s="1990"/>
      <c r="K25" s="1990"/>
      <c r="L25" s="847"/>
      <c r="M25" s="847"/>
      <c r="N25" s="1940"/>
    </row>
    <row r="26" spans="1:14" x14ac:dyDescent="0.25">
      <c r="A26" s="1991"/>
      <c r="B26" s="1986"/>
      <c r="C26" s="847"/>
      <c r="D26" s="847"/>
      <c r="E26" s="847"/>
      <c r="F26" s="847"/>
      <c r="G26" s="847"/>
      <c r="H26" s="847"/>
      <c r="I26" s="847"/>
      <c r="J26" s="847"/>
      <c r="K26" s="847"/>
      <c r="L26" s="847"/>
      <c r="M26" s="847"/>
      <c r="N26" s="1940"/>
    </row>
    <row r="27" spans="1:14" x14ac:dyDescent="0.25">
      <c r="A27" s="1938"/>
      <c r="B27" s="1986"/>
      <c r="C27" s="2465"/>
      <c r="D27" s="2465"/>
      <c r="E27" s="1992"/>
      <c r="F27" s="2466"/>
      <c r="G27" s="2466"/>
      <c r="H27" s="2466"/>
      <c r="I27" s="847"/>
      <c r="J27" s="847"/>
      <c r="K27" s="847"/>
      <c r="L27" s="847"/>
      <c r="M27" s="847"/>
      <c r="N27" s="1940"/>
    </row>
    <row r="28" spans="1:14" x14ac:dyDescent="0.25">
      <c r="A28" s="1938"/>
      <c r="B28" s="1986"/>
      <c r="C28" s="1993" t="s">
        <v>1025</v>
      </c>
      <c r="D28" s="1994"/>
      <c r="E28" s="1995"/>
      <c r="F28" s="2467" t="s">
        <v>1489</v>
      </c>
      <c r="G28" s="2467"/>
      <c r="H28" s="2467"/>
      <c r="I28" s="847"/>
      <c r="J28" s="847"/>
      <c r="K28" s="847"/>
      <c r="L28" s="847"/>
      <c r="M28" s="847"/>
      <c r="N28" s="1940"/>
    </row>
    <row r="29" spans="1:14" x14ac:dyDescent="0.25">
      <c r="A29" s="1938"/>
      <c r="B29" s="1986"/>
      <c r="C29" s="2468"/>
      <c r="D29" s="2468"/>
      <c r="E29" s="846"/>
      <c r="F29" s="2468"/>
      <c r="G29" s="2468"/>
      <c r="H29" s="2468"/>
      <c r="I29" s="847"/>
      <c r="J29" s="847"/>
      <c r="K29" s="847"/>
      <c r="L29" s="847"/>
      <c r="M29" s="847"/>
      <c r="N29" s="1940"/>
    </row>
    <row r="30" spans="1:14" x14ac:dyDescent="0.25">
      <c r="A30" s="1938"/>
      <c r="B30" s="1986"/>
      <c r="C30" s="1996" t="s">
        <v>1541</v>
      </c>
      <c r="D30" s="847"/>
      <c r="E30" s="1997"/>
      <c r="F30" s="2469" t="s">
        <v>1490</v>
      </c>
      <c r="G30" s="2469"/>
      <c r="H30" s="2469"/>
      <c r="I30" s="847"/>
      <c r="J30" s="847"/>
      <c r="K30" s="847"/>
      <c r="L30" s="847"/>
      <c r="M30" s="847"/>
      <c r="N30" s="1940"/>
    </row>
    <row r="31" spans="1:14" x14ac:dyDescent="0.25">
      <c r="A31" s="1938"/>
      <c r="B31" s="1986"/>
      <c r="C31" s="1998"/>
      <c r="D31" s="847"/>
      <c r="E31" s="1982"/>
      <c r="F31" s="1983"/>
      <c r="G31" s="1983"/>
      <c r="H31" s="1983"/>
      <c r="I31" s="847"/>
      <c r="J31" s="847"/>
      <c r="K31" s="847"/>
      <c r="L31" s="847"/>
      <c r="M31" s="847"/>
      <c r="N31" s="1940"/>
    </row>
    <row r="32" spans="1:14" x14ac:dyDescent="0.25">
      <c r="A32" s="1938"/>
      <c r="B32" s="1999" t="s">
        <v>1026</v>
      </c>
      <c r="C32" s="847"/>
      <c r="D32" s="847"/>
      <c r="E32" s="847"/>
      <c r="F32" s="847"/>
      <c r="G32" s="847"/>
      <c r="H32" s="847"/>
      <c r="I32" s="847"/>
      <c r="J32" s="847"/>
      <c r="K32" s="847"/>
      <c r="L32" s="847"/>
      <c r="M32" s="847"/>
      <c r="N32" s="1940"/>
    </row>
    <row r="33" spans="1:14" x14ac:dyDescent="0.25">
      <c r="A33" s="1938"/>
      <c r="B33" s="2000"/>
      <c r="C33" s="847"/>
      <c r="D33" s="847"/>
      <c r="E33" s="847"/>
      <c r="F33" s="847"/>
      <c r="G33" s="847"/>
      <c r="H33" s="847"/>
      <c r="I33" s="847"/>
      <c r="J33" s="847"/>
      <c r="K33" s="847"/>
      <c r="L33" s="847"/>
      <c r="M33" s="847"/>
      <c r="N33" s="1940"/>
    </row>
    <row r="34" spans="1:14" x14ac:dyDescent="0.25">
      <c r="A34" s="1938"/>
      <c r="B34" s="2001"/>
      <c r="C34" s="2470" t="s">
        <v>2066</v>
      </c>
      <c r="D34" s="2470"/>
      <c r="E34" s="2470"/>
      <c r="F34" s="2470"/>
      <c r="G34" s="2470"/>
      <c r="H34" s="2470"/>
      <c r="I34" s="2470"/>
      <c r="J34" s="2470"/>
      <c r="K34" s="2002"/>
      <c r="L34" s="847"/>
      <c r="M34" s="847"/>
      <c r="N34" s="1940"/>
    </row>
    <row r="35" spans="1:14" x14ac:dyDescent="0.25">
      <c r="A35" s="1938"/>
      <c r="B35" s="847"/>
      <c r="C35" s="2470"/>
      <c r="D35" s="2470"/>
      <c r="E35" s="2470"/>
      <c r="F35" s="2470"/>
      <c r="G35" s="2470"/>
      <c r="H35" s="2470"/>
      <c r="I35" s="2470"/>
      <c r="J35" s="2470"/>
      <c r="K35" s="2002"/>
      <c r="L35" s="847"/>
      <c r="M35" s="847"/>
      <c r="N35" s="1940"/>
    </row>
    <row r="36" spans="1:14" x14ac:dyDescent="0.25">
      <c r="A36" s="1938"/>
      <c r="B36" s="847"/>
      <c r="C36" s="2003"/>
      <c r="D36" s="847"/>
      <c r="E36" s="847"/>
      <c r="F36" s="847"/>
      <c r="G36" s="847"/>
      <c r="H36" s="847"/>
      <c r="I36" s="847"/>
      <c r="J36" s="847"/>
      <c r="K36" s="847"/>
      <c r="L36" s="847"/>
      <c r="M36" s="847"/>
      <c r="N36" s="1940"/>
    </row>
    <row r="37" spans="1:14" x14ac:dyDescent="0.25">
      <c r="A37" s="1938"/>
      <c r="B37" s="2001"/>
      <c r="C37" s="2470" t="s">
        <v>2067</v>
      </c>
      <c r="D37" s="2470"/>
      <c r="E37" s="2470"/>
      <c r="F37" s="2470"/>
      <c r="G37" s="2470"/>
      <c r="H37" s="2470"/>
      <c r="I37" s="2470"/>
      <c r="J37" s="2470"/>
      <c r="K37" s="2002"/>
      <c r="L37" s="838"/>
      <c r="M37" s="847"/>
      <c r="N37" s="1940"/>
    </row>
    <row r="38" spans="1:14" x14ac:dyDescent="0.25">
      <c r="A38" s="1938"/>
      <c r="B38" s="847"/>
      <c r="C38" s="2470"/>
      <c r="D38" s="2470"/>
      <c r="E38" s="2470"/>
      <c r="F38" s="2470"/>
      <c r="G38" s="2470"/>
      <c r="H38" s="2470"/>
      <c r="I38" s="2470"/>
      <c r="J38" s="2470"/>
      <c r="K38" s="2002"/>
      <c r="L38" s="838"/>
      <c r="M38" s="847"/>
      <c r="N38" s="1940"/>
    </row>
    <row r="39" spans="1:14" x14ac:dyDescent="0.25">
      <c r="A39" s="1938"/>
      <c r="B39" s="847"/>
      <c r="C39" s="2003"/>
      <c r="D39" s="847"/>
      <c r="E39" s="2004"/>
      <c r="F39" s="2005"/>
      <c r="G39" s="2005"/>
      <c r="H39" s="2004"/>
      <c r="I39" s="847"/>
      <c r="J39" s="847"/>
      <c r="K39" s="847"/>
      <c r="L39" s="847"/>
      <c r="M39" s="847"/>
      <c r="N39" s="1940"/>
    </row>
    <row r="40" spans="1:14" x14ac:dyDescent="0.25">
      <c r="A40" s="1938"/>
      <c r="B40" s="2001"/>
      <c r="C40" s="2471" t="s">
        <v>2068</v>
      </c>
      <c r="D40" s="2472"/>
      <c r="E40" s="2472"/>
      <c r="F40" s="2472"/>
      <c r="G40" s="2472"/>
      <c r="H40" s="2472"/>
      <c r="I40" s="2472"/>
      <c r="J40" s="2472"/>
      <c r="K40" s="2006"/>
      <c r="L40" s="847"/>
      <c r="M40" s="847"/>
      <c r="N40" s="1940"/>
    </row>
    <row r="41" spans="1:14" x14ac:dyDescent="0.25">
      <c r="A41" s="1938"/>
      <c r="B41" s="847"/>
      <c r="C41" s="839"/>
      <c r="D41" s="839"/>
      <c r="E41" s="839"/>
      <c r="F41" s="839"/>
      <c r="G41" s="839"/>
      <c r="H41" s="839"/>
      <c r="I41" s="839"/>
      <c r="J41" s="839"/>
      <c r="K41" s="839"/>
      <c r="L41" s="847"/>
      <c r="M41" s="847"/>
      <c r="N41" s="1940"/>
    </row>
    <row r="42" spans="1:14" ht="15.75" thickBot="1" x14ac:dyDescent="0.3">
      <c r="A42" s="2007"/>
      <c r="B42" s="2008"/>
      <c r="C42" s="2008"/>
      <c r="D42" s="2008"/>
      <c r="E42" s="2008"/>
      <c r="F42" s="2008"/>
      <c r="G42" s="2008"/>
      <c r="H42" s="2008"/>
      <c r="I42" s="2008"/>
      <c r="J42" s="2008"/>
      <c r="K42" s="2008"/>
      <c r="L42" s="2008"/>
      <c r="M42" s="2008"/>
      <c r="N42" s="2009"/>
    </row>
    <row r="43" spans="1:14" ht="27" thickBot="1" x14ac:dyDescent="0.45">
      <c r="A43" s="2473" t="s">
        <v>2069</v>
      </c>
      <c r="B43" s="2474"/>
      <c r="C43" s="2474"/>
      <c r="D43" s="2474"/>
      <c r="E43" s="2474"/>
      <c r="F43" s="2474"/>
      <c r="G43" s="2474"/>
      <c r="H43" s="2474"/>
      <c r="I43" s="2474"/>
      <c r="J43" s="2474"/>
      <c r="K43" s="2474"/>
      <c r="L43" s="2474"/>
      <c r="M43" s="2474"/>
      <c r="N43" s="2475"/>
    </row>
    <row r="44" spans="1:14" x14ac:dyDescent="0.25">
      <c r="A44" s="2010"/>
      <c r="B44" s="2011"/>
      <c r="C44" s="2011"/>
      <c r="D44" s="2011"/>
      <c r="E44" s="2011"/>
      <c r="F44" s="2011"/>
      <c r="G44" s="2011"/>
      <c r="H44" s="2011"/>
      <c r="I44" s="2011"/>
      <c r="J44" s="2011"/>
      <c r="K44" s="2011"/>
      <c r="L44" s="2011"/>
      <c r="M44" s="2011"/>
      <c r="N44" s="2012"/>
    </row>
    <row r="45" spans="1:14" x14ac:dyDescent="0.25">
      <c r="A45" s="2010" t="s">
        <v>2070</v>
      </c>
      <c r="B45" s="2011"/>
      <c r="C45" s="2011"/>
      <c r="D45" s="2011"/>
      <c r="E45" s="2011"/>
      <c r="F45" s="2011"/>
      <c r="G45" s="2011"/>
      <c r="H45" s="2011"/>
      <c r="I45" s="2011"/>
      <c r="J45" s="2011"/>
      <c r="K45" s="2011"/>
      <c r="L45" s="2011"/>
      <c r="M45" s="2011"/>
      <c r="N45" s="2012"/>
    </row>
    <row r="46" spans="1:14" x14ac:dyDescent="0.25">
      <c r="A46" s="2476" t="s">
        <v>2071</v>
      </c>
      <c r="B46" s="2477"/>
      <c r="C46" s="2477"/>
      <c r="D46" s="2477"/>
      <c r="E46" s="2477"/>
      <c r="F46" s="2477"/>
      <c r="G46" s="2477"/>
      <c r="H46" s="2477"/>
      <c r="I46" s="2477"/>
      <c r="J46" s="2477"/>
      <c r="K46" s="2477"/>
      <c r="L46" s="2477"/>
      <c r="M46" s="2477"/>
      <c r="N46" s="2478"/>
    </row>
    <row r="47" spans="1:14" x14ac:dyDescent="0.25">
      <c r="A47" s="2476"/>
      <c r="B47" s="2477"/>
      <c r="C47" s="2477"/>
      <c r="D47" s="2477"/>
      <c r="E47" s="2477"/>
      <c r="F47" s="2477"/>
      <c r="G47" s="2477"/>
      <c r="H47" s="2477"/>
      <c r="I47" s="2477"/>
      <c r="J47" s="2477"/>
      <c r="K47" s="2477"/>
      <c r="L47" s="2477"/>
      <c r="M47" s="2477"/>
      <c r="N47" s="2478"/>
    </row>
    <row r="48" spans="1:14" x14ac:dyDescent="0.25">
      <c r="A48" s="2013"/>
      <c r="B48" s="2011"/>
      <c r="C48" s="2011"/>
      <c r="D48" s="2014"/>
      <c r="E48" s="2014"/>
      <c r="F48" s="2014"/>
      <c r="G48" s="2014"/>
      <c r="H48" s="2014"/>
      <c r="I48" s="2014"/>
      <c r="J48" s="2014"/>
      <c r="K48" s="2014"/>
      <c r="L48" s="2014"/>
      <c r="M48" s="2014"/>
      <c r="N48" s="2015"/>
    </row>
    <row r="49" spans="1:14" ht="15.75" x14ac:dyDescent="0.25">
      <c r="A49" s="2016" t="s">
        <v>2072</v>
      </c>
      <c r="B49" s="2017"/>
      <c r="C49" s="2017"/>
      <c r="D49" s="2018"/>
      <c r="E49" s="2018"/>
      <c r="F49" s="2018"/>
      <c r="G49" s="2018"/>
      <c r="H49" s="2018"/>
      <c r="I49" s="2018"/>
      <c r="J49" s="2018"/>
      <c r="K49" s="2018"/>
      <c r="L49" s="2018"/>
      <c r="M49" s="2018"/>
      <c r="N49" s="2019"/>
    </row>
    <row r="50" spans="1:14" x14ac:dyDescent="0.25">
      <c r="A50" s="2016" t="s">
        <v>2073</v>
      </c>
      <c r="B50" s="2011"/>
      <c r="C50" s="2011"/>
      <c r="D50" s="2011"/>
      <c r="E50" s="2011"/>
      <c r="F50" s="2011"/>
      <c r="G50" s="2011"/>
      <c r="H50" s="2011"/>
      <c r="I50" s="2011"/>
      <c r="J50" s="2011"/>
      <c r="K50" s="2011"/>
      <c r="L50" s="2011"/>
      <c r="M50" s="2011"/>
      <c r="N50" s="2012"/>
    </row>
    <row r="51" spans="1:14" x14ac:dyDescent="0.25">
      <c r="A51" s="2010"/>
      <c r="B51" s="2011"/>
      <c r="C51" s="2011"/>
      <c r="D51" s="2011"/>
      <c r="E51" s="2011"/>
      <c r="F51" s="2011"/>
      <c r="G51" s="2011"/>
      <c r="H51" s="2011"/>
      <c r="I51" s="2011"/>
      <c r="J51" s="2011"/>
      <c r="K51" s="2011"/>
      <c r="L51" s="2011"/>
      <c r="M51" s="2011"/>
      <c r="N51" s="2012"/>
    </row>
    <row r="52" spans="1:14" x14ac:dyDescent="0.25">
      <c r="A52" s="2010"/>
      <c r="B52" s="2011"/>
      <c r="C52" s="2011"/>
      <c r="D52" s="2011"/>
      <c r="E52" s="2011"/>
      <c r="F52" s="2011"/>
      <c r="G52" s="2011"/>
      <c r="H52" s="2011"/>
      <c r="I52" s="2011"/>
      <c r="J52" s="2011"/>
      <c r="K52" s="1943" t="s">
        <v>1020</v>
      </c>
      <c r="L52" s="2463" t="str">
        <f>J6</f>
        <v>Marengo CHSD 154</v>
      </c>
      <c r="M52" s="2463"/>
      <c r="N52" s="2464"/>
    </row>
    <row r="53" spans="1:14" x14ac:dyDescent="0.25">
      <c r="A53" s="2010"/>
      <c r="B53" s="2011"/>
      <c r="C53" s="2011"/>
      <c r="D53" s="2011"/>
      <c r="E53" s="2011"/>
      <c r="F53" s="2011"/>
      <c r="G53" s="2011"/>
      <c r="H53" s="2011"/>
      <c r="I53" s="2011"/>
      <c r="J53" s="2011"/>
      <c r="K53" s="1943" t="s">
        <v>369</v>
      </c>
      <c r="L53" s="2450">
        <f>J7</f>
        <v>44063154016</v>
      </c>
      <c r="M53" s="2450"/>
      <c r="N53" s="2451"/>
    </row>
    <row r="54" spans="1:14" ht="15.75" thickBot="1" x14ac:dyDescent="0.3">
      <c r="A54" s="2010"/>
      <c r="B54" s="2011"/>
      <c r="C54" s="2011"/>
      <c r="D54" s="2011"/>
      <c r="E54" s="2011"/>
      <c r="F54" s="2011"/>
      <c r="G54" s="2011"/>
      <c r="H54" s="2011"/>
      <c r="I54" s="2011"/>
      <c r="J54" s="2011"/>
      <c r="K54" s="2011"/>
      <c r="L54" s="2011"/>
      <c r="M54" s="2011"/>
      <c r="N54" s="2012"/>
    </row>
    <row r="55" spans="1:14" x14ac:dyDescent="0.25">
      <c r="A55" s="2452"/>
      <c r="B55" s="2453"/>
      <c r="C55" s="2453"/>
      <c r="D55" s="2020"/>
      <c r="E55" s="2020"/>
      <c r="F55" s="2020"/>
      <c r="G55" s="2454" t="s">
        <v>2074</v>
      </c>
      <c r="H55" s="2454"/>
      <c r="I55" s="2454"/>
      <c r="J55" s="2454"/>
      <c r="K55" s="2454"/>
      <c r="L55" s="2454"/>
      <c r="M55" s="2454"/>
      <c r="N55" s="2455"/>
    </row>
    <row r="56" spans="1:14" ht="64.5" x14ac:dyDescent="0.25">
      <c r="A56" s="2456" t="s">
        <v>2075</v>
      </c>
      <c r="B56" s="2457"/>
      <c r="C56" s="2458"/>
      <c r="D56" s="2021" t="s">
        <v>2076</v>
      </c>
      <c r="E56" s="2021" t="s">
        <v>2077</v>
      </c>
      <c r="F56" s="2022"/>
      <c r="G56" s="2021" t="s">
        <v>2078</v>
      </c>
      <c r="H56" s="2021" t="s">
        <v>2079</v>
      </c>
      <c r="I56" s="2021" t="s">
        <v>2080</v>
      </c>
      <c r="J56" s="2021" t="s">
        <v>2081</v>
      </c>
      <c r="K56" s="2021" t="s">
        <v>2082</v>
      </c>
      <c r="L56" s="2021" t="s">
        <v>2083</v>
      </c>
      <c r="M56" s="2021" t="s">
        <v>2084</v>
      </c>
      <c r="N56" s="2023" t="s">
        <v>2085</v>
      </c>
    </row>
    <row r="57" spans="1:14" ht="24" customHeight="1" x14ac:dyDescent="0.25">
      <c r="A57" s="2459" t="s">
        <v>296</v>
      </c>
      <c r="B57" s="2460"/>
      <c r="C57" s="2460"/>
      <c r="D57" s="2024">
        <v>2361</v>
      </c>
      <c r="E57" s="2025">
        <f>'Expenditures 15-22'!K319</f>
        <v>0</v>
      </c>
      <c r="F57" s="2026"/>
      <c r="G57" s="2027"/>
      <c r="H57" s="2028"/>
      <c r="I57" s="2028"/>
      <c r="J57" s="2028"/>
      <c r="K57" s="2028"/>
      <c r="L57" s="2028"/>
      <c r="M57" s="2028"/>
      <c r="N57" s="2029">
        <f>IF((SUM(G57:M57))=E57,SUM(G57:M57),"Column N does not agree with Column E")</f>
        <v>0</v>
      </c>
    </row>
    <row r="58" spans="1:14" ht="24.75" customHeight="1" x14ac:dyDescent="0.25">
      <c r="A58" s="2461" t="s">
        <v>2086</v>
      </c>
      <c r="B58" s="2462"/>
      <c r="C58" s="2462"/>
      <c r="D58" s="2030">
        <v>2362</v>
      </c>
      <c r="E58" s="2025">
        <f>'Expenditures 15-22'!K320</f>
        <v>0</v>
      </c>
      <c r="F58" s="2026"/>
      <c r="G58" s="2031"/>
      <c r="H58" s="2032"/>
      <c r="I58" s="2032"/>
      <c r="J58" s="2032"/>
      <c r="K58" s="2032"/>
      <c r="L58" s="2032"/>
      <c r="M58" s="2032"/>
      <c r="N58" s="2029">
        <f>IF((SUM(G58:M58))=E58,SUM(G58:M58),"Column N does not agree with Column E")</f>
        <v>0</v>
      </c>
    </row>
    <row r="59" spans="1:14" ht="24.75" customHeight="1" x14ac:dyDescent="0.25">
      <c r="A59" s="2443" t="s">
        <v>297</v>
      </c>
      <c r="B59" s="2444"/>
      <c r="C59" s="2444"/>
      <c r="D59" s="2030">
        <v>2363</v>
      </c>
      <c r="E59" s="2025">
        <f>'Expenditures 15-22'!K321</f>
        <v>0</v>
      </c>
      <c r="F59" s="2026"/>
      <c r="G59" s="2031"/>
      <c r="H59" s="2032"/>
      <c r="I59" s="2032"/>
      <c r="J59" s="2032"/>
      <c r="K59" s="2032"/>
      <c r="L59" s="2032"/>
      <c r="M59" s="2032"/>
      <c r="N59" s="2029">
        <f t="shared" ref="N59:N67" si="4">IF((SUM(G59:M59))=E59,SUM(G59:M59),"Column N does not agree with Column E")</f>
        <v>0</v>
      </c>
    </row>
    <row r="60" spans="1:14" ht="24.75" customHeight="1" x14ac:dyDescent="0.25">
      <c r="A60" s="2443" t="s">
        <v>236</v>
      </c>
      <c r="B60" s="2444"/>
      <c r="C60" s="2444"/>
      <c r="D60" s="2030">
        <v>2364</v>
      </c>
      <c r="E60" s="2025">
        <f>'Expenditures 15-22'!K322</f>
        <v>103217</v>
      </c>
      <c r="F60" s="2026"/>
      <c r="G60" s="2031">
        <v>850</v>
      </c>
      <c r="H60" s="2032"/>
      <c r="I60" s="2032"/>
      <c r="J60" s="2032">
        <v>300</v>
      </c>
      <c r="K60" s="2032"/>
      <c r="L60" s="2032">
        <v>3409</v>
      </c>
      <c r="M60" s="2032">
        <v>98658</v>
      </c>
      <c r="N60" s="2029">
        <f t="shared" si="4"/>
        <v>103217</v>
      </c>
    </row>
    <row r="61" spans="1:14" ht="24.75" customHeight="1" x14ac:dyDescent="0.25">
      <c r="A61" s="2443" t="s">
        <v>696</v>
      </c>
      <c r="B61" s="2444"/>
      <c r="C61" s="2444"/>
      <c r="D61" s="2030">
        <v>2365</v>
      </c>
      <c r="E61" s="2025">
        <f>'Expenditures 15-22'!K323</f>
        <v>0</v>
      </c>
      <c r="F61" s="2026"/>
      <c r="G61" s="2031"/>
      <c r="H61" s="2032"/>
      <c r="I61" s="2032"/>
      <c r="J61" s="2032"/>
      <c r="K61" s="2032"/>
      <c r="L61" s="2032"/>
      <c r="M61" s="2032"/>
      <c r="N61" s="2029">
        <f t="shared" si="4"/>
        <v>0</v>
      </c>
    </row>
    <row r="62" spans="1:14" ht="24.75" customHeight="1" x14ac:dyDescent="0.25">
      <c r="A62" s="2443" t="s">
        <v>237</v>
      </c>
      <c r="B62" s="2444"/>
      <c r="C62" s="2444"/>
      <c r="D62" s="2030">
        <v>2366</v>
      </c>
      <c r="E62" s="2025">
        <f>'Expenditures 15-22'!K324</f>
        <v>0</v>
      </c>
      <c r="F62" s="2026"/>
      <c r="G62" s="2031"/>
      <c r="H62" s="2032"/>
      <c r="I62" s="2032"/>
      <c r="J62" s="2032"/>
      <c r="K62" s="2032"/>
      <c r="L62" s="2032"/>
      <c r="M62" s="2032"/>
      <c r="N62" s="2029">
        <f t="shared" si="4"/>
        <v>0</v>
      </c>
    </row>
    <row r="63" spans="1:14" ht="24.75" customHeight="1" x14ac:dyDescent="0.25">
      <c r="A63" s="2461" t="s">
        <v>1021</v>
      </c>
      <c r="B63" s="2462"/>
      <c r="C63" s="2462"/>
      <c r="D63" s="2030">
        <v>2367</v>
      </c>
      <c r="E63" s="2025">
        <f>'Expenditures 15-22'!K325</f>
        <v>0</v>
      </c>
      <c r="F63" s="2026"/>
      <c r="G63" s="2031"/>
      <c r="H63" s="2032"/>
      <c r="I63" s="2032"/>
      <c r="J63" s="2032"/>
      <c r="K63" s="2032"/>
      <c r="L63" s="2032"/>
      <c r="M63" s="2032"/>
      <c r="N63" s="2029">
        <f t="shared" si="4"/>
        <v>0</v>
      </c>
    </row>
    <row r="64" spans="1:14" ht="24.75" customHeight="1" x14ac:dyDescent="0.25">
      <c r="A64" s="2443" t="s">
        <v>1022</v>
      </c>
      <c r="B64" s="2444"/>
      <c r="C64" s="2444"/>
      <c r="D64" s="2030">
        <v>2368</v>
      </c>
      <c r="E64" s="2025">
        <f>'Expenditures 15-22'!K326</f>
        <v>0</v>
      </c>
      <c r="F64" s="2026"/>
      <c r="G64" s="2031"/>
      <c r="H64" s="2032"/>
      <c r="I64" s="2032"/>
      <c r="J64" s="2032"/>
      <c r="K64" s="2032"/>
      <c r="L64" s="2032"/>
      <c r="M64" s="2032"/>
      <c r="N64" s="2029">
        <f t="shared" si="4"/>
        <v>0</v>
      </c>
    </row>
    <row r="65" spans="1:14" ht="24" customHeight="1" x14ac:dyDescent="0.25">
      <c r="A65" s="2443" t="s">
        <v>964</v>
      </c>
      <c r="B65" s="2444"/>
      <c r="C65" s="2444"/>
      <c r="D65" s="2030">
        <v>2369</v>
      </c>
      <c r="E65" s="2025">
        <f>'Expenditures 15-22'!K327</f>
        <v>0</v>
      </c>
      <c r="F65" s="2026"/>
      <c r="G65" s="2031"/>
      <c r="H65" s="2032"/>
      <c r="I65" s="2032"/>
      <c r="J65" s="2032"/>
      <c r="K65" s="2032"/>
      <c r="L65" s="2032"/>
      <c r="M65" s="2032"/>
      <c r="N65" s="2029">
        <f t="shared" si="4"/>
        <v>0</v>
      </c>
    </row>
    <row r="66" spans="1:14" ht="24.75" customHeight="1" x14ac:dyDescent="0.25">
      <c r="A66" s="2443" t="s">
        <v>469</v>
      </c>
      <c r="B66" s="2444"/>
      <c r="C66" s="2444"/>
      <c r="D66" s="2030">
        <v>2371</v>
      </c>
      <c r="E66" s="2025">
        <f>'Expenditures 15-22'!K328</f>
        <v>0</v>
      </c>
      <c r="F66" s="2026"/>
      <c r="G66" s="2031"/>
      <c r="H66" s="2032"/>
      <c r="I66" s="2032"/>
      <c r="J66" s="2032"/>
      <c r="K66" s="2032"/>
      <c r="L66" s="2032"/>
      <c r="M66" s="2032"/>
      <c r="N66" s="2029">
        <f t="shared" si="4"/>
        <v>0</v>
      </c>
    </row>
    <row r="67" spans="1:14" ht="24.75" customHeight="1" x14ac:dyDescent="0.25">
      <c r="A67" s="2445" t="s">
        <v>2087</v>
      </c>
      <c r="B67" s="2446"/>
      <c r="C67" s="2446"/>
      <c r="D67" s="2033">
        <v>2372</v>
      </c>
      <c r="E67" s="2025">
        <f>'Expenditures 15-22'!K329</f>
        <v>0</v>
      </c>
      <c r="F67" s="2026"/>
      <c r="G67" s="2034"/>
      <c r="H67" s="2035"/>
      <c r="I67" s="2035"/>
      <c r="J67" s="2035"/>
      <c r="K67" s="2035"/>
      <c r="L67" s="2035"/>
      <c r="M67" s="2035"/>
      <c r="N67" s="2029">
        <f t="shared" si="4"/>
        <v>0</v>
      </c>
    </row>
    <row r="68" spans="1:14" x14ac:dyDescent="0.25">
      <c r="A68" s="2447" t="s">
        <v>1150</v>
      </c>
      <c r="B68" s="2448"/>
      <c r="C68" s="2448"/>
      <c r="D68" s="2020"/>
      <c r="E68" s="2036">
        <f>SUM(E57:E67)</f>
        <v>103217</v>
      </c>
      <c r="F68" s="2037"/>
      <c r="G68" s="2036">
        <f t="shared" ref="G68:N68" si="5">SUM(G57:G67)</f>
        <v>850</v>
      </c>
      <c r="H68" s="2036">
        <f t="shared" si="5"/>
        <v>0</v>
      </c>
      <c r="I68" s="2036">
        <f t="shared" si="5"/>
        <v>0</v>
      </c>
      <c r="J68" s="2036">
        <f t="shared" si="5"/>
        <v>300</v>
      </c>
      <c r="K68" s="2036">
        <f t="shared" si="5"/>
        <v>0</v>
      </c>
      <c r="L68" s="2036">
        <f t="shared" si="5"/>
        <v>3409</v>
      </c>
      <c r="M68" s="2036">
        <f t="shared" si="5"/>
        <v>98658</v>
      </c>
      <c r="N68" s="2038">
        <f t="shared" si="5"/>
        <v>103217</v>
      </c>
    </row>
    <row r="69" spans="1:14" x14ac:dyDescent="0.25">
      <c r="A69" s="2039"/>
      <c r="B69" s="2040"/>
      <c r="C69" s="2040"/>
      <c r="D69" s="2040"/>
      <c r="E69" s="2040"/>
      <c r="F69" s="2040"/>
      <c r="G69" s="2040"/>
      <c r="H69" s="2041" t="s">
        <v>2088</v>
      </c>
      <c r="I69" s="2040"/>
      <c r="J69" s="2040"/>
      <c r="K69" s="2040"/>
      <c r="L69" s="2041" t="s">
        <v>2089</v>
      </c>
      <c r="M69" s="2040"/>
      <c r="N69" s="2042"/>
    </row>
    <row r="70" spans="1:14" ht="46.5" customHeight="1" x14ac:dyDescent="0.25">
      <c r="A70" s="2043" t="s">
        <v>2090</v>
      </c>
      <c r="B70" s="2040"/>
      <c r="C70" s="2040"/>
      <c r="D70" s="2040"/>
      <c r="E70" s="2040"/>
      <c r="F70" s="2040"/>
      <c r="G70" s="2040"/>
      <c r="H70" s="2439" t="s">
        <v>2091</v>
      </c>
      <c r="I70" s="2439"/>
      <c r="J70" s="2439"/>
      <c r="K70" s="2040"/>
      <c r="L70" s="2439" t="s">
        <v>2092</v>
      </c>
      <c r="M70" s="2439"/>
      <c r="N70" s="2449"/>
    </row>
    <row r="71" spans="1:14" ht="42.75" customHeight="1" x14ac:dyDescent="0.25">
      <c r="A71" s="2039"/>
      <c r="B71" s="2040"/>
      <c r="C71" s="2040"/>
      <c r="D71" s="2040"/>
      <c r="E71" s="2040"/>
      <c r="F71" s="2040"/>
      <c r="G71" s="2040"/>
      <c r="H71" s="2439" t="s">
        <v>2093</v>
      </c>
      <c r="I71" s="2439"/>
      <c r="J71" s="2439"/>
      <c r="K71" s="2040"/>
      <c r="L71" s="2440" t="s">
        <v>2094</v>
      </c>
      <c r="M71" s="2440"/>
      <c r="N71" s="2441"/>
    </row>
    <row r="72" spans="1:14" ht="52.5" customHeight="1" thickBot="1" x14ac:dyDescent="0.3">
      <c r="A72" s="2044"/>
      <c r="B72" s="2045"/>
      <c r="C72" s="2045"/>
      <c r="D72" s="2045"/>
      <c r="E72" s="2045"/>
      <c r="F72" s="2045"/>
      <c r="G72" s="2045"/>
      <c r="H72" s="2442" t="s">
        <v>2095</v>
      </c>
      <c r="I72" s="2442"/>
      <c r="J72" s="2442"/>
      <c r="K72" s="2045"/>
      <c r="L72" s="2045"/>
      <c r="M72" s="2045"/>
      <c r="N72" s="204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642A4251-EF46-4921-B6FD-400AF70230E7}"/>
    <dataValidation allowBlank="1" showInputMessage="1" showErrorMessage="1" prompt="Link cell K328 from &quot;Expenditures 15-22&quot; tab" sqref="E66" xr:uid="{F2556C75-EE64-4CB4-BB3E-9B3E37727739}"/>
    <dataValidation allowBlank="1" showInputMessage="1" showErrorMessage="1" prompt="Link cell K327 from &quot;Expenditures 15-22&quot; tab" sqref="E65" xr:uid="{AC251B79-03CB-4F5C-B884-0271A2087A30}"/>
    <dataValidation allowBlank="1" showInputMessage="1" showErrorMessage="1" prompt="Link cell K326 from &quot;Expenditures 15-22&quot; tab" sqref="E64" xr:uid="{73DE945E-E338-4C34-B194-149B718FC151}"/>
    <dataValidation allowBlank="1" showInputMessage="1" showErrorMessage="1" prompt="Link cell K325 from &quot;Expenditures 15-22&quot; tab" sqref="E63" xr:uid="{28002BE8-0735-49A1-99B0-7AB74EF1CB52}"/>
    <dataValidation allowBlank="1" showInputMessage="1" showErrorMessage="1" prompt="Link cell K324 from &quot;Expenditures 15-22&quot; tab" sqref="E62" xr:uid="{BD1DF92D-5D1A-4506-AA5C-689383BC0075}"/>
    <dataValidation allowBlank="1" showInputMessage="1" showErrorMessage="1" prompt="Link cell K323 from &quot;Expenditures 15-22&quot; tab" sqref="E61" xr:uid="{BCA711DC-C258-4BB1-ABDA-8636EC3B9B83}"/>
    <dataValidation allowBlank="1" showInputMessage="1" showErrorMessage="1" prompt="Link cell K322 from &quot;Expenditures 15-22&quot; tab" sqref="E60" xr:uid="{13009D60-9A1F-4607-9F82-4143E121ED9B}"/>
    <dataValidation allowBlank="1" showInputMessage="1" showErrorMessage="1" prompt="Link cell K321 from &quot;Expenditures 15-22&quot; tab" sqref="E59" xr:uid="{642711F0-500D-43C9-B116-22A578CB155D}"/>
    <dataValidation allowBlank="1" showInputMessage="1" showErrorMessage="1" prompt="Link cell K320 from &quot;Expenditures 15-22&quot; tab" sqref="E58" xr:uid="{B2C0A4A8-EC41-41F4-84FF-5F24AACA9A22}"/>
    <dataValidation allowBlank="1" showInputMessage="1" showErrorMessage="1" prompt="Link cell K319 from &quot;Expenditures 15-22&quot; tab" sqref="E57" xr:uid="{6AB8F680-7BD2-4BE2-B1F1-A2E00349415C}"/>
    <dataValidation allowBlank="1" showInputMessage="1" showErrorMessage="1" prompt="Link cell K122 from &quot;Expenditures 15-22&quot; tab" sqref="F15" xr:uid="{EF431065-0167-447B-9E1F-2EC38EC4C640}"/>
    <dataValidation allowBlank="1" showInputMessage="1" showErrorMessage="1" prompt="Link cell K67 from &quot;Expenditures 15-22&quot; tab" sqref="E17" xr:uid="{9B155966-2906-41F7-BBF6-6520058091C2}"/>
    <dataValidation allowBlank="1" showInputMessage="1" showErrorMessage="1" prompt="Link cell K64 from &quot;Expenditures 15-22&quot; tab" sqref="E16" xr:uid="{46E9897B-8A59-4070-B018-7F0C94508298}"/>
    <dataValidation allowBlank="1" showInputMessage="1" showErrorMessage="1" prompt="Link cell K59 from &quot;Expenditures 15-22&quot; tab" sqref="E15" xr:uid="{2646B955-89B8-46F3-9D08-E21B5D1FD602}"/>
    <dataValidation allowBlank="1" showInputMessage="1" showErrorMessage="1" prompt="Link cell K56 from &quot;Expenditures 15-22&quot; tab" sqref="E14" xr:uid="{58A7F32B-8E40-4395-935B-911F9B06AE27}"/>
    <dataValidation allowBlank="1" showInputMessage="1" showErrorMessage="1" prompt="Link cell K51 from &quot;Expenditures 15-22&quot; tab" sqref="E13" xr:uid="{B754749E-D59D-49C6-8370-2238F7D0192E}"/>
    <dataValidation allowBlank="1" showInputMessage="1" showErrorMessage="1" prompt="Link cell K50 from &quot;Expenditures 15-22&quot; tab " sqref="E12" xr:uid="{05C6DA88-549E-4839-93BF-C007FC4D490D}"/>
    <dataValidation allowBlank="1" showInputMessage="1" showErrorMessage="1" prompt="Link cell A13 from &quot;Cover&quot; tab" sqref="J7:L7" xr:uid="{84C09603-F25A-4F8F-83E0-DE3B8C6BAC49}"/>
    <dataValidation allowBlank="1" showInputMessage="1" showErrorMessage="1" prompt="Link cell A17 from &quot;Cover&quot; tab" sqref="J6:L6" xr:uid="{87EDA10F-8BAB-4B97-9197-D69CA9D8DCD4}"/>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4"/>
  <sheetViews>
    <sheetView showGridLines="0" zoomScale="110" zoomScaleNormal="110" workbookViewId="0">
      <selection activeCell="B15" sqref="B1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ht="15" x14ac:dyDescent="0.25">
      <c r="A5" s="840">
        <v>1</v>
      </c>
      <c r="B5" s="1925" t="s">
        <v>2036</v>
      </c>
    </row>
    <row r="6" spans="1:2" ht="15" x14ac:dyDescent="0.25">
      <c r="A6" s="840">
        <v>2</v>
      </c>
      <c r="B6" s="1926" t="s">
        <v>2037</v>
      </c>
    </row>
    <row r="7" spans="1:2" ht="15" x14ac:dyDescent="0.25">
      <c r="A7" s="840">
        <v>3</v>
      </c>
      <c r="B7" s="1927" t="s">
        <v>2038</v>
      </c>
    </row>
    <row r="8" spans="1:2" ht="14.25" customHeight="1" x14ac:dyDescent="0.25">
      <c r="A8" s="840">
        <v>4</v>
      </c>
      <c r="B8" s="1928" t="s">
        <v>2039</v>
      </c>
    </row>
    <row r="9" spans="1:2" ht="15" x14ac:dyDescent="0.25">
      <c r="A9" s="840">
        <v>5</v>
      </c>
      <c r="B9" s="1928" t="s">
        <v>2040</v>
      </c>
    </row>
    <row r="10" spans="1:2" ht="15" x14ac:dyDescent="0.25">
      <c r="A10" s="840">
        <v>6</v>
      </c>
      <c r="B10" s="1929" t="s">
        <v>2041</v>
      </c>
    </row>
    <row r="11" spans="1:2" ht="15" x14ac:dyDescent="0.25">
      <c r="A11" s="840">
        <v>7</v>
      </c>
      <c r="B11" s="1929" t="s">
        <v>2042</v>
      </c>
    </row>
    <row r="12" spans="1:2" ht="15" x14ac:dyDescent="0.25">
      <c r="A12" s="840">
        <v>8</v>
      </c>
      <c r="B12" s="1930" t="s">
        <v>2043</v>
      </c>
    </row>
    <row r="13" spans="1:2" ht="15" x14ac:dyDescent="0.25">
      <c r="A13" s="840">
        <v>9</v>
      </c>
      <c r="B13" s="1930" t="s">
        <v>2044</v>
      </c>
    </row>
    <row r="14" spans="1:2" ht="15" x14ac:dyDescent="0.25">
      <c r="A14" s="840">
        <v>10</v>
      </c>
      <c r="B14" s="2047" t="s">
        <v>2098</v>
      </c>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c r="B63" s="253" t="str">
        <f>COVER!A17</f>
        <v>Marengo CHSD 154</v>
      </c>
    </row>
    <row r="64" spans="1:2" x14ac:dyDescent="0.2">
      <c r="B64" s="842">
        <f>COVER!A13</f>
        <v>44063154016</v>
      </c>
    </row>
  </sheetData>
  <phoneticPr fontId="19"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X23" sqref="X23:AA2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2096</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2097</v>
      </c>
    </row>
    <row r="33" spans="1:5" x14ac:dyDescent="0.2">
      <c r="A33" s="167"/>
      <c r="D33" s="164"/>
      <c r="E33" s="166"/>
    </row>
    <row r="34" spans="1:5" x14ac:dyDescent="0.2">
      <c r="A34" s="167"/>
      <c r="D34" s="164"/>
      <c r="E34" s="166"/>
    </row>
    <row r="35" spans="1:5" ht="15.75" customHeight="1" thickBot="1" x14ac:dyDescent="0.25">
      <c r="A35" s="2173" t="s">
        <v>1055</v>
      </c>
      <c r="B35" s="2173"/>
      <c r="C35" s="2173"/>
      <c r="D35" s="2173"/>
      <c r="E35" s="217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0" t="s">
        <v>685</v>
      </c>
      <c r="B40" s="2170"/>
      <c r="C40" s="2170"/>
      <c r="D40" s="2170"/>
      <c r="E40" s="2170"/>
    </row>
    <row r="41" spans="1:5" x14ac:dyDescent="0.2">
      <c r="A41" s="2171" t="s">
        <v>1588</v>
      </c>
      <c r="B41" s="2171"/>
      <c r="C41" s="2171"/>
      <c r="D41" s="2171"/>
      <c r="E41" s="2171"/>
    </row>
    <row r="42" spans="1:5" ht="12.75" customHeight="1" x14ac:dyDescent="0.2">
      <c r="A42" s="2172" t="s">
        <v>1014</v>
      </c>
      <c r="B42" s="2172"/>
      <c r="C42" s="2172"/>
      <c r="D42" s="2172"/>
      <c r="E42" s="2172"/>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bYsGgnFDS/70Rn05WPvKvUoJh7/gw52Xk7dWH1EL92jrKfGcp2Fsi4a9Sa75P6b2t8NKZ/wqP58SUgUn1UgjzA==" saltValue="d6s5I8qRq0H4t4BJArEe3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25" sqref="E2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92" t="s">
        <v>1662</v>
      </c>
      <c r="B18" s="2492"/>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95250</xdr:colOff>
                <xdr:row>4</xdr:row>
                <xdr:rowOff>66675</xdr:rowOff>
              </from>
              <to>
                <xdr:col>1</xdr:col>
                <xdr:colOff>885825</xdr:colOff>
                <xdr:row>8</xdr:row>
                <xdr:rowOff>104775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1190625</xdr:colOff>
                <xdr:row>4</xdr:row>
                <xdr:rowOff>57150</xdr:rowOff>
              </from>
              <to>
                <xdr:col>1</xdr:col>
                <xdr:colOff>2105025</xdr:colOff>
                <xdr:row>8</xdr:row>
                <xdr:rowOff>95250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3" t="s">
        <v>1666</v>
      </c>
      <c r="B1" s="2494"/>
      <c r="C1" s="2494"/>
      <c r="D1" s="2494"/>
      <c r="E1" s="2494"/>
      <c r="F1" s="2495"/>
    </row>
    <row r="2" spans="1:8" ht="45" customHeight="1" x14ac:dyDescent="0.2">
      <c r="A2" s="25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4"/>
      <c r="C2" s="2504"/>
      <c r="D2" s="2504"/>
      <c r="E2" s="2504"/>
      <c r="F2" s="2505"/>
      <c r="G2" s="846"/>
      <c r="H2" s="846"/>
    </row>
    <row r="3" spans="1:8" ht="57" customHeight="1" x14ac:dyDescent="0.2">
      <c r="A3" s="2506" t="s">
        <v>1969</v>
      </c>
      <c r="B3" s="2507"/>
      <c r="C3" s="2507"/>
      <c r="D3" s="2507"/>
      <c r="E3" s="2507"/>
      <c r="F3" s="2508"/>
      <c r="G3" s="846"/>
      <c r="H3" s="846"/>
    </row>
    <row r="4" spans="1:8" ht="14.25" customHeight="1" x14ac:dyDescent="0.2">
      <c r="A4" s="25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3"/>
      <c r="C4" s="2513"/>
      <c r="D4" s="2513"/>
      <c r="E4" s="2513"/>
      <c r="F4" s="2514"/>
      <c r="G4" s="846"/>
      <c r="H4" s="846"/>
    </row>
    <row r="5" spans="1:8" ht="14.25" customHeight="1" x14ac:dyDescent="0.2">
      <c r="A5" s="25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6"/>
      <c r="C5" s="2516"/>
      <c r="D5" s="2516"/>
      <c r="E5" s="2516"/>
      <c r="F5" s="2517"/>
      <c r="G5" s="846"/>
      <c r="H5" s="846"/>
    </row>
    <row r="6" spans="1:8" s="847" customFormat="1" ht="41.25" customHeight="1" x14ac:dyDescent="0.2">
      <c r="A6" s="2509" t="s">
        <v>1667</v>
      </c>
      <c r="B6" s="2510"/>
      <c r="C6" s="2510"/>
      <c r="D6" s="2510"/>
      <c r="E6" s="2510"/>
      <c r="F6" s="2511"/>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9374701</v>
      </c>
      <c r="C8" s="1802">
        <f>'Acct Summary 7-8'!D8</f>
        <v>1254494</v>
      </c>
      <c r="D8" s="1802">
        <f>'Acct Summary 7-8'!F8</f>
        <v>505619</v>
      </c>
      <c r="E8" s="1802">
        <f>'Acct Summary 7-8'!I8</f>
        <v>0</v>
      </c>
      <c r="F8" s="1802">
        <f>SUM(B8:E8)</f>
        <v>11134814</v>
      </c>
    </row>
    <row r="9" spans="1:8" s="851" customFormat="1" ht="14.25" customHeight="1" thickBot="1" x14ac:dyDescent="0.25">
      <c r="A9" s="850" t="s">
        <v>1351</v>
      </c>
      <c r="B9" s="1803">
        <f>'Acct Summary 7-8'!C17</f>
        <v>9153884</v>
      </c>
      <c r="C9" s="1803">
        <f>'Acct Summary 7-8'!D17</f>
        <v>1174117</v>
      </c>
      <c r="D9" s="1803">
        <f>'Acct Summary 7-8'!F17</f>
        <v>633826</v>
      </c>
      <c r="E9" s="1802"/>
      <c r="F9" s="1802">
        <f>SUM(B9:E9)</f>
        <v>10961827</v>
      </c>
    </row>
    <row r="10" spans="1:8" s="851" customFormat="1" ht="14.25" thickTop="1" thickBot="1" x14ac:dyDescent="0.25">
      <c r="A10" s="852" t="s">
        <v>1352</v>
      </c>
      <c r="B10" s="1804">
        <f>(B8-B9)</f>
        <v>220817</v>
      </c>
      <c r="C10" s="1804">
        <f>(C8-C9)</f>
        <v>80377</v>
      </c>
      <c r="D10" s="1804">
        <f>(D8-D9)</f>
        <v>-128207</v>
      </c>
      <c r="E10" s="1803">
        <f>(E8-E9)</f>
        <v>0</v>
      </c>
      <c r="F10" s="1805">
        <f>SUM(F8-F9)</f>
        <v>172987</v>
      </c>
    </row>
    <row r="11" spans="1:8" s="851" customFormat="1" ht="14.25" thickTop="1" thickBot="1" x14ac:dyDescent="0.25">
      <c r="A11" s="853" t="s">
        <v>1900</v>
      </c>
      <c r="B11" s="1806">
        <f>'Acct Summary 7-8'!C81</f>
        <v>11469352</v>
      </c>
      <c r="C11" s="1806">
        <f>'Acct Summary 7-8'!D81</f>
        <v>1064511</v>
      </c>
      <c r="D11" s="1806">
        <f>'Acct Summary 7-8'!F81</f>
        <v>1404289</v>
      </c>
      <c r="E11" s="1806">
        <f>'Acct Summary 7-8'!I81</f>
        <v>0</v>
      </c>
      <c r="F11" s="1807">
        <f>SUM(B11:E11)</f>
        <v>13938152</v>
      </c>
    </row>
    <row r="12" spans="1:8" ht="16.5" customHeight="1" thickTop="1" x14ac:dyDescent="0.2">
      <c r="A12" s="854"/>
      <c r="B12" s="855"/>
      <c r="C12" s="2497" t="str">
        <f>IF(AND(F10&lt;0,F11&gt;=0,ABS(F10*3)&gt;ABS(F11)),A16,IF(AND(F10&lt;0,F11&gt;0,ABS(F10*3)&lt;=ABS(F11)),A17,IF(AND(F10&lt;0,F11&lt;0),A16,IF(F11=0,A19,A18))))</f>
        <v>Balanced - no deficit reduction plan is required.</v>
      </c>
      <c r="D12" s="2498"/>
      <c r="E12" s="2498"/>
      <c r="F12" s="2499"/>
    </row>
    <row r="13" spans="1:8" ht="19.5" customHeight="1" x14ac:dyDescent="0.2">
      <c r="A13" s="856"/>
      <c r="B13" s="857"/>
      <c r="C13" s="2497"/>
      <c r="D13" s="2498"/>
      <c r="E13" s="2498"/>
      <c r="F13" s="2499"/>
      <c r="H13" s="846"/>
    </row>
    <row r="14" spans="1:8" ht="19.5" customHeight="1" x14ac:dyDescent="0.2">
      <c r="A14" s="856"/>
      <c r="B14" s="857"/>
      <c r="C14" s="2497"/>
      <c r="D14" s="2498"/>
      <c r="E14" s="2498"/>
      <c r="F14" s="2499"/>
      <c r="H14" s="846"/>
    </row>
    <row r="15" spans="1:8" ht="17.25" customHeight="1" x14ac:dyDescent="0.2">
      <c r="A15" s="856"/>
      <c r="B15" s="857"/>
      <c r="C15" s="2500"/>
      <c r="D15" s="2501"/>
      <c r="E15" s="2501"/>
      <c r="F15" s="2502"/>
      <c r="H15" s="846"/>
    </row>
    <row r="16" spans="1:8" s="288" customFormat="1" ht="51.75" hidden="1" customHeight="1" x14ac:dyDescent="0.2">
      <c r="A16" s="2496" t="s">
        <v>1663</v>
      </c>
      <c r="B16" s="2496"/>
      <c r="C16" s="2496"/>
      <c r="D16" s="2496"/>
      <c r="E16" s="2496"/>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84" sqref="A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18" t="s">
        <v>660</v>
      </c>
      <c r="B3" s="2519"/>
      <c r="C3" s="2519"/>
      <c r="D3" s="2520"/>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29" t="s">
        <v>1484</v>
      </c>
      <c r="D7" s="2530"/>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21" t="s">
        <v>1000</v>
      </c>
      <c r="B15" s="2522"/>
      <c r="C15" s="2522"/>
      <c r="D15" s="2523"/>
    </row>
    <row r="16" spans="1:4" s="542" customFormat="1" ht="24" customHeight="1" x14ac:dyDescent="0.2">
      <c r="A16" s="2524" t="s">
        <v>658</v>
      </c>
      <c r="B16" s="2525"/>
      <c r="C16" s="2525"/>
      <c r="D16" s="2526"/>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33" t="s">
        <v>311</v>
      </c>
      <c r="D21" s="2534"/>
    </row>
    <row r="22" spans="1:10" ht="12.75" x14ac:dyDescent="0.2">
      <c r="A22" s="911"/>
      <c r="B22" s="912">
        <v>2</v>
      </c>
      <c r="C22" s="2531" t="s">
        <v>1504</v>
      </c>
      <c r="D22" s="2532"/>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35" t="s">
        <v>533</v>
      </c>
      <c r="D43" s="2536"/>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27" t="s">
        <v>778</v>
      </c>
      <c r="D56" s="2528"/>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27" t="s">
        <v>1671</v>
      </c>
      <c r="D70" s="2528"/>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bOpt9Ts7jBBdx6cx5gt5zHyrXTv7UDseAuOmPPdSQPYLrig3EIfSteYbcmvI74fcFo/dkhBLszcLLoqnyWa/Sw==" saltValue="RX5JlVEprgrQnAlplVa/zw=="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44063154016</v>
      </c>
      <c r="E2" s="1535">
        <v>2020</v>
      </c>
      <c r="F2" s="1535">
        <v>1</v>
      </c>
      <c r="G2" s="1886">
        <v>101000300</v>
      </c>
    </row>
    <row r="3" spans="1:7" ht="15" x14ac:dyDescent="0.25">
      <c r="A3" t="s">
        <v>949</v>
      </c>
      <c r="B3" s="135" t="str">
        <f>COVER!A15</f>
        <v>MCHENRY</v>
      </c>
      <c r="E3" s="1819" t="s">
        <v>1968</v>
      </c>
      <c r="F3" s="1819" t="s">
        <v>1967</v>
      </c>
      <c r="G3" s="1886">
        <v>101000400</v>
      </c>
    </row>
    <row r="4" spans="1:7" ht="15" x14ac:dyDescent="0.25">
      <c r="A4" t="s">
        <v>999</v>
      </c>
      <c r="B4" s="135" t="str">
        <f>COVER!A17</f>
        <v>Marengo CHSD 154</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33512</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5150800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11469764</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412</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412</v>
      </c>
      <c r="C91" s="2" t="s">
        <v>569</v>
      </c>
      <c r="D91" s="2" t="str">
        <f t="shared" si="0"/>
        <v>Error?</v>
      </c>
      <c r="G91" s="1886">
        <v>102640400</v>
      </c>
    </row>
    <row r="92" spans="1:7" ht="15" x14ac:dyDescent="0.25">
      <c r="A92" s="5">
        <v>31</v>
      </c>
      <c r="B92" s="1821">
        <f>'Assets-Liab 5-6'!C39</f>
        <v>11469352</v>
      </c>
      <c r="D92" s="2" t="str">
        <f t="shared" si="0"/>
        <v>Error?</v>
      </c>
      <c r="G92" s="1886">
        <v>102640600</v>
      </c>
    </row>
    <row r="93" spans="1:7" ht="15" x14ac:dyDescent="0.25">
      <c r="A93" s="5">
        <v>32</v>
      </c>
      <c r="B93" s="1821">
        <f>'Assets-Liab 5-6'!C41</f>
        <v>11469764</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1064538</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27</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27</v>
      </c>
      <c r="C122" s="2" t="s">
        <v>569</v>
      </c>
      <c r="D122" s="2" t="str">
        <f t="shared" si="0"/>
        <v>Error?</v>
      </c>
      <c r="G122" s="1886">
        <v>203000300</v>
      </c>
    </row>
    <row r="123" spans="1:7" ht="15" x14ac:dyDescent="0.25">
      <c r="A123" s="5">
        <v>62</v>
      </c>
      <c r="B123" s="1821">
        <f>'Assets-Liab 5-6'!D39</f>
        <v>1064511</v>
      </c>
      <c r="D123" s="2" t="str">
        <f t="shared" si="0"/>
        <v>Error?</v>
      </c>
      <c r="G123" s="1886">
        <v>203000400</v>
      </c>
    </row>
    <row r="124" spans="1:7" ht="15" x14ac:dyDescent="0.25">
      <c r="A124" s="5">
        <v>63</v>
      </c>
      <c r="B124" s="1821">
        <f>'Assets-Liab 5-6'!D41</f>
        <v>1064538</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1389069</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1389069</v>
      </c>
      <c r="D140" s="2" t="str">
        <f t="shared" si="1"/>
        <v>Error?</v>
      </c>
    </row>
    <row r="141" spans="1:7" x14ac:dyDescent="0.2">
      <c r="A141" s="5">
        <v>80</v>
      </c>
      <c r="B141" s="1821">
        <f>'Assets-Liab 5-6'!E41</f>
        <v>1389069</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1404289</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1404289</v>
      </c>
      <c r="D170" s="2" t="str">
        <f t="shared" si="1"/>
        <v>Error?</v>
      </c>
    </row>
    <row r="171" spans="1:4" x14ac:dyDescent="0.2">
      <c r="A171" s="5">
        <v>110</v>
      </c>
      <c r="B171" s="1821">
        <f>'Assets-Liab 5-6'!F41</f>
        <v>1404289</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153606</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73795</v>
      </c>
      <c r="D189" s="2" t="str">
        <f t="shared" si="1"/>
        <v>Error?</v>
      </c>
    </row>
    <row r="190" spans="1:4" x14ac:dyDescent="0.2">
      <c r="A190" s="5">
        <v>129</v>
      </c>
      <c r="B190" s="1821">
        <f>'Assets-Liab 5-6'!G41</f>
        <v>153606</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3216</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3216</v>
      </c>
      <c r="D212" s="2" t="str">
        <f t="shared" si="2"/>
        <v>Error?</v>
      </c>
    </row>
    <row r="213" spans="1:4" x14ac:dyDescent="0.2">
      <c r="A213" s="12">
        <v>152</v>
      </c>
      <c r="B213" s="1821">
        <f>'Assets-Liab 5-6'!H41</f>
        <v>3216</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1174836</v>
      </c>
      <c r="D273" s="2" t="str">
        <f t="shared" si="3"/>
        <v>Error?</v>
      </c>
    </row>
    <row r="274" spans="1:4" x14ac:dyDescent="0.2">
      <c r="A274" s="5">
        <v>213</v>
      </c>
      <c r="B274" s="1821">
        <f>'Assets-Liab 5-6'!M17</f>
        <v>31122012</v>
      </c>
      <c r="D274" s="2" t="str">
        <f t="shared" si="3"/>
        <v>Error?</v>
      </c>
    </row>
    <row r="275" spans="1:4" x14ac:dyDescent="0.2">
      <c r="A275" s="5">
        <v>214</v>
      </c>
      <c r="B275" s="1821">
        <f>'Assets-Liab 5-6'!M18</f>
        <v>2986343</v>
      </c>
      <c r="D275" s="2" t="str">
        <f t="shared" si="3"/>
        <v>Error?</v>
      </c>
    </row>
    <row r="276" spans="1:4" x14ac:dyDescent="0.2">
      <c r="A276" s="5">
        <v>215</v>
      </c>
      <c r="B276" s="1821">
        <f>'Assets-Liab 5-6'!M19</f>
        <v>3058597.25</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38341788.25</v>
      </c>
      <c r="C279" s="2" t="s">
        <v>569</v>
      </c>
      <c r="D279" s="2" t="str">
        <f t="shared" si="3"/>
        <v>Error?</v>
      </c>
    </row>
    <row r="280" spans="1:4" x14ac:dyDescent="0.2">
      <c r="A280" s="5">
        <v>219</v>
      </c>
      <c r="B280" s="1821">
        <f>'Assets-Liab 5-6'!M40</f>
        <v>38341788.25</v>
      </c>
      <c r="D280" s="2" t="str">
        <f t="shared" si="3"/>
        <v>Error?</v>
      </c>
    </row>
    <row r="281" spans="1:4" x14ac:dyDescent="0.2">
      <c r="A281" s="5">
        <v>220</v>
      </c>
      <c r="B281" s="1821">
        <f>'Assets-Liab 5-6'!M41</f>
        <v>38341788.25</v>
      </c>
      <c r="C281" s="2" t="s">
        <v>569</v>
      </c>
      <c r="D281" s="2" t="str">
        <f t="shared" si="3"/>
        <v>Error?</v>
      </c>
    </row>
    <row r="282" spans="1:4" x14ac:dyDescent="0.2">
      <c r="A282" s="5">
        <v>221</v>
      </c>
      <c r="B282" s="1821">
        <f>'Assets-Liab 5-6'!N21</f>
        <v>1389069</v>
      </c>
      <c r="D282" s="2" t="str">
        <f t="shared" si="3"/>
        <v>Error?</v>
      </c>
    </row>
    <row r="283" spans="1:4" x14ac:dyDescent="0.2">
      <c r="A283" s="5">
        <v>222</v>
      </c>
      <c r="B283" s="1821">
        <f>'Assets-Liab 5-6'!N22</f>
        <v>-856884</v>
      </c>
      <c r="D283" s="2" t="str">
        <f t="shared" si="3"/>
        <v>Error?</v>
      </c>
    </row>
    <row r="284" spans="1:4" x14ac:dyDescent="0.2">
      <c r="A284" s="5">
        <v>223</v>
      </c>
      <c r="B284" s="1821">
        <f>'Assets-Liab 5-6'!N23</f>
        <v>532185</v>
      </c>
      <c r="C284" s="2" t="s">
        <v>569</v>
      </c>
      <c r="D284" s="2" t="str">
        <f t="shared" si="3"/>
        <v>Error?</v>
      </c>
    </row>
    <row r="285" spans="1:4" x14ac:dyDescent="0.2">
      <c r="A285" s="5">
        <v>224</v>
      </c>
      <c r="B285" s="1821">
        <f>'Assets-Liab 5-6'!N36</f>
        <v>532185</v>
      </c>
      <c r="D285" s="2" t="str">
        <f t="shared" si="3"/>
        <v>Error?</v>
      </c>
    </row>
    <row r="286" spans="1:4" x14ac:dyDescent="0.2">
      <c r="A286" s="10">
        <v>225</v>
      </c>
      <c r="B286" s="1821"/>
      <c r="D286" s="2" t="str">
        <f t="shared" si="3"/>
        <v>OK</v>
      </c>
    </row>
    <row r="287" spans="1:4" x14ac:dyDescent="0.2">
      <c r="A287" s="5">
        <v>226</v>
      </c>
      <c r="B287" s="1821">
        <f>'Assets-Liab 5-6'!N37</f>
        <v>532185</v>
      </c>
      <c r="C287" s="2" t="s">
        <v>569</v>
      </c>
      <c r="D287" s="2" t="str">
        <f t="shared" si="3"/>
        <v>Error?</v>
      </c>
    </row>
    <row r="288" spans="1:4" x14ac:dyDescent="0.2">
      <c r="A288" s="5">
        <v>227</v>
      </c>
      <c r="B288" s="1821">
        <f>'Assets-Liab 5-6'!N41</f>
        <v>532185</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2624528</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665824</v>
      </c>
      <c r="D717" s="2" t="str">
        <f t="shared" si="10"/>
        <v>Error?</v>
      </c>
    </row>
    <row r="718" spans="1:4" x14ac:dyDescent="0.2">
      <c r="A718" s="5">
        <v>657</v>
      </c>
      <c r="B718" s="1821">
        <f>'Expenditures 15-22'!C14</f>
        <v>472093</v>
      </c>
      <c r="D718" s="2" t="str">
        <f t="shared" si="10"/>
        <v>Error?</v>
      </c>
    </row>
    <row r="719" spans="1:4" x14ac:dyDescent="0.2">
      <c r="A719" s="5">
        <v>658</v>
      </c>
      <c r="B719" s="1821">
        <f>'Expenditures 15-22'!C15</f>
        <v>12812</v>
      </c>
      <c r="D719" s="2" t="str">
        <f t="shared" si="10"/>
        <v>Error?</v>
      </c>
    </row>
    <row r="720" spans="1:4" x14ac:dyDescent="0.2">
      <c r="A720" s="5">
        <v>659</v>
      </c>
      <c r="B720" s="1821">
        <f>'Expenditures 15-22'!C33</f>
        <v>4305292</v>
      </c>
      <c r="C720" s="2" t="s">
        <v>569</v>
      </c>
      <c r="D720" s="2" t="str">
        <f t="shared" si="10"/>
        <v>Error?</v>
      </c>
    </row>
    <row r="721" spans="1:4" x14ac:dyDescent="0.2">
      <c r="A721" s="5">
        <v>660</v>
      </c>
      <c r="B721" s="1821">
        <f>'Expenditures 15-22'!C36</f>
        <v>36152</v>
      </c>
      <c r="D721" s="2" t="str">
        <f t="shared" si="10"/>
        <v>Error?</v>
      </c>
    </row>
    <row r="722" spans="1:4" x14ac:dyDescent="0.2">
      <c r="A722" s="5">
        <v>661</v>
      </c>
      <c r="B722" s="1821">
        <f>'Expenditures 15-22'!C37</f>
        <v>385410</v>
      </c>
      <c r="D722" s="2" t="str">
        <f t="shared" si="10"/>
        <v>Error?</v>
      </c>
    </row>
    <row r="723" spans="1:4" x14ac:dyDescent="0.2">
      <c r="A723" s="5">
        <v>662</v>
      </c>
      <c r="B723" s="1821">
        <f>'Expenditures 15-22'!C38</f>
        <v>61047</v>
      </c>
      <c r="D723" s="2" t="str">
        <f t="shared" si="10"/>
        <v>Error?</v>
      </c>
    </row>
    <row r="724" spans="1:4" x14ac:dyDescent="0.2">
      <c r="A724" s="5">
        <v>663</v>
      </c>
      <c r="B724" s="1821">
        <f>'Expenditures 15-22'!C39</f>
        <v>81203</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16218</v>
      </c>
      <c r="D726" s="2" t="str">
        <f t="shared" si="10"/>
        <v>Error?</v>
      </c>
    </row>
    <row r="727" spans="1:4" x14ac:dyDescent="0.2">
      <c r="A727" s="5">
        <v>666</v>
      </c>
      <c r="B727" s="1821">
        <f>'Expenditures 15-22'!C42</f>
        <v>580030</v>
      </c>
      <c r="C727" s="2" t="s">
        <v>569</v>
      </c>
      <c r="D727" s="2" t="str">
        <f t="shared" si="10"/>
        <v>Error?</v>
      </c>
    </row>
    <row r="728" spans="1:4" x14ac:dyDescent="0.2">
      <c r="A728" s="5">
        <v>667</v>
      </c>
      <c r="B728" s="1821">
        <f>'Expenditures 15-22'!C44</f>
        <v>7941</v>
      </c>
      <c r="D728" s="2" t="str">
        <f t="shared" si="10"/>
        <v>Error?</v>
      </c>
    </row>
    <row r="729" spans="1:4" x14ac:dyDescent="0.2">
      <c r="A729" s="5">
        <v>668</v>
      </c>
      <c r="B729" s="1821">
        <f>'Expenditures 15-22'!C45</f>
        <v>244608</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252549</v>
      </c>
      <c r="C731" s="2" t="s">
        <v>569</v>
      </c>
      <c r="D731" s="2" t="str">
        <f t="shared" si="10"/>
        <v>Error?</v>
      </c>
    </row>
    <row r="732" spans="1:4" x14ac:dyDescent="0.2">
      <c r="A732" s="5">
        <v>671</v>
      </c>
      <c r="B732" s="1821">
        <f>'Expenditures 15-22'!C49</f>
        <v>58291</v>
      </c>
      <c r="D732" s="2" t="str">
        <f t="shared" si="10"/>
        <v>Error?</v>
      </c>
    </row>
    <row r="733" spans="1:4" x14ac:dyDescent="0.2">
      <c r="A733" s="5">
        <v>672</v>
      </c>
      <c r="B733" s="1821">
        <f>'Expenditures 15-22'!C50</f>
        <v>93058</v>
      </c>
      <c r="D733" s="2" t="str">
        <f t="shared" si="10"/>
        <v>Error?</v>
      </c>
    </row>
    <row r="734" spans="1:4" x14ac:dyDescent="0.2">
      <c r="A734" s="5">
        <v>673</v>
      </c>
      <c r="B734" s="1821">
        <f>'Expenditures 15-22'!C53</f>
        <v>246700</v>
      </c>
      <c r="C734" s="2" t="s">
        <v>569</v>
      </c>
      <c r="D734" s="2" t="str">
        <f t="shared" si="10"/>
        <v>Error?</v>
      </c>
    </row>
    <row r="735" spans="1:4" x14ac:dyDescent="0.2">
      <c r="A735" s="5">
        <v>674</v>
      </c>
      <c r="B735" s="1821">
        <f>'Expenditures 15-22'!C55</f>
        <v>296073</v>
      </c>
      <c r="D735" s="2" t="str">
        <f t="shared" si="10"/>
        <v>Error?</v>
      </c>
    </row>
    <row r="736" spans="1:4" x14ac:dyDescent="0.2">
      <c r="A736" s="5">
        <v>675</v>
      </c>
      <c r="B736" s="1821">
        <f>'Expenditures 15-22'!C56</f>
        <v>22996</v>
      </c>
      <c r="D736" s="2" t="str">
        <f t="shared" si="10"/>
        <v>Error?</v>
      </c>
    </row>
    <row r="737" spans="1:4" x14ac:dyDescent="0.2">
      <c r="A737" s="5">
        <v>676</v>
      </c>
      <c r="B737" s="1821">
        <f>'Expenditures 15-22'!C57</f>
        <v>319069</v>
      </c>
      <c r="C737" s="2" t="s">
        <v>569</v>
      </c>
      <c r="D737" s="2" t="str">
        <f t="shared" si="10"/>
        <v>Error?</v>
      </c>
    </row>
    <row r="738" spans="1:4" x14ac:dyDescent="0.2">
      <c r="A738" s="5">
        <v>677</v>
      </c>
      <c r="B738" s="1821">
        <f>'Expenditures 15-22'!C59</f>
        <v>79538</v>
      </c>
      <c r="D738" s="2" t="str">
        <f t="shared" si="10"/>
        <v>Error?</v>
      </c>
    </row>
    <row r="739" spans="1:4" x14ac:dyDescent="0.2">
      <c r="A739" s="5">
        <v>678</v>
      </c>
      <c r="B739" s="1821">
        <f>'Expenditures 15-22'!C60</f>
        <v>124685</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90451</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294674</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1693022</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5998314</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511307</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132935</v>
      </c>
      <c r="D775" s="2" t="str">
        <f t="shared" si="11"/>
        <v>Error?</v>
      </c>
    </row>
    <row r="776" spans="1:4" x14ac:dyDescent="0.2">
      <c r="A776" s="5">
        <v>715</v>
      </c>
      <c r="B776" s="1821">
        <f>'Expenditures 15-22'!D14</f>
        <v>24499</v>
      </c>
      <c r="D776" s="2" t="str">
        <f t="shared" si="11"/>
        <v>Error?</v>
      </c>
    </row>
    <row r="777" spans="1:4" x14ac:dyDescent="0.2">
      <c r="A777" s="5">
        <v>716</v>
      </c>
      <c r="B777" s="1821">
        <f>'Expenditures 15-22'!D15</f>
        <v>670</v>
      </c>
      <c r="D777" s="2" t="str">
        <f t="shared" si="11"/>
        <v>Error?</v>
      </c>
    </row>
    <row r="778" spans="1:4" x14ac:dyDescent="0.2">
      <c r="A778" s="5">
        <v>717</v>
      </c>
      <c r="B778" s="1821">
        <f>'Expenditures 15-22'!D33</f>
        <v>800331</v>
      </c>
      <c r="C778" s="2" t="s">
        <v>569</v>
      </c>
      <c r="D778" s="2" t="str">
        <f t="shared" si="11"/>
        <v>Error?</v>
      </c>
    </row>
    <row r="779" spans="1:4" x14ac:dyDescent="0.2">
      <c r="A779" s="5">
        <v>718</v>
      </c>
      <c r="B779" s="1821">
        <f>'Expenditures 15-22'!D36</f>
        <v>15564</v>
      </c>
      <c r="D779" s="2" t="str">
        <f t="shared" si="11"/>
        <v>Error?</v>
      </c>
    </row>
    <row r="780" spans="1:4" x14ac:dyDescent="0.2">
      <c r="A780" s="5">
        <v>719</v>
      </c>
      <c r="B780" s="1821">
        <f>'Expenditures 15-22'!D37</f>
        <v>66931</v>
      </c>
      <c r="D780" s="2" t="str">
        <f t="shared" si="11"/>
        <v>Error?</v>
      </c>
    </row>
    <row r="781" spans="1:4" x14ac:dyDescent="0.2">
      <c r="A781" s="5">
        <v>720</v>
      </c>
      <c r="B781" s="1821">
        <f>'Expenditures 15-22'!D38</f>
        <v>23638</v>
      </c>
      <c r="D781" s="2" t="str">
        <f t="shared" si="11"/>
        <v>Error?</v>
      </c>
    </row>
    <row r="782" spans="1:4" x14ac:dyDescent="0.2">
      <c r="A782" s="5">
        <v>721</v>
      </c>
      <c r="B782" s="1821">
        <f>'Expenditures 15-22'!D39</f>
        <v>10798</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1283</v>
      </c>
      <c r="D784" s="2" t="str">
        <f t="shared" si="11"/>
        <v>Error?</v>
      </c>
    </row>
    <row r="785" spans="1:4" x14ac:dyDescent="0.2">
      <c r="A785" s="5">
        <v>724</v>
      </c>
      <c r="B785" s="1821">
        <f>'Expenditures 15-22'!D42</f>
        <v>118214</v>
      </c>
      <c r="C785" s="2" t="s">
        <v>569</v>
      </c>
      <c r="D785" s="2" t="str">
        <f t="shared" si="11"/>
        <v>Error?</v>
      </c>
    </row>
    <row r="786" spans="1:4" x14ac:dyDescent="0.2">
      <c r="A786" s="5">
        <v>725</v>
      </c>
      <c r="B786" s="1821">
        <f>'Expenditures 15-22'!D44</f>
        <v>147</v>
      </c>
      <c r="D786" s="2" t="str">
        <f t="shared" si="11"/>
        <v>Error?</v>
      </c>
    </row>
    <row r="787" spans="1:4" x14ac:dyDescent="0.2">
      <c r="A787" s="5">
        <v>726</v>
      </c>
      <c r="B787" s="1821">
        <f>'Expenditures 15-22'!D45</f>
        <v>30417</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30564</v>
      </c>
      <c r="C789" s="2" t="s">
        <v>569</v>
      </c>
      <c r="D789" s="2" t="str">
        <f t="shared" si="11"/>
        <v>Error?</v>
      </c>
    </row>
    <row r="790" spans="1:4" x14ac:dyDescent="0.2">
      <c r="A790" s="5">
        <v>729</v>
      </c>
      <c r="B790" s="1821">
        <f>'Expenditures 15-22'!D49</f>
        <v>21863</v>
      </c>
      <c r="D790" s="2" t="str">
        <f t="shared" si="11"/>
        <v>Error?</v>
      </c>
    </row>
    <row r="791" spans="1:4" x14ac:dyDescent="0.2">
      <c r="A791" s="5">
        <v>730</v>
      </c>
      <c r="B791" s="1821">
        <f>'Expenditures 15-22'!D50</f>
        <v>22261</v>
      </c>
      <c r="D791" s="2" t="str">
        <f t="shared" si="11"/>
        <v>Error?</v>
      </c>
    </row>
    <row r="792" spans="1:4" x14ac:dyDescent="0.2">
      <c r="A792" s="5">
        <v>731</v>
      </c>
      <c r="B792" s="1821">
        <f>'Expenditures 15-22'!D53</f>
        <v>74915</v>
      </c>
      <c r="C792" s="2" t="s">
        <v>569</v>
      </c>
      <c r="D792" s="2" t="str">
        <f t="shared" si="11"/>
        <v>Error?</v>
      </c>
    </row>
    <row r="793" spans="1:4" x14ac:dyDescent="0.2">
      <c r="A793" s="5">
        <v>732</v>
      </c>
      <c r="B793" s="1821">
        <f>'Expenditures 15-22'!D55</f>
        <v>113670</v>
      </c>
      <c r="D793" s="2" t="str">
        <f t="shared" si="11"/>
        <v>Error?</v>
      </c>
    </row>
    <row r="794" spans="1:4" x14ac:dyDescent="0.2">
      <c r="A794" s="5">
        <v>733</v>
      </c>
      <c r="B794" s="1821">
        <f>'Expenditures 15-22'!D56</f>
        <v>324</v>
      </c>
      <c r="D794" s="2" t="str">
        <f t="shared" si="11"/>
        <v>Error?</v>
      </c>
    </row>
    <row r="795" spans="1:4" x14ac:dyDescent="0.2">
      <c r="A795" s="5">
        <v>734</v>
      </c>
      <c r="B795" s="1821">
        <f>'Expenditures 15-22'!D57</f>
        <v>113994</v>
      </c>
      <c r="C795" s="2" t="s">
        <v>569</v>
      </c>
      <c r="D795" s="2" t="str">
        <f t="shared" si="11"/>
        <v>Error?</v>
      </c>
    </row>
    <row r="796" spans="1:4" x14ac:dyDescent="0.2">
      <c r="A796" s="5">
        <v>735</v>
      </c>
      <c r="B796" s="1821">
        <f>'Expenditures 15-22'!D59</f>
        <v>19451</v>
      </c>
      <c r="D796" s="2" t="str">
        <f t="shared" si="11"/>
        <v>Error?</v>
      </c>
    </row>
    <row r="797" spans="1:4" x14ac:dyDescent="0.2">
      <c r="A797" s="5">
        <v>736</v>
      </c>
      <c r="B797" s="1821">
        <f>'Expenditures 15-22'!D60</f>
        <v>10629</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10404</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40484</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378171</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1178502</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2710</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9730</v>
      </c>
      <c r="D833" s="2" t="str">
        <f t="shared" si="12"/>
        <v>Error?</v>
      </c>
    </row>
    <row r="834" spans="1:4" x14ac:dyDescent="0.2">
      <c r="A834" s="5">
        <v>773</v>
      </c>
      <c r="B834" s="1821">
        <f>'Expenditures 15-22'!E14</f>
        <v>80270</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386638</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2380</v>
      </c>
      <c r="D838" s="2" t="str">
        <f t="shared" si="12"/>
        <v>Error?</v>
      </c>
    </row>
    <row r="839" spans="1:4" x14ac:dyDescent="0.2">
      <c r="A839" s="5">
        <v>778</v>
      </c>
      <c r="B839" s="1821">
        <f>'Expenditures 15-22'!E38</f>
        <v>54</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2434</v>
      </c>
      <c r="C843" s="2" t="s">
        <v>569</v>
      </c>
      <c r="D843" s="2" t="str">
        <f t="shared" si="12"/>
        <v>Error?</v>
      </c>
    </row>
    <row r="844" spans="1:4" x14ac:dyDescent="0.2">
      <c r="A844" s="5">
        <v>783</v>
      </c>
      <c r="B844" s="1821">
        <f>'Expenditures 15-22'!E44</f>
        <v>50922</v>
      </c>
      <c r="D844" s="2" t="str">
        <f t="shared" si="12"/>
        <v>Error?</v>
      </c>
    </row>
    <row r="845" spans="1:4" x14ac:dyDescent="0.2">
      <c r="A845" s="5">
        <v>784</v>
      </c>
      <c r="B845" s="1821">
        <f>'Expenditures 15-22'!E45</f>
        <v>9921</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60843</v>
      </c>
      <c r="C847" s="2" t="s">
        <v>569</v>
      </c>
      <c r="D847" s="2" t="str">
        <f t="shared" si="12"/>
        <v>Error?</v>
      </c>
    </row>
    <row r="848" spans="1:4" x14ac:dyDescent="0.2">
      <c r="A848" s="5">
        <v>787</v>
      </c>
      <c r="B848" s="1821">
        <f>'Expenditures 15-22'!E49</f>
        <v>45798</v>
      </c>
      <c r="D848" s="2" t="str">
        <f t="shared" si="12"/>
        <v>Error?</v>
      </c>
    </row>
    <row r="849" spans="1:4" x14ac:dyDescent="0.2">
      <c r="A849" s="5">
        <v>788</v>
      </c>
      <c r="B849" s="1821">
        <f>'Expenditures 15-22'!E50</f>
        <v>179</v>
      </c>
      <c r="D849" s="2" t="str">
        <f t="shared" si="12"/>
        <v>Error?</v>
      </c>
    </row>
    <row r="850" spans="1:4" x14ac:dyDescent="0.2">
      <c r="A850" s="5">
        <v>789</v>
      </c>
      <c r="B850" s="1821">
        <f>'Expenditures 15-22'!E53</f>
        <v>46871</v>
      </c>
      <c r="C850" s="2" t="s">
        <v>569</v>
      </c>
      <c r="D850" s="2" t="str">
        <f t="shared" si="12"/>
        <v>Error?</v>
      </c>
    </row>
    <row r="851" spans="1:4" x14ac:dyDescent="0.2">
      <c r="A851" s="5">
        <v>790</v>
      </c>
      <c r="B851" s="1821">
        <f>'Expenditures 15-22'!E55</f>
        <v>9071</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9071</v>
      </c>
      <c r="C853" s="2" t="s">
        <v>569</v>
      </c>
      <c r="D853" s="2" t="str">
        <f t="shared" si="12"/>
        <v>Error?</v>
      </c>
    </row>
    <row r="854" spans="1:4" x14ac:dyDescent="0.2">
      <c r="A854" s="5">
        <v>793</v>
      </c>
      <c r="B854" s="1821">
        <f>'Expenditures 15-22'!E59</f>
        <v>1284</v>
      </c>
      <c r="D854" s="2" t="str">
        <f t="shared" si="12"/>
        <v>Error?</v>
      </c>
    </row>
    <row r="855" spans="1:4" x14ac:dyDescent="0.2">
      <c r="A855" s="5">
        <v>794</v>
      </c>
      <c r="B855" s="1821">
        <f>'Expenditures 15-22'!E60</f>
        <v>26649</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3004</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30937</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25948</v>
      </c>
      <c r="D867" s="2" t="str">
        <f t="shared" si="12"/>
        <v>Error?</v>
      </c>
    </row>
    <row r="868" spans="1:4" x14ac:dyDescent="0.2">
      <c r="A868" s="10">
        <v>807</v>
      </c>
      <c r="B868" s="1821"/>
      <c r="D868" s="2" t="str">
        <f t="shared" si="12"/>
        <v>OK</v>
      </c>
    </row>
    <row r="869" spans="1:4" x14ac:dyDescent="0.2">
      <c r="A869" s="5">
        <v>808</v>
      </c>
      <c r="B869" s="1821">
        <f>'Expenditures 15-22'!E72</f>
        <v>25948</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176104</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583727</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98035</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47215</v>
      </c>
      <c r="D891" s="2" t="str">
        <f t="shared" si="12"/>
        <v>Error?</v>
      </c>
    </row>
    <row r="892" spans="1:4" x14ac:dyDescent="0.2">
      <c r="A892" s="5">
        <v>831</v>
      </c>
      <c r="B892" s="1821">
        <f>'Expenditures 15-22'!F14</f>
        <v>102554</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259314</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4384</v>
      </c>
      <c r="D896" s="2" t="str">
        <f t="shared" si="13"/>
        <v>Error?</v>
      </c>
    </row>
    <row r="897" spans="1:4" x14ac:dyDescent="0.2">
      <c r="A897" s="5">
        <v>836</v>
      </c>
      <c r="B897" s="1821">
        <f>'Expenditures 15-22'!F38</f>
        <v>4077</v>
      </c>
      <c r="D897" s="2" t="str">
        <f t="shared" si="13"/>
        <v>Error?</v>
      </c>
    </row>
    <row r="898" spans="1:4" x14ac:dyDescent="0.2">
      <c r="A898" s="5">
        <v>837</v>
      </c>
      <c r="B898" s="1821">
        <f>'Expenditures 15-22'!F39</f>
        <v>2278</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344</v>
      </c>
      <c r="D900" s="2" t="str">
        <f t="shared" si="13"/>
        <v>Error?</v>
      </c>
    </row>
    <row r="901" spans="1:4" x14ac:dyDescent="0.2">
      <c r="A901" s="5">
        <v>840</v>
      </c>
      <c r="B901" s="1821">
        <f>'Expenditures 15-22'!F42</f>
        <v>11083</v>
      </c>
      <c r="C901" s="2" t="s">
        <v>569</v>
      </c>
      <c r="D901" s="2" t="str">
        <f t="shared" si="13"/>
        <v>Error?</v>
      </c>
    </row>
    <row r="902" spans="1:4" x14ac:dyDescent="0.2">
      <c r="A902" s="5">
        <v>841</v>
      </c>
      <c r="B902" s="1821">
        <f>'Expenditures 15-22'!F44</f>
        <v>0</v>
      </c>
      <c r="D902" s="2" t="str">
        <f t="shared" si="13"/>
        <v>Error?</v>
      </c>
    </row>
    <row r="903" spans="1:4" x14ac:dyDescent="0.2">
      <c r="A903" s="5">
        <v>842</v>
      </c>
      <c r="B903" s="1821">
        <f>'Expenditures 15-22'!F45</f>
        <v>185297</v>
      </c>
      <c r="D903" s="2" t="str">
        <f t="shared" si="13"/>
        <v>Error?</v>
      </c>
    </row>
    <row r="904" spans="1:4" x14ac:dyDescent="0.2">
      <c r="A904" s="5">
        <v>843</v>
      </c>
      <c r="B904" s="1821">
        <f>'Expenditures 15-22'!F46</f>
        <v>31603</v>
      </c>
      <c r="D904" s="2" t="str">
        <f t="shared" si="13"/>
        <v>Error?</v>
      </c>
    </row>
    <row r="905" spans="1:4" x14ac:dyDescent="0.2">
      <c r="A905" s="5">
        <v>844</v>
      </c>
      <c r="B905" s="1821">
        <f>'Expenditures 15-22'!F47</f>
        <v>216900</v>
      </c>
      <c r="C905" s="2" t="s">
        <v>569</v>
      </c>
      <c r="D905" s="2" t="str">
        <f t="shared" si="13"/>
        <v>Error?</v>
      </c>
    </row>
    <row r="906" spans="1:4" x14ac:dyDescent="0.2">
      <c r="A906" s="5">
        <v>845</v>
      </c>
      <c r="B906" s="1821">
        <f>'Expenditures 15-22'!F49</f>
        <v>20786</v>
      </c>
      <c r="D906" s="2" t="str">
        <f t="shared" si="13"/>
        <v>Error?</v>
      </c>
    </row>
    <row r="907" spans="1:4" x14ac:dyDescent="0.2">
      <c r="A907" s="5">
        <v>846</v>
      </c>
      <c r="B907" s="1821">
        <f>'Expenditures 15-22'!F50</f>
        <v>491</v>
      </c>
      <c r="D907" s="2" t="str">
        <f t="shared" si="13"/>
        <v>Error?</v>
      </c>
    </row>
    <row r="908" spans="1:4" x14ac:dyDescent="0.2">
      <c r="A908" s="5">
        <v>847</v>
      </c>
      <c r="B908" s="1821">
        <f>'Expenditures 15-22'!F53</f>
        <v>21277</v>
      </c>
      <c r="C908" s="2" t="s">
        <v>569</v>
      </c>
      <c r="D908" s="2" t="str">
        <f t="shared" si="13"/>
        <v>Error?</v>
      </c>
    </row>
    <row r="909" spans="1:4" x14ac:dyDescent="0.2">
      <c r="A909" s="5">
        <v>848</v>
      </c>
      <c r="B909" s="1821">
        <f>'Expenditures 15-22'!F55</f>
        <v>1377</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1377</v>
      </c>
      <c r="C911" s="2" t="s">
        <v>569</v>
      </c>
      <c r="D911" s="2" t="str">
        <f t="shared" si="13"/>
        <v>Error?</v>
      </c>
    </row>
    <row r="912" spans="1:4" x14ac:dyDescent="0.2">
      <c r="A912" s="5">
        <v>851</v>
      </c>
      <c r="B912" s="1821">
        <f>'Expenditures 15-22'!F59</f>
        <v>684</v>
      </c>
      <c r="D912" s="2" t="str">
        <f t="shared" si="13"/>
        <v>Error?</v>
      </c>
    </row>
    <row r="913" spans="1:4" x14ac:dyDescent="0.2">
      <c r="A913" s="5">
        <v>852</v>
      </c>
      <c r="B913" s="1821">
        <f>'Expenditures 15-22'!F60</f>
        <v>776</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181851</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183311</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463</v>
      </c>
      <c r="D925" s="2" t="str">
        <f t="shared" si="13"/>
        <v>Error?</v>
      </c>
    </row>
    <row r="926" spans="1:4" x14ac:dyDescent="0.2">
      <c r="A926" s="10">
        <v>865</v>
      </c>
      <c r="B926" s="1821"/>
      <c r="D926" s="2" t="str">
        <f t="shared" si="13"/>
        <v>OK</v>
      </c>
    </row>
    <row r="927" spans="1:4" x14ac:dyDescent="0.2">
      <c r="A927" s="5">
        <v>866</v>
      </c>
      <c r="B927" s="1821">
        <f>'Expenditures 15-22'!F72</f>
        <v>463</v>
      </c>
      <c r="C927" s="2" t="s">
        <v>569</v>
      </c>
      <c r="D927" s="2" t="str">
        <f t="shared" si="13"/>
        <v>Error?</v>
      </c>
    </row>
    <row r="928" spans="1:4" x14ac:dyDescent="0.2">
      <c r="A928" s="5">
        <v>867</v>
      </c>
      <c r="B928" s="1821">
        <f>'Expenditures 15-22'!F73</f>
        <v>713</v>
      </c>
      <c r="D928" s="2" t="str">
        <f t="shared" si="13"/>
        <v>Error?</v>
      </c>
    </row>
    <row r="929" spans="1:4" x14ac:dyDescent="0.2">
      <c r="A929" s="5">
        <v>868</v>
      </c>
      <c r="B929" s="1821">
        <f>'Expenditures 15-22'!F74</f>
        <v>435124</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694438</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11882</v>
      </c>
      <c r="D949" s="2" t="str">
        <f t="shared" si="13"/>
        <v>Error?</v>
      </c>
    </row>
    <row r="950" spans="1:4" x14ac:dyDescent="0.2">
      <c r="A950" s="5">
        <v>889</v>
      </c>
      <c r="B950" s="1821">
        <f>'Expenditures 15-22'!G14</f>
        <v>7625</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19507</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19059</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19059</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19059</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38566</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526893</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394</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394</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5284</v>
      </c>
      <c r="D1022" s="2" t="str">
        <f t="shared" si="14"/>
        <v>Error?</v>
      </c>
    </row>
    <row r="1023" spans="1:4" x14ac:dyDescent="0.2">
      <c r="A1023" s="5">
        <v>962</v>
      </c>
      <c r="B1023" s="1821">
        <f>'Expenditures 15-22'!H50</f>
        <v>1601</v>
      </c>
      <c r="D1023" s="2" t="str">
        <f t="shared" ref="D1023:D1086" si="15">IF(ISBLANK(B1023),"OK",IF(A1023-B1023=0,"OK","Error?"))</f>
        <v>Error?</v>
      </c>
    </row>
    <row r="1024" spans="1:4" x14ac:dyDescent="0.2">
      <c r="A1024" s="5">
        <v>963</v>
      </c>
      <c r="B1024" s="1821">
        <f>'Expenditures 15-22'!H53</f>
        <v>6885</v>
      </c>
      <c r="C1024" s="2" t="s">
        <v>569</v>
      </c>
      <c r="D1024" s="2" t="str">
        <f t="shared" si="15"/>
        <v>Error?</v>
      </c>
    </row>
    <row r="1025" spans="1:4" x14ac:dyDescent="0.2">
      <c r="A1025" s="5">
        <v>964</v>
      </c>
      <c r="B1025" s="1821">
        <f>'Expenditures 15-22'!H55</f>
        <v>894</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894</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767</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767</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8940</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68675</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604508</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3236580</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874659</v>
      </c>
      <c r="C1105" s="2" t="s">
        <v>569</v>
      </c>
      <c r="D1105" s="2" t="str">
        <f t="shared" si="16"/>
        <v>Error?</v>
      </c>
    </row>
    <row r="1106" spans="1:4" x14ac:dyDescent="0.2">
      <c r="A1106" s="5">
        <v>1045</v>
      </c>
      <c r="B1106" s="1821">
        <f>'Expenditures 15-22'!K14</f>
        <v>710758</v>
      </c>
      <c r="C1106" s="2" t="s">
        <v>569</v>
      </c>
      <c r="D1106" s="2" t="str">
        <f t="shared" si="16"/>
        <v>Error?</v>
      </c>
    </row>
    <row r="1107" spans="1:4" x14ac:dyDescent="0.2">
      <c r="A1107" s="5">
        <v>1046</v>
      </c>
      <c r="B1107" s="1821">
        <f>'Expenditures 15-22'!K15</f>
        <v>13482</v>
      </c>
      <c r="C1107" s="2" t="s">
        <v>569</v>
      </c>
      <c r="D1107" s="2" t="str">
        <f t="shared" si="16"/>
        <v>Error?</v>
      </c>
    </row>
    <row r="1108" spans="1:4" x14ac:dyDescent="0.2">
      <c r="A1108" s="5">
        <v>1047</v>
      </c>
      <c r="B1108" s="1821">
        <f>'Expenditures 15-22'!K33</f>
        <v>6328765</v>
      </c>
      <c r="C1108" s="2" t="s">
        <v>569</v>
      </c>
      <c r="D1108" s="2" t="str">
        <f t="shared" si="16"/>
        <v>Error?</v>
      </c>
    </row>
    <row r="1109" spans="1:4" x14ac:dyDescent="0.2">
      <c r="A1109" s="5">
        <v>1048</v>
      </c>
      <c r="B1109" s="1821">
        <f>'Expenditures 15-22'!K36</f>
        <v>51716</v>
      </c>
      <c r="C1109" s="2" t="s">
        <v>569</v>
      </c>
      <c r="D1109" s="2" t="str">
        <f t="shared" si="16"/>
        <v>Error?</v>
      </c>
    </row>
    <row r="1110" spans="1:4" x14ac:dyDescent="0.2">
      <c r="A1110" s="5">
        <v>1049</v>
      </c>
      <c r="B1110" s="1821">
        <f>'Expenditures 15-22'!K37</f>
        <v>459499</v>
      </c>
      <c r="C1110" s="2" t="s">
        <v>569</v>
      </c>
      <c r="D1110" s="2" t="str">
        <f t="shared" si="16"/>
        <v>Error?</v>
      </c>
    </row>
    <row r="1111" spans="1:4" x14ac:dyDescent="0.2">
      <c r="A1111" s="5">
        <v>1050</v>
      </c>
      <c r="B1111" s="1821">
        <f>'Expenditures 15-22'!K38</f>
        <v>88816</v>
      </c>
      <c r="C1111" s="2" t="s">
        <v>569</v>
      </c>
      <c r="D1111" s="2" t="str">
        <f t="shared" si="16"/>
        <v>Error?</v>
      </c>
    </row>
    <row r="1112" spans="1:4" x14ac:dyDescent="0.2">
      <c r="A1112" s="5">
        <v>1051</v>
      </c>
      <c r="B1112" s="1821">
        <f>'Expenditures 15-22'!K39</f>
        <v>94279</v>
      </c>
      <c r="C1112" s="2" t="s">
        <v>569</v>
      </c>
      <c r="D1112" s="2" t="str">
        <f t="shared" si="16"/>
        <v>Error?</v>
      </c>
    </row>
    <row r="1113" spans="1:4" x14ac:dyDescent="0.2">
      <c r="A1113" s="5">
        <v>1052</v>
      </c>
      <c r="B1113" s="1821">
        <f>'Expenditures 15-22'!K40</f>
        <v>0</v>
      </c>
      <c r="C1113" s="2" t="s">
        <v>569</v>
      </c>
      <c r="D1113" s="2" t="str">
        <f t="shared" si="16"/>
        <v>Error?</v>
      </c>
    </row>
    <row r="1114" spans="1:4" x14ac:dyDescent="0.2">
      <c r="A1114" s="5">
        <v>1053</v>
      </c>
      <c r="B1114" s="1821">
        <f>'Expenditures 15-22'!K41</f>
        <v>17845</v>
      </c>
      <c r="C1114" s="2" t="s">
        <v>569</v>
      </c>
      <c r="D1114" s="2" t="str">
        <f t="shared" si="16"/>
        <v>Error?</v>
      </c>
    </row>
    <row r="1115" spans="1:4" x14ac:dyDescent="0.2">
      <c r="A1115" s="5">
        <v>1054</v>
      </c>
      <c r="B1115" s="1821">
        <f>'Expenditures 15-22'!K42</f>
        <v>712155</v>
      </c>
      <c r="C1115" s="2" t="s">
        <v>569</v>
      </c>
      <c r="D1115" s="2" t="str">
        <f t="shared" si="16"/>
        <v>Error?</v>
      </c>
    </row>
    <row r="1116" spans="1:4" x14ac:dyDescent="0.2">
      <c r="A1116" s="5">
        <v>1055</v>
      </c>
      <c r="B1116" s="1821">
        <f>'Expenditures 15-22'!K44</f>
        <v>59010</v>
      </c>
      <c r="C1116" s="2" t="s">
        <v>569</v>
      </c>
      <c r="D1116" s="2" t="str">
        <f t="shared" si="16"/>
        <v>Error?</v>
      </c>
    </row>
    <row r="1117" spans="1:4" x14ac:dyDescent="0.2">
      <c r="A1117" s="5">
        <v>1056</v>
      </c>
      <c r="B1117" s="1821">
        <f>'Expenditures 15-22'!K45</f>
        <v>508321</v>
      </c>
      <c r="C1117" s="2" t="s">
        <v>569</v>
      </c>
      <c r="D1117" s="2" t="str">
        <f t="shared" si="16"/>
        <v>Error?</v>
      </c>
    </row>
    <row r="1118" spans="1:4" x14ac:dyDescent="0.2">
      <c r="A1118" s="5">
        <v>1057</v>
      </c>
      <c r="B1118" s="1821">
        <f>'Expenditures 15-22'!K46</f>
        <v>31603</v>
      </c>
      <c r="C1118" s="2" t="s">
        <v>569</v>
      </c>
      <c r="D1118" s="2" t="str">
        <f t="shared" si="16"/>
        <v>Error?</v>
      </c>
    </row>
    <row r="1119" spans="1:4" x14ac:dyDescent="0.2">
      <c r="A1119" s="5">
        <v>1058</v>
      </c>
      <c r="B1119" s="1821">
        <f>'Expenditures 15-22'!K47</f>
        <v>598934</v>
      </c>
      <c r="C1119" s="2" t="s">
        <v>569</v>
      </c>
      <c r="D1119" s="2" t="str">
        <f t="shared" si="16"/>
        <v>Error?</v>
      </c>
    </row>
    <row r="1120" spans="1:4" x14ac:dyDescent="0.2">
      <c r="A1120" s="5">
        <v>1059</v>
      </c>
      <c r="B1120" s="1821">
        <f>'Expenditures 15-22'!K49</f>
        <v>152022</v>
      </c>
      <c r="C1120" s="2" t="s">
        <v>569</v>
      </c>
      <c r="D1120" s="2" t="str">
        <f t="shared" si="16"/>
        <v>Error?</v>
      </c>
    </row>
    <row r="1121" spans="1:4" x14ac:dyDescent="0.2">
      <c r="A1121" s="5">
        <v>1060</v>
      </c>
      <c r="B1121" s="1821">
        <f>'Expenditures 15-22'!K50</f>
        <v>117590</v>
      </c>
      <c r="C1121" s="2" t="s">
        <v>569</v>
      </c>
      <c r="D1121" s="2" t="str">
        <f t="shared" si="16"/>
        <v>Error?</v>
      </c>
    </row>
    <row r="1122" spans="1:4" x14ac:dyDescent="0.2">
      <c r="A1122" s="5">
        <v>1061</v>
      </c>
      <c r="B1122" s="1821">
        <f>'Expenditures 15-22'!K53</f>
        <v>396648</v>
      </c>
      <c r="C1122" s="2" t="s">
        <v>569</v>
      </c>
      <c r="D1122" s="2" t="str">
        <f t="shared" si="16"/>
        <v>Error?</v>
      </c>
    </row>
    <row r="1123" spans="1:4" x14ac:dyDescent="0.2">
      <c r="A1123" s="5">
        <v>1062</v>
      </c>
      <c r="B1123" s="1821">
        <f>'Expenditures 15-22'!K55</f>
        <v>421863</v>
      </c>
      <c r="C1123" s="2" t="s">
        <v>569</v>
      </c>
      <c r="D1123" s="2" t="str">
        <f t="shared" si="16"/>
        <v>Error?</v>
      </c>
    </row>
    <row r="1124" spans="1:4" x14ac:dyDescent="0.2">
      <c r="A1124" s="5">
        <v>1063</v>
      </c>
      <c r="B1124" s="1821">
        <f>'Expenditures 15-22'!K56</f>
        <v>23320</v>
      </c>
      <c r="C1124" s="2" t="s">
        <v>569</v>
      </c>
      <c r="D1124" s="2" t="str">
        <f t="shared" si="16"/>
        <v>Error?</v>
      </c>
    </row>
    <row r="1125" spans="1:4" x14ac:dyDescent="0.2">
      <c r="A1125" s="5">
        <v>1064</v>
      </c>
      <c r="B1125" s="1821">
        <f>'Expenditures 15-22'!K57</f>
        <v>445183</v>
      </c>
      <c r="C1125" s="2" t="s">
        <v>569</v>
      </c>
      <c r="D1125" s="2" t="str">
        <f t="shared" si="16"/>
        <v>Error?</v>
      </c>
    </row>
    <row r="1126" spans="1:4" x14ac:dyDescent="0.2">
      <c r="A1126" s="5">
        <v>1065</v>
      </c>
      <c r="B1126" s="1821">
        <f>'Expenditures 15-22'!K59</f>
        <v>100957</v>
      </c>
      <c r="C1126" s="2" t="s">
        <v>569</v>
      </c>
      <c r="D1126" s="2" t="str">
        <f t="shared" si="16"/>
        <v>Error?</v>
      </c>
    </row>
    <row r="1127" spans="1:4" x14ac:dyDescent="0.2">
      <c r="A1127" s="5">
        <v>1066</v>
      </c>
      <c r="B1127" s="1821">
        <f>'Expenditures 15-22'!K60</f>
        <v>162739</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291719</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555415</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26411</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26411</v>
      </c>
      <c r="C1141" s="2" t="s">
        <v>569</v>
      </c>
      <c r="D1141" s="2" t="str">
        <f t="shared" si="16"/>
        <v>Error?</v>
      </c>
    </row>
    <row r="1142" spans="1:4" x14ac:dyDescent="0.2">
      <c r="A1142" s="5">
        <v>1081</v>
      </c>
      <c r="B1142" s="1821">
        <f>'Expenditures 15-22'!K73</f>
        <v>713</v>
      </c>
      <c r="C1142" s="2" t="s">
        <v>569</v>
      </c>
      <c r="D1142" s="2" t="str">
        <f t="shared" si="16"/>
        <v>Error?</v>
      </c>
    </row>
    <row r="1143" spans="1:4" x14ac:dyDescent="0.2">
      <c r="A1143" s="5">
        <v>1082</v>
      </c>
      <c r="B1143" s="1821">
        <f>'Expenditures 15-22'!K74</f>
        <v>2735459</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89660</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9153884</v>
      </c>
      <c r="C1152" s="2" t="s">
        <v>569</v>
      </c>
      <c r="D1152" s="2" t="str">
        <f t="shared" si="17"/>
        <v>Error?</v>
      </c>
    </row>
    <row r="1153" spans="1:4" x14ac:dyDescent="0.2">
      <c r="A1153" s="5">
        <v>1092</v>
      </c>
      <c r="B1153" s="1821">
        <f>'Expenditures 15-22'!K115</f>
        <v>220817</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314745</v>
      </c>
      <c r="D1221" s="2" t="str">
        <f t="shared" si="18"/>
        <v>Error?</v>
      </c>
    </row>
    <row r="1222" spans="1:4" x14ac:dyDescent="0.2">
      <c r="A1222" s="10">
        <v>1161</v>
      </c>
      <c r="B1222" s="1821"/>
      <c r="D1222" s="2" t="str">
        <f t="shared" si="18"/>
        <v>OK</v>
      </c>
    </row>
    <row r="1223" spans="1:4" x14ac:dyDescent="0.2">
      <c r="A1223" s="5">
        <v>1162</v>
      </c>
      <c r="B1223" s="1821">
        <f>'Expenditures 15-22'!C127</f>
        <v>314745</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314745</v>
      </c>
      <c r="C1225" s="2" t="s">
        <v>569</v>
      </c>
      <c r="D1225" s="2" t="str">
        <f t="shared" si="18"/>
        <v>Error?</v>
      </c>
    </row>
    <row r="1226" spans="1:4" x14ac:dyDescent="0.2">
      <c r="A1226" s="5">
        <v>1165</v>
      </c>
      <c r="B1226" s="1821">
        <f>'Expenditures 15-22'!C151</f>
        <v>314745</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67117</v>
      </c>
      <c r="D1229" s="2" t="str">
        <f t="shared" si="18"/>
        <v>Error?</v>
      </c>
    </row>
    <row r="1230" spans="1:4" x14ac:dyDescent="0.2">
      <c r="A1230" s="10">
        <v>1169</v>
      </c>
      <c r="B1230" s="1821"/>
      <c r="D1230" s="2" t="str">
        <f t="shared" si="18"/>
        <v>OK</v>
      </c>
    </row>
    <row r="1231" spans="1:4" x14ac:dyDescent="0.2">
      <c r="A1231" s="5">
        <v>1170</v>
      </c>
      <c r="B1231" s="1821">
        <f>'Expenditures 15-22'!D127</f>
        <v>67117</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67117</v>
      </c>
      <c r="C1233" s="2" t="s">
        <v>569</v>
      </c>
      <c r="D1233" s="2" t="str">
        <f t="shared" si="18"/>
        <v>Error?</v>
      </c>
    </row>
    <row r="1234" spans="1:4" x14ac:dyDescent="0.2">
      <c r="A1234" s="5">
        <v>1173</v>
      </c>
      <c r="B1234" s="1821">
        <f>'Expenditures 15-22'!D151</f>
        <v>67117</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231156</v>
      </c>
      <c r="D1237" s="2" t="str">
        <f t="shared" si="18"/>
        <v>Error?</v>
      </c>
    </row>
    <row r="1238" spans="1:4" x14ac:dyDescent="0.2">
      <c r="A1238" s="10">
        <v>1177</v>
      </c>
      <c r="B1238" s="1821"/>
      <c r="D1238" s="2" t="str">
        <f t="shared" si="18"/>
        <v>OK</v>
      </c>
    </row>
    <row r="1239" spans="1:4" x14ac:dyDescent="0.2">
      <c r="A1239" s="5">
        <v>1178</v>
      </c>
      <c r="B1239" s="1821">
        <f>'Expenditures 15-22'!E127</f>
        <v>231156</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231156</v>
      </c>
      <c r="C1241" s="2" t="s">
        <v>569</v>
      </c>
      <c r="D1241" s="2" t="str">
        <f t="shared" si="18"/>
        <v>Error?</v>
      </c>
    </row>
    <row r="1242" spans="1:4" x14ac:dyDescent="0.2">
      <c r="A1242" s="5">
        <v>1181</v>
      </c>
      <c r="B1242" s="1821">
        <f>'Expenditures 15-22'!E151</f>
        <v>231156</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432295</v>
      </c>
      <c r="D1245" s="2" t="str">
        <f t="shared" si="18"/>
        <v>Error?</v>
      </c>
    </row>
    <row r="1246" spans="1:4" x14ac:dyDescent="0.2">
      <c r="A1246" s="10">
        <v>1185</v>
      </c>
      <c r="B1246" s="1821"/>
      <c r="D1246" s="2" t="str">
        <f t="shared" si="18"/>
        <v>OK</v>
      </c>
    </row>
    <row r="1247" spans="1:4" x14ac:dyDescent="0.2">
      <c r="A1247" s="5">
        <v>1186</v>
      </c>
      <c r="B1247" s="1821">
        <f>'Expenditures 15-22'!F127</f>
        <v>432295</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432295</v>
      </c>
      <c r="C1249" s="2" t="s">
        <v>569</v>
      </c>
      <c r="D1249" s="2" t="str">
        <f t="shared" si="18"/>
        <v>Error?</v>
      </c>
    </row>
    <row r="1250" spans="1:4" x14ac:dyDescent="0.2">
      <c r="A1250" s="5">
        <v>1189</v>
      </c>
      <c r="B1250" s="1821">
        <f>'Expenditures 15-22'!F151</f>
        <v>432295</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74222</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74222</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74222</v>
      </c>
      <c r="C1258" s="2" t="s">
        <v>569</v>
      </c>
      <c r="D1258" s="2" t="str">
        <f t="shared" si="18"/>
        <v>Error?</v>
      </c>
    </row>
    <row r="1259" spans="1:4" x14ac:dyDescent="0.2">
      <c r="A1259" s="5">
        <v>1198</v>
      </c>
      <c r="B1259" s="1821">
        <f>'Expenditures 15-22'!G151</f>
        <v>74222</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1174117</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1174117</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1174117</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1174117</v>
      </c>
      <c r="C1288" s="2" t="s">
        <v>569</v>
      </c>
      <c r="D1288" s="2" t="str">
        <f t="shared" si="19"/>
        <v>Error?</v>
      </c>
    </row>
    <row r="1289" spans="1:4" x14ac:dyDescent="0.2">
      <c r="A1289" s="5">
        <v>1228</v>
      </c>
      <c r="B1289" s="1821">
        <f>'Expenditures 15-22'!K152</f>
        <v>80377</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2224890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555110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2780000</v>
      </c>
      <c r="C1317" s="2" t="s">
        <v>569</v>
      </c>
      <c r="D1317" s="2" t="str">
        <f t="shared" si="19"/>
        <v>Error?</v>
      </c>
    </row>
    <row r="1318" spans="1:4" x14ac:dyDescent="0.2">
      <c r="A1318" s="5">
        <v>1257</v>
      </c>
      <c r="B1318" s="1821">
        <f>'Expenditures 15-22'!H174</f>
        <v>2780000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2224890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555110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2780000</v>
      </c>
      <c r="C1331" s="2" t="s">
        <v>569</v>
      </c>
      <c r="D1331" s="2" t="str">
        <f t="shared" si="19"/>
        <v>Error?</v>
      </c>
    </row>
    <row r="1332" spans="1:4" x14ac:dyDescent="0.2">
      <c r="A1332" s="5">
        <v>1271</v>
      </c>
      <c r="B1332" s="1821">
        <f>'Expenditures 15-22'!K174</f>
        <v>2780000</v>
      </c>
      <c r="C1332" s="2" t="s">
        <v>569</v>
      </c>
      <c r="D1332" s="2" t="str">
        <f t="shared" si="19"/>
        <v>Error?</v>
      </c>
    </row>
    <row r="1333" spans="1:4" x14ac:dyDescent="0.2">
      <c r="A1333" s="5">
        <v>1272</v>
      </c>
      <c r="B1333" s="1821">
        <f>'Expenditures 15-22'!K175</f>
        <v>-115985</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319713</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319713</v>
      </c>
      <c r="C1339" s="2" t="s">
        <v>569</v>
      </c>
      <c r="D1339" s="2" t="str">
        <f t="shared" si="19"/>
        <v>Error?</v>
      </c>
    </row>
    <row r="1340" spans="1:4" x14ac:dyDescent="0.2">
      <c r="A1340" s="5">
        <v>1279</v>
      </c>
      <c r="B1340" s="1821">
        <f>'Expenditures 15-22'!C210</f>
        <v>319713</v>
      </c>
      <c r="C1340" s="2" t="s">
        <v>569</v>
      </c>
      <c r="D1340" s="2" t="str">
        <f t="shared" si="19"/>
        <v>Error?</v>
      </c>
    </row>
    <row r="1341" spans="1:4" x14ac:dyDescent="0.2">
      <c r="A1341" s="5">
        <v>1280</v>
      </c>
      <c r="B1341" s="1821">
        <f>'Expenditures 15-22'!D182</f>
        <v>30364</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30364</v>
      </c>
      <c r="C1345" s="2" t="s">
        <v>569</v>
      </c>
      <c r="D1345" s="2" t="str">
        <f t="shared" si="20"/>
        <v>Error?</v>
      </c>
    </row>
    <row r="1346" spans="1:4" x14ac:dyDescent="0.2">
      <c r="A1346" s="5">
        <v>1285</v>
      </c>
      <c r="B1346" s="1821">
        <f>'Expenditures 15-22'!D210</f>
        <v>30364</v>
      </c>
      <c r="C1346" s="2" t="s">
        <v>569</v>
      </c>
      <c r="D1346" s="2" t="str">
        <f t="shared" si="20"/>
        <v>Error?</v>
      </c>
    </row>
    <row r="1347" spans="1:4" x14ac:dyDescent="0.2">
      <c r="A1347" s="5">
        <v>1286</v>
      </c>
      <c r="B1347" s="1821">
        <f>'Expenditures 15-22'!E182</f>
        <v>148408</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148408</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148408</v>
      </c>
      <c r="C1353" s="2" t="s">
        <v>569</v>
      </c>
      <c r="D1353" s="2" t="str">
        <f t="shared" si="20"/>
        <v>Error?</v>
      </c>
    </row>
    <row r="1354" spans="1:4" x14ac:dyDescent="0.2">
      <c r="A1354" s="5">
        <v>1293</v>
      </c>
      <c r="B1354" s="1821">
        <f>'Expenditures 15-22'!F182</f>
        <v>71586</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71586</v>
      </c>
      <c r="C1358" s="2" t="s">
        <v>569</v>
      </c>
      <c r="D1358" s="2" t="str">
        <f t="shared" si="20"/>
        <v>Error?</v>
      </c>
    </row>
    <row r="1359" spans="1:4" x14ac:dyDescent="0.2">
      <c r="A1359" s="5">
        <v>1298</v>
      </c>
      <c r="B1359" s="1821">
        <f>'Expenditures 15-22'!F210</f>
        <v>71586</v>
      </c>
      <c r="C1359" s="2" t="s">
        <v>569</v>
      </c>
      <c r="D1359" s="2" t="str">
        <f t="shared" si="20"/>
        <v>Error?</v>
      </c>
    </row>
    <row r="1360" spans="1:4" x14ac:dyDescent="0.2">
      <c r="A1360" s="5">
        <v>1299</v>
      </c>
      <c r="B1360" s="1821">
        <f>'Expenditures 15-22'!G182</f>
        <v>58886</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58886</v>
      </c>
      <c r="C1364" s="2" t="s">
        <v>569</v>
      </c>
      <c r="D1364" s="2" t="str">
        <f t="shared" si="20"/>
        <v>Error?</v>
      </c>
    </row>
    <row r="1365" spans="1:4" x14ac:dyDescent="0.2">
      <c r="A1365" s="5">
        <v>1304</v>
      </c>
      <c r="B1365" s="1821">
        <f>'Expenditures 15-22'!G210</f>
        <v>58886</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633826</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633826</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633826</v>
      </c>
      <c r="C1388" s="2" t="s">
        <v>569</v>
      </c>
      <c r="D1388" s="2" t="str">
        <f t="shared" si="20"/>
        <v>Error?</v>
      </c>
    </row>
    <row r="1389" spans="1:4" x14ac:dyDescent="0.2">
      <c r="A1389" s="5">
        <v>1328</v>
      </c>
      <c r="B1389" s="1821">
        <f>'Expenditures 15-22'!K211</f>
        <v>-128207</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7617</v>
      </c>
      <c r="D1407" s="2" t="str">
        <f t="shared" ref="D1407:D1470" si="21">IF(ISBLANK(B1407),"OK",IF(A1407-B1407=0,"OK","Error?"))</f>
        <v>Error?</v>
      </c>
    </row>
    <row r="1408" spans="1:4" x14ac:dyDescent="0.2">
      <c r="A1408" s="5">
        <v>1347</v>
      </c>
      <c r="B1408" s="1821">
        <f>'Expenditures 15-22'!D223</f>
        <v>16828</v>
      </c>
      <c r="D1408" s="2" t="str">
        <f t="shared" si="21"/>
        <v>Error?</v>
      </c>
    </row>
    <row r="1409" spans="1:4" x14ac:dyDescent="0.2">
      <c r="A1409" s="5">
        <v>1348</v>
      </c>
      <c r="B1409" s="1821">
        <f>'Expenditures 15-22'!D224</f>
        <v>225</v>
      </c>
      <c r="D1409" s="2" t="str">
        <f t="shared" si="21"/>
        <v>Error?</v>
      </c>
    </row>
    <row r="1410" spans="1:4" x14ac:dyDescent="0.2">
      <c r="A1410" s="5">
        <v>1349</v>
      </c>
      <c r="B1410" s="1821">
        <f>'Expenditures 15-22'!D229</f>
        <v>83801</v>
      </c>
      <c r="C1410" s="2" t="s">
        <v>569</v>
      </c>
      <c r="D1410" s="2" t="str">
        <f t="shared" si="21"/>
        <v>Error?</v>
      </c>
    </row>
    <row r="1411" spans="1:4" x14ac:dyDescent="0.2">
      <c r="A1411" s="5">
        <v>1350</v>
      </c>
      <c r="B1411" s="1821">
        <f>'Expenditures 15-22'!D232</f>
        <v>5893</v>
      </c>
      <c r="D1411" s="2" t="str">
        <f t="shared" si="21"/>
        <v>Error?</v>
      </c>
    </row>
    <row r="1412" spans="1:4" x14ac:dyDescent="0.2">
      <c r="A1412" s="5">
        <v>1351</v>
      </c>
      <c r="B1412" s="1821">
        <f>'Expenditures 15-22'!D233</f>
        <v>11068</v>
      </c>
      <c r="D1412" s="2" t="str">
        <f t="shared" si="21"/>
        <v>Error?</v>
      </c>
    </row>
    <row r="1413" spans="1:4" x14ac:dyDescent="0.2">
      <c r="A1413" s="5">
        <v>1352</v>
      </c>
      <c r="B1413" s="1821">
        <f>'Expenditures 15-22'!D234</f>
        <v>853</v>
      </c>
      <c r="D1413" s="2" t="str">
        <f t="shared" si="21"/>
        <v>Error?</v>
      </c>
    </row>
    <row r="1414" spans="1:4" x14ac:dyDescent="0.2">
      <c r="A1414" s="5">
        <v>1353</v>
      </c>
      <c r="B1414" s="1821">
        <f>'Expenditures 15-22'!D235</f>
        <v>1173</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2872</v>
      </c>
      <c r="D1416" s="2" t="str">
        <f t="shared" si="21"/>
        <v>Error?</v>
      </c>
    </row>
    <row r="1417" spans="1:4" x14ac:dyDescent="0.2">
      <c r="A1417" s="5">
        <v>1356</v>
      </c>
      <c r="B1417" s="1821">
        <f>'Expenditures 15-22'!D238</f>
        <v>21859</v>
      </c>
      <c r="C1417" s="2" t="s">
        <v>569</v>
      </c>
      <c r="D1417" s="2" t="str">
        <f t="shared" si="21"/>
        <v>Error?</v>
      </c>
    </row>
    <row r="1418" spans="1:4" x14ac:dyDescent="0.2">
      <c r="A1418" s="5">
        <v>1357</v>
      </c>
      <c r="B1418" s="1821">
        <f>'Expenditures 15-22'!D240</f>
        <v>200</v>
      </c>
      <c r="D1418" s="2" t="str">
        <f t="shared" si="21"/>
        <v>Error?</v>
      </c>
    </row>
    <row r="1419" spans="1:4" x14ac:dyDescent="0.2">
      <c r="A1419" s="5">
        <v>1358</v>
      </c>
      <c r="B1419" s="1821">
        <f>'Expenditures 15-22'!D241</f>
        <v>25982</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26182</v>
      </c>
      <c r="C1421" s="2" t="s">
        <v>569</v>
      </c>
      <c r="D1421" s="2" t="str">
        <f t="shared" si="21"/>
        <v>Error?</v>
      </c>
    </row>
    <row r="1422" spans="1:4" x14ac:dyDescent="0.2">
      <c r="A1422" s="5">
        <v>1361</v>
      </c>
      <c r="B1422" s="1821">
        <f>'Expenditures 15-22'!D245</f>
        <v>9758</v>
      </c>
      <c r="D1422" s="2" t="str">
        <f t="shared" si="21"/>
        <v>Error?</v>
      </c>
    </row>
    <row r="1423" spans="1:4" x14ac:dyDescent="0.2">
      <c r="A1423" s="5">
        <v>1362</v>
      </c>
      <c r="B1423" s="1821">
        <f>'Expenditures 15-22'!D246</f>
        <v>3366</v>
      </c>
      <c r="D1423" s="2" t="str">
        <f t="shared" si="21"/>
        <v>Error?</v>
      </c>
    </row>
    <row r="1424" spans="1:4" x14ac:dyDescent="0.2">
      <c r="A1424" s="5">
        <v>1363</v>
      </c>
      <c r="B1424" s="1821">
        <f>'Expenditures 15-22'!D257</f>
        <v>14504</v>
      </c>
      <c r="C1424" s="2" t="s">
        <v>569</v>
      </c>
      <c r="D1424" s="2" t="str">
        <f t="shared" si="21"/>
        <v>Error?</v>
      </c>
    </row>
    <row r="1425" spans="1:4" x14ac:dyDescent="0.2">
      <c r="A1425" s="5">
        <v>1364</v>
      </c>
      <c r="B1425" s="1821">
        <f>'Expenditures 15-22'!D259</f>
        <v>7866</v>
      </c>
      <c r="D1425" s="2" t="str">
        <f t="shared" si="21"/>
        <v>Error?</v>
      </c>
    </row>
    <row r="1426" spans="1:4" x14ac:dyDescent="0.2">
      <c r="A1426" s="5">
        <v>1365</v>
      </c>
      <c r="B1426" s="1821">
        <f>'Expenditures 15-22'!D260</f>
        <v>321</v>
      </c>
      <c r="D1426" s="2" t="str">
        <f t="shared" si="21"/>
        <v>Error?</v>
      </c>
    </row>
    <row r="1427" spans="1:4" x14ac:dyDescent="0.2">
      <c r="A1427" s="5">
        <v>1366</v>
      </c>
      <c r="B1427" s="1821">
        <f>'Expenditures 15-22'!D261</f>
        <v>8187</v>
      </c>
      <c r="C1427" s="2" t="s">
        <v>569</v>
      </c>
      <c r="D1427" s="2" t="str">
        <f t="shared" si="21"/>
        <v>Error?</v>
      </c>
    </row>
    <row r="1428" spans="1:4" x14ac:dyDescent="0.2">
      <c r="A1428" s="5">
        <v>1367</v>
      </c>
      <c r="B1428" s="1821">
        <f>'Expenditures 15-22'!D263</f>
        <v>1140</v>
      </c>
      <c r="D1428" s="2" t="str">
        <f t="shared" si="21"/>
        <v>Error?</v>
      </c>
    </row>
    <row r="1429" spans="1:4" x14ac:dyDescent="0.2">
      <c r="A1429" s="5">
        <v>1368</v>
      </c>
      <c r="B1429" s="1821">
        <f>'Expenditures 15-22'!D264</f>
        <v>21514</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51050</v>
      </c>
      <c r="D1431" s="2" t="str">
        <f t="shared" si="21"/>
        <v>Error?</v>
      </c>
    </row>
    <row r="1432" spans="1:4" x14ac:dyDescent="0.2">
      <c r="A1432" s="5">
        <v>1371</v>
      </c>
      <c r="B1432" s="1821">
        <f>'Expenditures 15-22'!D267</f>
        <v>49344</v>
      </c>
      <c r="D1432" s="2" t="str">
        <f t="shared" si="21"/>
        <v>Error?</v>
      </c>
    </row>
    <row r="1433" spans="1:4" x14ac:dyDescent="0.2">
      <c r="A1433" s="5">
        <v>1372</v>
      </c>
      <c r="B1433" s="1821">
        <f>'Expenditures 15-22'!D268</f>
        <v>15426</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138474</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209206</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293007</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7617</v>
      </c>
      <c r="C1471" s="2" t="s">
        <v>569</v>
      </c>
      <c r="D1471" s="2" t="str">
        <f t="shared" ref="D1471:D1534" si="22">IF(ISBLANK(B1471),"OK",IF(A1471-B1471=0,"OK","Error?"))</f>
        <v>Error?</v>
      </c>
    </row>
    <row r="1472" spans="1:4" x14ac:dyDescent="0.2">
      <c r="A1472" s="5">
        <v>1411</v>
      </c>
      <c r="B1472" s="1821">
        <f>'Expenditures 15-22'!K223</f>
        <v>16828</v>
      </c>
      <c r="C1472" s="2" t="s">
        <v>569</v>
      </c>
      <c r="D1472" s="2" t="str">
        <f t="shared" si="22"/>
        <v>Error?</v>
      </c>
    </row>
    <row r="1473" spans="1:4" x14ac:dyDescent="0.2">
      <c r="A1473" s="5">
        <v>1412</v>
      </c>
      <c r="B1473" s="1821">
        <f>'Expenditures 15-22'!K224</f>
        <v>225</v>
      </c>
      <c r="C1473" s="2" t="s">
        <v>569</v>
      </c>
      <c r="D1473" s="2" t="str">
        <f t="shared" si="22"/>
        <v>Error?</v>
      </c>
    </row>
    <row r="1474" spans="1:4" x14ac:dyDescent="0.2">
      <c r="A1474" s="5">
        <v>1413</v>
      </c>
      <c r="B1474" s="1821">
        <f>'Expenditures 15-22'!K229</f>
        <v>83801</v>
      </c>
      <c r="C1474" s="2" t="s">
        <v>569</v>
      </c>
      <c r="D1474" s="2" t="str">
        <f t="shared" si="22"/>
        <v>Error?</v>
      </c>
    </row>
    <row r="1475" spans="1:4" x14ac:dyDescent="0.2">
      <c r="A1475" s="5">
        <v>1414</v>
      </c>
      <c r="B1475" s="1821">
        <f>'Expenditures 15-22'!K232</f>
        <v>5893</v>
      </c>
      <c r="C1475" s="2" t="s">
        <v>569</v>
      </c>
      <c r="D1475" s="2" t="str">
        <f t="shared" si="22"/>
        <v>Error?</v>
      </c>
    </row>
    <row r="1476" spans="1:4" x14ac:dyDescent="0.2">
      <c r="A1476" s="5">
        <v>1415</v>
      </c>
      <c r="B1476" s="1821">
        <f>'Expenditures 15-22'!K233</f>
        <v>11068</v>
      </c>
      <c r="C1476" s="2" t="s">
        <v>569</v>
      </c>
      <c r="D1476" s="2" t="str">
        <f t="shared" si="22"/>
        <v>Error?</v>
      </c>
    </row>
    <row r="1477" spans="1:4" x14ac:dyDescent="0.2">
      <c r="A1477" s="5">
        <v>1416</v>
      </c>
      <c r="B1477" s="1821">
        <f>'Expenditures 15-22'!K234</f>
        <v>853</v>
      </c>
      <c r="C1477" s="2" t="s">
        <v>569</v>
      </c>
      <c r="D1477" s="2" t="str">
        <f t="shared" si="22"/>
        <v>Error?</v>
      </c>
    </row>
    <row r="1478" spans="1:4" x14ac:dyDescent="0.2">
      <c r="A1478" s="5">
        <v>1417</v>
      </c>
      <c r="B1478" s="1821">
        <f>'Expenditures 15-22'!K235</f>
        <v>1173</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2872</v>
      </c>
      <c r="C1480" s="2" t="s">
        <v>569</v>
      </c>
      <c r="D1480" s="2" t="str">
        <f t="shared" si="22"/>
        <v>Error?</v>
      </c>
    </row>
    <row r="1481" spans="1:4" x14ac:dyDescent="0.2">
      <c r="A1481" s="5">
        <v>1420</v>
      </c>
      <c r="B1481" s="1821">
        <f>'Expenditures 15-22'!K238</f>
        <v>21859</v>
      </c>
      <c r="C1481" s="2" t="s">
        <v>569</v>
      </c>
      <c r="D1481" s="2" t="str">
        <f t="shared" si="22"/>
        <v>Error?</v>
      </c>
    </row>
    <row r="1482" spans="1:4" x14ac:dyDescent="0.2">
      <c r="A1482" s="5">
        <v>1421</v>
      </c>
      <c r="B1482" s="1821">
        <f>'Expenditures 15-22'!K240</f>
        <v>200</v>
      </c>
      <c r="C1482" s="2" t="s">
        <v>569</v>
      </c>
      <c r="D1482" s="2" t="str">
        <f t="shared" si="22"/>
        <v>Error?</v>
      </c>
    </row>
    <row r="1483" spans="1:4" x14ac:dyDescent="0.2">
      <c r="A1483" s="5">
        <v>1422</v>
      </c>
      <c r="B1483" s="1821">
        <f>'Expenditures 15-22'!K241</f>
        <v>25982</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26182</v>
      </c>
      <c r="C1485" s="2" t="s">
        <v>569</v>
      </c>
      <c r="D1485" s="2" t="str">
        <f t="shared" si="22"/>
        <v>Error?</v>
      </c>
    </row>
    <row r="1486" spans="1:4" x14ac:dyDescent="0.2">
      <c r="A1486" s="5">
        <v>1425</v>
      </c>
      <c r="B1486" s="1821">
        <f>'Expenditures 15-22'!K245</f>
        <v>9758</v>
      </c>
      <c r="C1486" s="2" t="s">
        <v>569</v>
      </c>
      <c r="D1486" s="2" t="str">
        <f t="shared" si="22"/>
        <v>Error?</v>
      </c>
    </row>
    <row r="1487" spans="1:4" x14ac:dyDescent="0.2">
      <c r="A1487" s="5">
        <v>1426</v>
      </c>
      <c r="B1487" s="1821">
        <f>'Expenditures 15-22'!K246</f>
        <v>3366</v>
      </c>
      <c r="C1487" s="2" t="s">
        <v>569</v>
      </c>
      <c r="D1487" s="2" t="str">
        <f t="shared" si="22"/>
        <v>Error?</v>
      </c>
    </row>
    <row r="1488" spans="1:4" x14ac:dyDescent="0.2">
      <c r="A1488" s="5">
        <v>1427</v>
      </c>
      <c r="B1488" s="1821">
        <f>'Expenditures 15-22'!K257</f>
        <v>14504</v>
      </c>
      <c r="C1488" s="2" t="s">
        <v>569</v>
      </c>
      <c r="D1488" s="2" t="str">
        <f t="shared" si="22"/>
        <v>Error?</v>
      </c>
    </row>
    <row r="1489" spans="1:4" x14ac:dyDescent="0.2">
      <c r="A1489" s="5">
        <v>1428</v>
      </c>
      <c r="B1489" s="1821">
        <f>'Expenditures 15-22'!K259</f>
        <v>7866</v>
      </c>
      <c r="C1489" s="2" t="s">
        <v>569</v>
      </c>
      <c r="D1489" s="2" t="str">
        <f t="shared" si="22"/>
        <v>Error?</v>
      </c>
    </row>
    <row r="1490" spans="1:4" x14ac:dyDescent="0.2">
      <c r="A1490" s="5">
        <v>1429</v>
      </c>
      <c r="B1490" s="1821">
        <f>'Expenditures 15-22'!K260</f>
        <v>321</v>
      </c>
      <c r="C1490" s="2" t="s">
        <v>569</v>
      </c>
      <c r="D1490" s="2" t="str">
        <f t="shared" si="22"/>
        <v>Error?</v>
      </c>
    </row>
    <row r="1491" spans="1:4" x14ac:dyDescent="0.2">
      <c r="A1491" s="5">
        <v>1430</v>
      </c>
      <c r="B1491" s="1821">
        <f>'Expenditures 15-22'!K261</f>
        <v>8187</v>
      </c>
      <c r="C1491" s="2" t="s">
        <v>569</v>
      </c>
      <c r="D1491" s="2" t="str">
        <f t="shared" si="22"/>
        <v>Error?</v>
      </c>
    </row>
    <row r="1492" spans="1:4" x14ac:dyDescent="0.2">
      <c r="A1492" s="5">
        <v>1431</v>
      </c>
      <c r="B1492" s="1821">
        <f>'Expenditures 15-22'!K263</f>
        <v>1140</v>
      </c>
      <c r="C1492" s="2" t="s">
        <v>569</v>
      </c>
      <c r="D1492" s="2" t="str">
        <f t="shared" si="22"/>
        <v>Error?</v>
      </c>
    </row>
    <row r="1493" spans="1:4" x14ac:dyDescent="0.2">
      <c r="A1493" s="5">
        <v>1432</v>
      </c>
      <c r="B1493" s="1821">
        <f>'Expenditures 15-22'!K264</f>
        <v>21514</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51050</v>
      </c>
      <c r="C1495" s="2" t="s">
        <v>569</v>
      </c>
      <c r="D1495" s="2" t="str">
        <f t="shared" si="22"/>
        <v>Error?</v>
      </c>
    </row>
    <row r="1496" spans="1:4" x14ac:dyDescent="0.2">
      <c r="A1496" s="5">
        <v>1435</v>
      </c>
      <c r="B1496" s="1821">
        <f>'Expenditures 15-22'!K267</f>
        <v>49344</v>
      </c>
      <c r="C1496" s="2" t="s">
        <v>569</v>
      </c>
      <c r="D1496" s="2" t="str">
        <f t="shared" si="22"/>
        <v>Error?</v>
      </c>
    </row>
    <row r="1497" spans="1:4" x14ac:dyDescent="0.2">
      <c r="A1497" s="5">
        <v>1436</v>
      </c>
      <c r="B1497" s="1821">
        <f>'Expenditures 15-22'!K268</f>
        <v>15426</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138474</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209206</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293007</v>
      </c>
      <c r="C1517" s="2" t="s">
        <v>569</v>
      </c>
      <c r="D1517" s="2" t="str">
        <f t="shared" si="22"/>
        <v>Error?</v>
      </c>
    </row>
    <row r="1518" spans="1:4" x14ac:dyDescent="0.2">
      <c r="A1518" s="5">
        <v>1457</v>
      </c>
      <c r="B1518" s="1821">
        <f>'Expenditures 15-22'!K296</f>
        <v>21425</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0</v>
      </c>
      <c r="C1547" s="2" t="s">
        <v>569</v>
      </c>
      <c r="D1547" s="2" t="str">
        <f t="shared" si="23"/>
        <v>Error?</v>
      </c>
    </row>
    <row r="1548" spans="1:4" x14ac:dyDescent="0.2">
      <c r="A1548" s="5">
        <v>1487</v>
      </c>
      <c r="B1548" s="1821">
        <f>'Expenditures 15-22'!G312</f>
        <v>0</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0</v>
      </c>
      <c r="C1559" s="2" t="s">
        <v>569</v>
      </c>
      <c r="D1559" s="2" t="str">
        <f t="shared" si="23"/>
        <v>Error?</v>
      </c>
    </row>
    <row r="1560" spans="1:4" x14ac:dyDescent="0.2">
      <c r="A1560" s="5">
        <v>1499</v>
      </c>
      <c r="B1560" s="1821">
        <f>'Expenditures 15-22'!K312</f>
        <v>0</v>
      </c>
      <c r="C1560" s="2" t="s">
        <v>569</v>
      </c>
      <c r="D1560" s="2" t="str">
        <f t="shared" si="23"/>
        <v>Error?</v>
      </c>
    </row>
    <row r="1561" spans="1:4" x14ac:dyDescent="0.2">
      <c r="A1561" s="5">
        <v>1500</v>
      </c>
      <c r="B1561" s="1821">
        <f>'Expenditures 15-22'!K313</f>
        <v>3216</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11328535</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11469352</v>
      </c>
      <c r="C1630" s="2" t="s">
        <v>569</v>
      </c>
      <c r="D1630" s="2" t="str">
        <f t="shared" si="24"/>
        <v>Error?</v>
      </c>
    </row>
    <row r="1631" spans="1:4" x14ac:dyDescent="0.2">
      <c r="A1631" s="5">
        <v>1570</v>
      </c>
      <c r="B1631" s="1821">
        <f>'Acct Summary 7-8'!D79</f>
        <v>973771</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1064511</v>
      </c>
      <c r="C1644" s="2" t="s">
        <v>569</v>
      </c>
      <c r="D1644" s="2" t="str">
        <f t="shared" si="24"/>
        <v>Error?</v>
      </c>
    </row>
    <row r="1645" spans="1:4" x14ac:dyDescent="0.2">
      <c r="A1645" s="5">
        <v>1584</v>
      </c>
      <c r="B1645" s="1821">
        <f>'Acct Summary 7-8'!E79</f>
        <v>1425054</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1389069</v>
      </c>
      <c r="C1658" s="2" t="s">
        <v>569</v>
      </c>
      <c r="D1658" s="2" t="str">
        <f t="shared" si="24"/>
        <v>Error?</v>
      </c>
    </row>
    <row r="1659" spans="1:4" x14ac:dyDescent="0.2">
      <c r="A1659" s="5">
        <v>1598</v>
      </c>
      <c r="B1659" s="1821">
        <f>'Acct Summary 7-8'!F79</f>
        <v>1517296</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1404289</v>
      </c>
      <c r="C1672" s="2" t="s">
        <v>569</v>
      </c>
      <c r="D1672" s="2" t="str">
        <f t="shared" si="25"/>
        <v>Error?</v>
      </c>
    </row>
    <row r="1673" spans="1:4" x14ac:dyDescent="0.2">
      <c r="A1673" s="5">
        <v>1612</v>
      </c>
      <c r="B1673" s="1821">
        <f>'Acct Summary 7-8'!G79</f>
        <v>132181</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153606</v>
      </c>
      <c r="C1686" s="2" t="s">
        <v>569</v>
      </c>
      <c r="D1686" s="2" t="str">
        <f t="shared" si="25"/>
        <v>Error?</v>
      </c>
    </row>
    <row r="1687" spans="1:4" x14ac:dyDescent="0.2">
      <c r="A1687" s="5">
        <v>1626</v>
      </c>
      <c r="B1687" s="1821">
        <f>'Acct Summary 7-8'!H79</f>
        <v>4863</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3216</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6100999</v>
      </c>
      <c r="C1744" s="2" t="s">
        <v>569</v>
      </c>
      <c r="D1744" s="2" t="str">
        <f t="shared" si="26"/>
        <v>Error?</v>
      </c>
    </row>
    <row r="1745" spans="1:5" x14ac:dyDescent="0.2">
      <c r="A1745" s="5">
        <v>1684</v>
      </c>
      <c r="B1745" s="1821">
        <f>'Tax Sched 23'!B5</f>
        <v>1167290</v>
      </c>
      <c r="C1745" s="2" t="s">
        <v>569</v>
      </c>
      <c r="D1745" s="2" t="str">
        <f t="shared" si="26"/>
        <v>Error?</v>
      </c>
    </row>
    <row r="1746" spans="1:5" x14ac:dyDescent="0.2">
      <c r="A1746" s="5">
        <v>1685</v>
      </c>
      <c r="B1746" s="1821">
        <f>'Tax Sched 23'!B6</f>
        <v>2642903</v>
      </c>
      <c r="C1746" s="2" t="s">
        <v>569</v>
      </c>
      <c r="D1746" s="2" t="str">
        <f t="shared" si="26"/>
        <v>Error?</v>
      </c>
    </row>
    <row r="1747" spans="1:5" x14ac:dyDescent="0.2">
      <c r="A1747" s="5">
        <v>1686</v>
      </c>
      <c r="B1747" s="1821">
        <f>'Tax Sched 23'!B7</f>
        <v>72251</v>
      </c>
      <c r="C1747" s="2" t="s">
        <v>569</v>
      </c>
      <c r="D1747" s="2" t="str">
        <f t="shared" si="26"/>
        <v>Error?</v>
      </c>
    </row>
    <row r="1748" spans="1:5" x14ac:dyDescent="0.2">
      <c r="A1748" s="5">
        <v>1687</v>
      </c>
      <c r="B1748" s="1821">
        <f>'Tax Sched 23'!B8</f>
        <v>116944</v>
      </c>
      <c r="C1748" s="2" t="s">
        <v>569</v>
      </c>
      <c r="D1748" s="2" t="str">
        <f t="shared" si="26"/>
        <v>Error?</v>
      </c>
    </row>
    <row r="1749" spans="1:5" x14ac:dyDescent="0.2">
      <c r="A1749" s="5">
        <v>1688</v>
      </c>
      <c r="B1749" s="1821">
        <f>'Tax Sched 23'!B10</f>
        <v>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79259</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77311</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10410698</v>
      </c>
      <c r="C1759" s="2" t="s">
        <v>569</v>
      </c>
      <c r="D1759" s="2" t="str">
        <f t="shared" si="26"/>
        <v>Error?</v>
      </c>
    </row>
    <row r="1760" spans="1:5" x14ac:dyDescent="0.2">
      <c r="A1760" s="5">
        <v>1699</v>
      </c>
      <c r="B1760" s="1821">
        <f>'Tax Sched 23'!D4</f>
        <v>2999371.73</v>
      </c>
      <c r="C1760" s="2" t="s">
        <v>569</v>
      </c>
      <c r="D1760" s="2" t="str">
        <f t="shared" si="26"/>
        <v>Error?</v>
      </c>
    </row>
    <row r="1761" spans="1:7" x14ac:dyDescent="0.2">
      <c r="A1761" s="5">
        <v>1700</v>
      </c>
      <c r="B1761" s="1821">
        <f>'Tax Sched 23'!D5</f>
        <v>565832.31999999995</v>
      </c>
      <c r="C1761" s="2" t="s">
        <v>569</v>
      </c>
      <c r="D1761" s="2" t="str">
        <f t="shared" si="26"/>
        <v>Error?</v>
      </c>
    </row>
    <row r="1762" spans="1:7" s="8" customFormat="1" x14ac:dyDescent="0.2">
      <c r="A1762" s="5">
        <v>1701</v>
      </c>
      <c r="B1762" s="1821">
        <f>'Tax Sched 23'!D6</f>
        <v>1260794.48</v>
      </c>
      <c r="C1762" s="2" t="s">
        <v>569</v>
      </c>
      <c r="D1762" s="2" t="str">
        <f t="shared" si="26"/>
        <v>Error?</v>
      </c>
      <c r="E1762" s="9"/>
      <c r="G1762"/>
    </row>
    <row r="1763" spans="1:7" x14ac:dyDescent="0.2">
      <c r="A1763" s="5">
        <v>1702</v>
      </c>
      <c r="B1763" s="1821">
        <f>'Tax Sched 23'!D7</f>
        <v>48662.83</v>
      </c>
      <c r="C1763" s="2" t="s">
        <v>569</v>
      </c>
      <c r="D1763" s="2" t="str">
        <f t="shared" si="26"/>
        <v>Error?</v>
      </c>
    </row>
    <row r="1764" spans="1:7" x14ac:dyDescent="0.2">
      <c r="A1764" s="5">
        <v>1703</v>
      </c>
      <c r="B1764" s="1821">
        <f>'Tax Sched 23'!D8</f>
        <v>57503.76</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36801.68</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37214.050000000003</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5082084.8699999982</v>
      </c>
      <c r="C1775" s="2" t="s">
        <v>569</v>
      </c>
      <c r="D1775" s="2" t="str">
        <f t="shared" si="26"/>
        <v>Error?</v>
      </c>
    </row>
    <row r="1776" spans="1:7" x14ac:dyDescent="0.2">
      <c r="A1776" s="5">
        <v>1715</v>
      </c>
      <c r="B1776" s="1821">
        <f>'Tax Sched 23'!C4</f>
        <v>3101627.27</v>
      </c>
      <c r="D1776" s="2" t="str">
        <f t="shared" si="26"/>
        <v>Error?</v>
      </c>
    </row>
    <row r="1777" spans="1:4" x14ac:dyDescent="0.2">
      <c r="A1777" s="5">
        <v>1716</v>
      </c>
      <c r="B1777" s="1821">
        <f>'Tax Sched 23'!C5</f>
        <v>601457.68000000005</v>
      </c>
      <c r="D1777" s="2" t="str">
        <f t="shared" si="26"/>
        <v>Error?</v>
      </c>
    </row>
    <row r="1778" spans="1:4" x14ac:dyDescent="0.2">
      <c r="A1778" s="5">
        <v>1717</v>
      </c>
      <c r="B1778" s="1821">
        <f>'Tax Sched 23'!C6</f>
        <v>1382108.52</v>
      </c>
      <c r="D1778" s="2" t="str">
        <f t="shared" si="26"/>
        <v>Error?</v>
      </c>
    </row>
    <row r="1779" spans="1:4" x14ac:dyDescent="0.2">
      <c r="A1779" s="5">
        <v>1718</v>
      </c>
      <c r="B1779" s="1821">
        <f>'Tax Sched 23'!C7</f>
        <v>23588.17</v>
      </c>
      <c r="D1779" s="2" t="str">
        <f t="shared" si="26"/>
        <v>Error?</v>
      </c>
    </row>
    <row r="1780" spans="1:4" x14ac:dyDescent="0.2">
      <c r="A1780" s="5">
        <v>1719</v>
      </c>
      <c r="B1780" s="1821">
        <f>'Tax Sched 23'!C8</f>
        <v>59440.24</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42457.32</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40096.949999999997</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5328613.1300000018</v>
      </c>
      <c r="C1791" s="2" t="s">
        <v>569</v>
      </c>
      <c r="D1791" s="2" t="str">
        <f t="shared" ref="D1791:D1854" si="27">IF(ISBLANK(B1791),"OK",IF(A1791-B1791=0,"OK","Error?"))</f>
        <v>Error?</v>
      </c>
    </row>
    <row r="1792" spans="1:4" x14ac:dyDescent="0.2">
      <c r="A1792" s="5">
        <v>1731</v>
      </c>
      <c r="B1792" s="1821">
        <f>'Tax Sched 23'!F4</f>
        <v>3428782.73</v>
      </c>
      <c r="C1792" s="2" t="s">
        <v>569</v>
      </c>
      <c r="D1792" s="2" t="str">
        <f t="shared" si="27"/>
        <v>Error?</v>
      </c>
    </row>
    <row r="1793" spans="1:4" x14ac:dyDescent="0.2">
      <c r="A1793" s="5">
        <v>1732</v>
      </c>
      <c r="B1793" s="1821">
        <f>'Tax Sched 23'!F5</f>
        <v>664898.31999999995</v>
      </c>
      <c r="C1793" s="2" t="s">
        <v>569</v>
      </c>
      <c r="D1793" s="2" t="str">
        <f t="shared" si="27"/>
        <v>Error?</v>
      </c>
    </row>
    <row r="1794" spans="1:4" x14ac:dyDescent="0.2">
      <c r="A1794" s="5">
        <v>1733</v>
      </c>
      <c r="B1794" s="1821">
        <f>'Tax Sched 23'!F6</f>
        <v>1527891.48</v>
      </c>
      <c r="C1794" s="2" t="s">
        <v>569</v>
      </c>
      <c r="D1794" s="2" t="str">
        <f t="shared" si="27"/>
        <v>Error?</v>
      </c>
    </row>
    <row r="1795" spans="1:4" x14ac:dyDescent="0.2">
      <c r="A1795" s="5">
        <v>1734</v>
      </c>
      <c r="B1795" s="1821">
        <f>'Tax Sched 23'!F7</f>
        <v>26075.83</v>
      </c>
      <c r="C1795" s="2" t="s">
        <v>569</v>
      </c>
      <c r="D1795" s="2" t="str">
        <f t="shared" si="27"/>
        <v>Error?</v>
      </c>
    </row>
    <row r="1796" spans="1:4" x14ac:dyDescent="0.2">
      <c r="A1796" s="5">
        <v>1735</v>
      </c>
      <c r="B1796" s="1821">
        <f>'Tax Sched 23'!F8</f>
        <v>65709.899999999994</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46935.68</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44326.05</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5890667.0099999988</v>
      </c>
      <c r="C1807" s="2" t="s">
        <v>569</v>
      </c>
      <c r="D1807" s="2" t="str">
        <f t="shared" si="27"/>
        <v>Error?</v>
      </c>
    </row>
    <row r="1808" spans="1:4" x14ac:dyDescent="0.2">
      <c r="A1808" s="5">
        <v>1747</v>
      </c>
      <c r="B1808" s="1821">
        <f>'Tax Sched 23'!E4</f>
        <v>6530410</v>
      </c>
      <c r="D1808" s="2" t="str">
        <f t="shared" si="27"/>
        <v>Error?</v>
      </c>
    </row>
    <row r="1809" spans="1:4" x14ac:dyDescent="0.2">
      <c r="A1809" s="5">
        <v>1748</v>
      </c>
      <c r="B1809" s="1821">
        <f>'Tax Sched 23'!E5</f>
        <v>1266356</v>
      </c>
      <c r="D1809" s="2" t="str">
        <f t="shared" si="27"/>
        <v>Error?</v>
      </c>
    </row>
    <row r="1810" spans="1:4" x14ac:dyDescent="0.2">
      <c r="A1810" s="5">
        <v>1749</v>
      </c>
      <c r="B1810" s="1821">
        <f>'Tax Sched 23'!E6</f>
        <v>2910000</v>
      </c>
      <c r="D1810" s="2" t="str">
        <f t="shared" si="27"/>
        <v>Error?</v>
      </c>
    </row>
    <row r="1811" spans="1:4" x14ac:dyDescent="0.2">
      <c r="A1811" s="5">
        <v>1750</v>
      </c>
      <c r="B1811" s="1821">
        <f>'Tax Sched 23'!E7</f>
        <v>49664</v>
      </c>
      <c r="D1811" s="2" t="str">
        <f t="shared" si="27"/>
        <v>Error?</v>
      </c>
    </row>
    <row r="1812" spans="1:4" x14ac:dyDescent="0.2">
      <c r="A1812" s="5">
        <v>1751</v>
      </c>
      <c r="B1812" s="1821">
        <f>'Tax Sched 23'!E8</f>
        <v>125150.14</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89393</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84423</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11219280.140000001</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1087295</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77311</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77311</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77311</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1174836</v>
      </c>
      <c r="D2008" s="2" t="str">
        <f t="shared" si="30"/>
        <v>Error?</v>
      </c>
    </row>
    <row r="2009" spans="1:4" x14ac:dyDescent="0.2">
      <c r="A2009" s="5">
        <v>1948</v>
      </c>
      <c r="B2009" s="1821">
        <f>'Cap Outlay Deprec 26'!C8</f>
        <v>31122012</v>
      </c>
      <c r="D2009" s="2" t="str">
        <f t="shared" si="30"/>
        <v>Error?</v>
      </c>
    </row>
    <row r="2010" spans="1:4" x14ac:dyDescent="0.2">
      <c r="A2010" s="5">
        <v>1949</v>
      </c>
      <c r="B2010" s="1821">
        <f>'Cap Outlay Deprec 26'!C10</f>
        <v>2918346</v>
      </c>
      <c r="D2010" s="2" t="str">
        <f t="shared" si="30"/>
        <v>Error?</v>
      </c>
    </row>
    <row r="2011" spans="1:4" x14ac:dyDescent="0.2">
      <c r="A2011" s="5">
        <v>1950</v>
      </c>
      <c r="B2011" s="1821">
        <f>'Cap Outlay Deprec 26'!C12</f>
        <v>2069016</v>
      </c>
      <c r="D2011" s="2" t="str">
        <f t="shared" si="30"/>
        <v>Error?</v>
      </c>
    </row>
    <row r="2012" spans="1:4" x14ac:dyDescent="0.2">
      <c r="A2012" s="5">
        <v>1951</v>
      </c>
      <c r="B2012" s="1821">
        <f>'Cap Outlay Deprec 26'!C13</f>
        <v>1239353</v>
      </c>
      <c r="D2012" s="2" t="str">
        <f t="shared" si="30"/>
        <v>Error?</v>
      </c>
    </row>
    <row r="2013" spans="1:4" x14ac:dyDescent="0.2">
      <c r="A2013" s="5">
        <v>1952</v>
      </c>
      <c r="B2013" s="1821">
        <f>'Cap Outlay Deprec 26'!C16</f>
        <v>38523563</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0</v>
      </c>
      <c r="D2015" s="2" t="str">
        <f t="shared" si="30"/>
        <v>Error?</v>
      </c>
    </row>
    <row r="2016" spans="1:4" x14ac:dyDescent="0.2">
      <c r="A2016" s="5">
        <v>1955</v>
      </c>
      <c r="B2016" s="1821">
        <f>'Cap Outlay Deprec 26'!D10</f>
        <v>67997</v>
      </c>
      <c r="D2016" s="2" t="str">
        <f t="shared" si="30"/>
        <v>Error?</v>
      </c>
    </row>
    <row r="2017" spans="1:4" x14ac:dyDescent="0.2">
      <c r="A2017" s="5">
        <v>1956</v>
      </c>
      <c r="B2017" s="1821">
        <f>'Cap Outlay Deprec 26'!D12</f>
        <v>51283</v>
      </c>
      <c r="D2017" s="2" t="str">
        <f t="shared" si="30"/>
        <v>Error?</v>
      </c>
    </row>
    <row r="2018" spans="1:4" x14ac:dyDescent="0.2">
      <c r="A2018" s="5">
        <v>1957</v>
      </c>
      <c r="B2018" s="1821">
        <f>'Cap Outlay Deprec 26'!D13</f>
        <v>52394</v>
      </c>
      <c r="D2018" s="2" t="str">
        <f t="shared" si="30"/>
        <v>Error?</v>
      </c>
    </row>
    <row r="2019" spans="1:4" x14ac:dyDescent="0.2">
      <c r="A2019" s="5">
        <v>1958</v>
      </c>
      <c r="B2019" s="1821">
        <f>'Cap Outlay Deprec 26'!D16</f>
        <v>171674</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45251.75</v>
      </c>
      <c r="D2023" s="2" t="str">
        <f t="shared" si="30"/>
        <v>Error?</v>
      </c>
    </row>
    <row r="2024" spans="1:4" x14ac:dyDescent="0.2">
      <c r="A2024" s="5">
        <v>1963</v>
      </c>
      <c r="B2024" s="1821">
        <f>'Cap Outlay Deprec 26'!E13</f>
        <v>308197</v>
      </c>
      <c r="D2024" s="2" t="str">
        <f t="shared" si="30"/>
        <v>Error?</v>
      </c>
    </row>
    <row r="2025" spans="1:4" x14ac:dyDescent="0.2">
      <c r="A2025" s="5">
        <v>1964</v>
      </c>
      <c r="B2025" s="1821">
        <f>'Cap Outlay Deprec 26'!E16</f>
        <v>353448.75</v>
      </c>
      <c r="C2025" s="2" t="s">
        <v>569</v>
      </c>
      <c r="D2025" s="2" t="str">
        <f t="shared" si="30"/>
        <v>Error?</v>
      </c>
    </row>
    <row r="2026" spans="1:4" x14ac:dyDescent="0.2">
      <c r="A2026" s="5">
        <v>1965</v>
      </c>
      <c r="B2026" s="1821">
        <f>'Cap Outlay Deprec 26'!F5</f>
        <v>1174836</v>
      </c>
      <c r="C2026" s="2" t="s">
        <v>569</v>
      </c>
      <c r="D2026" s="2" t="str">
        <f t="shared" si="30"/>
        <v>Error?</v>
      </c>
    </row>
    <row r="2027" spans="1:4" x14ac:dyDescent="0.2">
      <c r="A2027" s="5">
        <v>1966</v>
      </c>
      <c r="B2027" s="1821">
        <f>'Cap Outlay Deprec 26'!F8</f>
        <v>31122012</v>
      </c>
      <c r="C2027" s="2" t="s">
        <v>569</v>
      </c>
      <c r="D2027" s="2" t="str">
        <f t="shared" si="30"/>
        <v>Error?</v>
      </c>
    </row>
    <row r="2028" spans="1:4" x14ac:dyDescent="0.2">
      <c r="A2028" s="5">
        <v>1967</v>
      </c>
      <c r="B2028" s="1821">
        <f>'Cap Outlay Deprec 26'!F10</f>
        <v>2986343</v>
      </c>
      <c r="C2028" s="2" t="s">
        <v>569</v>
      </c>
      <c r="D2028" s="2" t="str">
        <f t="shared" si="30"/>
        <v>Error?</v>
      </c>
    </row>
    <row r="2029" spans="1:4" x14ac:dyDescent="0.2">
      <c r="A2029" s="5">
        <v>1968</v>
      </c>
      <c r="B2029" s="1821">
        <f>'Cap Outlay Deprec 26'!F12</f>
        <v>2075047.25</v>
      </c>
      <c r="C2029" s="2" t="s">
        <v>569</v>
      </c>
      <c r="D2029" s="2" t="str">
        <f t="shared" si="30"/>
        <v>Error?</v>
      </c>
    </row>
    <row r="2030" spans="1:4" x14ac:dyDescent="0.2">
      <c r="A2030" s="5">
        <v>1969</v>
      </c>
      <c r="B2030" s="1821">
        <f>'Cap Outlay Deprec 26'!F13</f>
        <v>983550</v>
      </c>
      <c r="C2030" s="2" t="s">
        <v>569</v>
      </c>
      <c r="D2030" s="2" t="str">
        <f t="shared" si="30"/>
        <v>Error?</v>
      </c>
    </row>
    <row r="2031" spans="1:4" x14ac:dyDescent="0.2">
      <c r="A2031" s="5">
        <v>1970</v>
      </c>
      <c r="B2031" s="1821">
        <f>'Cap Outlay Deprec 26'!F16</f>
        <v>38341788.25</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9925875</v>
      </c>
      <c r="D2033" s="2" t="str">
        <f t="shared" si="30"/>
        <v>Error?</v>
      </c>
    </row>
    <row r="2034" spans="1:4" x14ac:dyDescent="0.2">
      <c r="A2034" s="5">
        <v>1973</v>
      </c>
      <c r="B2034" s="1821">
        <f>'Cap Outlay Deprec 26'!H10</f>
        <v>2220479</v>
      </c>
      <c r="D2034" s="2" t="str">
        <f t="shared" si="30"/>
        <v>Error?</v>
      </c>
    </row>
    <row r="2035" spans="1:4" x14ac:dyDescent="0.2">
      <c r="A2035" s="5">
        <v>1974</v>
      </c>
      <c r="B2035" s="1821">
        <f>'Cap Outlay Deprec 26'!H12</f>
        <v>1550067</v>
      </c>
      <c r="D2035" s="2" t="str">
        <f t="shared" si="30"/>
        <v>Error?</v>
      </c>
    </row>
    <row r="2036" spans="1:4" x14ac:dyDescent="0.2">
      <c r="A2036" s="5">
        <v>1975</v>
      </c>
      <c r="B2036" s="1821">
        <f>'Cap Outlay Deprec 26'!H13</f>
        <v>1158894</v>
      </c>
      <c r="D2036" s="2" t="str">
        <f t="shared" si="30"/>
        <v>Error?</v>
      </c>
    </row>
    <row r="2037" spans="1:4" x14ac:dyDescent="0.2">
      <c r="A2037" s="5">
        <v>1976</v>
      </c>
      <c r="B2037" s="1821">
        <f>'Cap Outlay Deprec 26'!H16</f>
        <v>14855315</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646035</v>
      </c>
      <c r="D2039" s="2" t="str">
        <f t="shared" si="30"/>
        <v>Error?</v>
      </c>
    </row>
    <row r="2040" spans="1:4" x14ac:dyDescent="0.2">
      <c r="A2040" s="5">
        <v>1979</v>
      </c>
      <c r="B2040" s="1821">
        <f>'Cap Outlay Deprec 26'!I10</f>
        <v>118509.06</v>
      </c>
      <c r="D2040" s="2" t="str">
        <f t="shared" si="30"/>
        <v>Error?</v>
      </c>
    </row>
    <row r="2041" spans="1:4" x14ac:dyDescent="0.2">
      <c r="A2041" s="5">
        <v>1980</v>
      </c>
      <c r="B2041" s="1821">
        <f>'Cap Outlay Deprec 26'!I12</f>
        <v>82912.539999999994</v>
      </c>
      <c r="D2041" s="2" t="str">
        <f t="shared" si="30"/>
        <v>Error?</v>
      </c>
    </row>
    <row r="2042" spans="1:4" x14ac:dyDescent="0.2">
      <c r="A2042" s="5">
        <v>1981</v>
      </c>
      <c r="B2042" s="1821">
        <f>'Cap Outlay Deprec 26'!I13</f>
        <v>52531.77</v>
      </c>
      <c r="D2042" s="2" t="str">
        <f t="shared" si="30"/>
        <v>Error?</v>
      </c>
    </row>
    <row r="2043" spans="1:4" x14ac:dyDescent="0.2">
      <c r="A2043" s="5">
        <v>1982</v>
      </c>
      <c r="B2043" s="1821">
        <f>'Cap Outlay Deprec 26'!I16</f>
        <v>899988.37000000011</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36439</v>
      </c>
      <c r="D2047" s="2" t="str">
        <f t="shared" ref="D2047:D2110" si="31">IF(ISBLANK(B2047),"OK",IF(A2047-B2047=0,"OK","Error?"))</f>
        <v>Error?</v>
      </c>
    </row>
    <row r="2048" spans="1:4" x14ac:dyDescent="0.2">
      <c r="A2048" s="5">
        <v>1987</v>
      </c>
      <c r="B2048" s="1821">
        <f>'Cap Outlay Deprec 26'!J13</f>
        <v>308197</v>
      </c>
      <c r="D2048" s="2" t="str">
        <f t="shared" si="31"/>
        <v>Error?</v>
      </c>
    </row>
    <row r="2049" spans="1:4" x14ac:dyDescent="0.2">
      <c r="A2049" s="5">
        <v>1988</v>
      </c>
      <c r="B2049" s="1821">
        <f>'Cap Outlay Deprec 26'!J16</f>
        <v>344636</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10571910</v>
      </c>
      <c r="C2051" s="2" t="s">
        <v>569</v>
      </c>
      <c r="D2051" s="2" t="str">
        <f t="shared" si="31"/>
        <v>Error?</v>
      </c>
    </row>
    <row r="2052" spans="1:4" x14ac:dyDescent="0.2">
      <c r="A2052" s="5">
        <v>1991</v>
      </c>
      <c r="B2052" s="1821">
        <f>'Cap Outlay Deprec 26'!K10</f>
        <v>2338988.06</v>
      </c>
      <c r="C2052" s="2" t="s">
        <v>569</v>
      </c>
      <c r="D2052" s="2" t="str">
        <f t="shared" si="31"/>
        <v>Error?</v>
      </c>
    </row>
    <row r="2053" spans="1:4" x14ac:dyDescent="0.2">
      <c r="A2053" s="5">
        <v>1992</v>
      </c>
      <c r="B2053" s="1821">
        <f>'Cap Outlay Deprec 26'!K12</f>
        <v>1596540.54</v>
      </c>
      <c r="C2053" s="2" t="s">
        <v>569</v>
      </c>
      <c r="D2053" s="2" t="str">
        <f t="shared" si="31"/>
        <v>Error?</v>
      </c>
    </row>
    <row r="2054" spans="1:4" x14ac:dyDescent="0.2">
      <c r="A2054" s="5">
        <v>1993</v>
      </c>
      <c r="B2054" s="1821">
        <f>'Cap Outlay Deprec 26'!K13</f>
        <v>903228.77</v>
      </c>
      <c r="C2054" s="2" t="s">
        <v>569</v>
      </c>
      <c r="D2054" s="2" t="str">
        <f t="shared" si="31"/>
        <v>Error?</v>
      </c>
    </row>
    <row r="2055" spans="1:4" x14ac:dyDescent="0.2">
      <c r="A2055" s="5">
        <v>1994</v>
      </c>
      <c r="B2055" s="1821">
        <f>'Cap Outlay Deprec 26'!K16</f>
        <v>15410667.370000001</v>
      </c>
      <c r="C2055" s="2" t="s">
        <v>569</v>
      </c>
      <c r="D2055" s="2" t="str">
        <f t="shared" si="31"/>
        <v>Error?</v>
      </c>
    </row>
    <row r="2056" spans="1:4" x14ac:dyDescent="0.2">
      <c r="A2056" s="5">
        <v>1995</v>
      </c>
      <c r="B2056" s="1821">
        <f>'Cap Outlay Deprec 26'!L5</f>
        <v>1174836</v>
      </c>
      <c r="C2056" s="2" t="s">
        <v>569</v>
      </c>
      <c r="D2056" s="2" t="str">
        <f t="shared" si="31"/>
        <v>Error?</v>
      </c>
    </row>
    <row r="2057" spans="1:4" x14ac:dyDescent="0.2">
      <c r="A2057" s="5">
        <v>1996</v>
      </c>
      <c r="B2057" s="1821">
        <f>'Cap Outlay Deprec 26'!L8</f>
        <v>20550102</v>
      </c>
      <c r="C2057" s="2" t="s">
        <v>569</v>
      </c>
      <c r="D2057" s="2" t="str">
        <f t="shared" si="31"/>
        <v>Error?</v>
      </c>
    </row>
    <row r="2058" spans="1:4" x14ac:dyDescent="0.2">
      <c r="A2058" s="5">
        <v>1997</v>
      </c>
      <c r="B2058" s="1821">
        <f>'Cap Outlay Deprec 26'!L10</f>
        <v>647354.93999999994</v>
      </c>
      <c r="C2058" s="2" t="s">
        <v>569</v>
      </c>
      <c r="D2058" s="2" t="str">
        <f t="shared" si="31"/>
        <v>Error?</v>
      </c>
    </row>
    <row r="2059" spans="1:4" x14ac:dyDescent="0.2">
      <c r="A2059" s="5">
        <v>1998</v>
      </c>
      <c r="B2059" s="1821">
        <f>'Cap Outlay Deprec 26'!L12</f>
        <v>478506.70999999996</v>
      </c>
      <c r="C2059" s="2" t="s">
        <v>569</v>
      </c>
      <c r="D2059" s="2" t="str">
        <f t="shared" si="31"/>
        <v>Error?</v>
      </c>
    </row>
    <row r="2060" spans="1:4" x14ac:dyDescent="0.2">
      <c r="A2060" s="5">
        <v>1999</v>
      </c>
      <c r="B2060" s="1821">
        <f>'Cap Outlay Deprec 26'!L13</f>
        <v>80321.229999999981</v>
      </c>
      <c r="C2060" s="2" t="s">
        <v>569</v>
      </c>
      <c r="D2060" s="2" t="str">
        <f t="shared" si="31"/>
        <v>Error?</v>
      </c>
    </row>
    <row r="2061" spans="1:4" x14ac:dyDescent="0.2">
      <c r="A2061" s="5">
        <v>2000</v>
      </c>
      <c r="B2061" s="1821">
        <f>'Cap Outlay Deprec 26'!L16</f>
        <v>22931120.879999999</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20985</v>
      </c>
      <c r="C2088" s="2" t="s">
        <v>569</v>
      </c>
      <c r="D2088" s="2" t="str">
        <f t="shared" si="31"/>
        <v>Error?</v>
      </c>
    </row>
    <row r="2089" spans="1:4" x14ac:dyDescent="0.2">
      <c r="A2089" s="5">
        <v>2028</v>
      </c>
      <c r="B2089" s="1821">
        <f>'Expenditures 15-22'!K92</f>
        <v>68675</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79811</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7332850</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1390116</v>
      </c>
      <c r="C2553" s="2" t="s">
        <v>569</v>
      </c>
      <c r="D2553" s="2" t="str">
        <f t="shared" si="38"/>
        <v>Error?</v>
      </c>
    </row>
    <row r="2554" spans="1:4" x14ac:dyDescent="0.2">
      <c r="A2554" s="5">
        <v>2493</v>
      </c>
      <c r="B2554" s="1821">
        <f>'Acct Summary 7-8'!C7</f>
        <v>651735</v>
      </c>
      <c r="C2554" s="2" t="s">
        <v>569</v>
      </c>
      <c r="D2554" s="2" t="str">
        <f t="shared" si="38"/>
        <v>Error?</v>
      </c>
    </row>
    <row r="2555" spans="1:4" x14ac:dyDescent="0.2">
      <c r="A2555" s="5">
        <v>2494</v>
      </c>
      <c r="B2555" s="1821">
        <f>'Acct Summary 7-8'!C8</f>
        <v>9374701</v>
      </c>
      <c r="C2555" s="2" t="s">
        <v>569</v>
      </c>
      <c r="D2555" s="2" t="str">
        <f t="shared" si="38"/>
        <v>Error?</v>
      </c>
    </row>
    <row r="2556" spans="1:4" x14ac:dyDescent="0.2">
      <c r="A2556" s="5">
        <v>2495</v>
      </c>
      <c r="B2556" s="1821">
        <f>'Acct Summary 7-8'!C12</f>
        <v>6328765</v>
      </c>
      <c r="C2556" s="2" t="s">
        <v>569</v>
      </c>
      <c r="D2556" s="2" t="str">
        <f t="shared" si="38"/>
        <v>Error?</v>
      </c>
    </row>
    <row r="2557" spans="1:4" x14ac:dyDescent="0.2">
      <c r="A2557" s="5">
        <v>2496</v>
      </c>
      <c r="B2557" s="1821">
        <f>'Acct Summary 7-8'!C13</f>
        <v>2735459</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89660</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9153884</v>
      </c>
      <c r="C2561" s="2" t="s">
        <v>569</v>
      </c>
      <c r="D2561" s="2" t="str">
        <f t="shared" si="39"/>
        <v>Error?</v>
      </c>
    </row>
    <row r="2562" spans="1:4" x14ac:dyDescent="0.2">
      <c r="A2562" s="5">
        <v>2501</v>
      </c>
      <c r="B2562" s="1821">
        <f>'Acct Summary 7-8'!C20</f>
        <v>220817</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1204494</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1254494</v>
      </c>
      <c r="C2568" s="2" t="s">
        <v>569</v>
      </c>
      <c r="D2568" s="2" t="str">
        <f t="shared" si="39"/>
        <v>Error?</v>
      </c>
    </row>
    <row r="2569" spans="1:4" x14ac:dyDescent="0.2">
      <c r="A2569" s="5">
        <v>2508</v>
      </c>
      <c r="B2569" s="1821">
        <f>'Acct Summary 7-8'!D13</f>
        <v>1174117</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1174117</v>
      </c>
      <c r="C2573" s="2" t="s">
        <v>569</v>
      </c>
      <c r="D2573" s="2" t="str">
        <f t="shared" si="39"/>
        <v>Error?</v>
      </c>
    </row>
    <row r="2574" spans="1:4" x14ac:dyDescent="0.2">
      <c r="A2574" s="5">
        <v>2513</v>
      </c>
      <c r="B2574" s="1821">
        <f>'Acct Summary 7-8'!D20</f>
        <v>80377</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165937</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339682</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505619</v>
      </c>
      <c r="C2595" s="2" t="s">
        <v>569</v>
      </c>
      <c r="D2595" s="2" t="str">
        <f t="shared" si="39"/>
        <v>Error?</v>
      </c>
    </row>
    <row r="2596" spans="1:4" x14ac:dyDescent="0.2">
      <c r="A2596" s="5">
        <v>2535</v>
      </c>
      <c r="B2596" s="1821">
        <f>'Acct Summary 7-8'!F13</f>
        <v>633826</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633826</v>
      </c>
      <c r="C2600" s="2" t="s">
        <v>569</v>
      </c>
      <c r="D2600" s="2" t="str">
        <f t="shared" si="39"/>
        <v>Error?</v>
      </c>
    </row>
    <row r="2601" spans="1:4" x14ac:dyDescent="0.2">
      <c r="A2601" s="5">
        <v>2540</v>
      </c>
      <c r="B2601" s="1821">
        <f>'Acct Summary 7-8'!F20</f>
        <v>-128207</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314432</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314432</v>
      </c>
      <c r="C2606" s="2" t="s">
        <v>569</v>
      </c>
      <c r="D2606" s="2" t="str">
        <f t="shared" si="39"/>
        <v>Error?</v>
      </c>
    </row>
    <row r="2607" spans="1:4" x14ac:dyDescent="0.2">
      <c r="A2607" s="5">
        <v>2546</v>
      </c>
      <c r="B2607" s="1821">
        <f>'Acct Summary 7-8'!G12</f>
        <v>83801</v>
      </c>
      <c r="C2607" s="2" t="s">
        <v>569</v>
      </c>
      <c r="D2607" s="2" t="str">
        <f t="shared" si="39"/>
        <v>Error?</v>
      </c>
    </row>
    <row r="2608" spans="1:4" x14ac:dyDescent="0.2">
      <c r="A2608" s="5">
        <v>2547</v>
      </c>
      <c r="B2608" s="1821">
        <f>'Acct Summary 7-8'!G13</f>
        <v>209206</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293007</v>
      </c>
      <c r="C2612" s="2" t="s">
        <v>569</v>
      </c>
      <c r="D2612" s="2" t="str">
        <f t="shared" si="39"/>
        <v>Error?</v>
      </c>
    </row>
    <row r="2613" spans="1:4" x14ac:dyDescent="0.2">
      <c r="A2613" s="5">
        <v>2552</v>
      </c>
      <c r="B2613" s="1821">
        <f>'Acct Summary 7-8'!G20</f>
        <v>21425</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2664015</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2664015</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2780000</v>
      </c>
      <c r="C2634" s="2" t="s">
        <v>569</v>
      </c>
      <c r="D2634" s="2" t="str">
        <f t="shared" si="40"/>
        <v>Error?</v>
      </c>
    </row>
    <row r="2635" spans="1:4" x14ac:dyDescent="0.2">
      <c r="A2635" s="5">
        <v>2574</v>
      </c>
      <c r="B2635" s="1821">
        <f>'Acct Summary 7-8'!E17</f>
        <v>2780000</v>
      </c>
      <c r="C2635" s="2" t="s">
        <v>569</v>
      </c>
      <c r="D2635" s="2" t="str">
        <f t="shared" si="40"/>
        <v>Error?</v>
      </c>
    </row>
    <row r="2636" spans="1:4" x14ac:dyDescent="0.2">
      <c r="A2636" s="5">
        <v>2575</v>
      </c>
      <c r="B2636" s="1821">
        <f>'Acct Summary 7-8'!E20</f>
        <v>-115985</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3216</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3216</v>
      </c>
      <c r="C2658" s="2" t="s">
        <v>569</v>
      </c>
      <c r="D2658" s="2" t="str">
        <f t="shared" si="40"/>
        <v>Error?</v>
      </c>
    </row>
    <row r="2659" spans="1:4" x14ac:dyDescent="0.2">
      <c r="A2659" s="5">
        <v>2598</v>
      </c>
      <c r="B2659" s="1821">
        <f>'Acct Summary 7-8'!H13</f>
        <v>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0</v>
      </c>
      <c r="C2661" s="2" t="s">
        <v>569</v>
      </c>
      <c r="D2661" s="2" t="str">
        <f t="shared" si="40"/>
        <v>Error?</v>
      </c>
    </row>
    <row r="2662" spans="1:4" x14ac:dyDescent="0.2">
      <c r="A2662" s="5">
        <v>2601</v>
      </c>
      <c r="B2662" s="1821">
        <f>'Acct Summary 7-8'!H20</f>
        <v>3216</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95351</v>
      </c>
      <c r="D2718" s="2" t="str">
        <f t="shared" si="41"/>
        <v>Error?</v>
      </c>
    </row>
    <row r="2719" spans="1:4" x14ac:dyDescent="0.2">
      <c r="A2719" s="5">
        <v>2658</v>
      </c>
      <c r="B2719" s="1821">
        <f>'Expenditures 15-22'!D51</f>
        <v>30791</v>
      </c>
      <c r="D2719" s="2" t="str">
        <f t="shared" si="41"/>
        <v>Error?</v>
      </c>
    </row>
    <row r="2720" spans="1:4" x14ac:dyDescent="0.2">
      <c r="A2720" s="5">
        <v>2659</v>
      </c>
      <c r="B2720" s="1821">
        <f>'Expenditures 15-22'!E51</f>
        <v>894</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127036</v>
      </c>
      <c r="C2724" s="2" t="s">
        <v>569</v>
      </c>
      <c r="D2724" s="2" t="str">
        <f t="shared" si="41"/>
        <v>Error?</v>
      </c>
    </row>
    <row r="2725" spans="1:4" x14ac:dyDescent="0.2">
      <c r="A2725" s="5">
        <v>2664</v>
      </c>
      <c r="B2725" s="1821">
        <f>'Expenditures 15-22'!D247</f>
        <v>1380</v>
      </c>
      <c r="D2725" s="2" t="str">
        <f t="shared" si="41"/>
        <v>Error?</v>
      </c>
    </row>
    <row r="2726" spans="1:4" x14ac:dyDescent="0.2">
      <c r="A2726" s="5">
        <v>2665</v>
      </c>
      <c r="B2726" s="1821">
        <f>'Expenditures 15-22'!K247</f>
        <v>1380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20985</v>
      </c>
      <c r="C2789" s="2" t="s">
        <v>569</v>
      </c>
      <c r="D2789" s="2" t="str">
        <f t="shared" si="42"/>
        <v>Error?</v>
      </c>
    </row>
    <row r="2790" spans="1:4" x14ac:dyDescent="0.2">
      <c r="A2790" s="5">
        <v>2729</v>
      </c>
      <c r="B2790" s="1821">
        <f>'Expenditures 15-22'!E102</f>
        <v>20985</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0</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923749</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1070147</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0</v>
      </c>
      <c r="D2912" s="2" t="str">
        <f t="shared" si="44"/>
        <v>Error?</v>
      </c>
    </row>
    <row r="2913" spans="1:4" x14ac:dyDescent="0.2">
      <c r="A2913" s="5">
        <v>2852</v>
      </c>
      <c r="B2913" s="1821">
        <f>'Assets-Liab 5-6'!I41</f>
        <v>0</v>
      </c>
      <c r="C2913" s="2" t="s">
        <v>569</v>
      </c>
      <c r="D2913" s="2" t="str">
        <f t="shared" si="44"/>
        <v>Error?</v>
      </c>
    </row>
    <row r="2914" spans="1:4" x14ac:dyDescent="0.2">
      <c r="A2914" s="5">
        <v>2853</v>
      </c>
      <c r="B2914" s="1821">
        <f>'Assets-Liab 5-6'!L33</f>
        <v>1070147</v>
      </c>
      <c r="D2914" s="2" t="str">
        <f t="shared" si="44"/>
        <v>Error?</v>
      </c>
    </row>
    <row r="2915" spans="1:4" x14ac:dyDescent="0.2">
      <c r="A2915" s="10">
        <v>2854</v>
      </c>
      <c r="B2915" s="1821"/>
      <c r="D2915" s="2" t="str">
        <f t="shared" si="44"/>
        <v>OK</v>
      </c>
    </row>
    <row r="2916" spans="1:4" x14ac:dyDescent="0.2">
      <c r="A2916" s="5">
        <v>2855</v>
      </c>
      <c r="B2916" s="1821">
        <f>'Assets-Liab 5-6'!L34</f>
        <v>1070147</v>
      </c>
      <c r="C2916" s="2" t="s">
        <v>569</v>
      </c>
      <c r="D2916" s="2" t="str">
        <f t="shared" si="44"/>
        <v>Error?</v>
      </c>
    </row>
    <row r="2917" spans="1:4" x14ac:dyDescent="0.2">
      <c r="A2917" s="5">
        <v>2856</v>
      </c>
      <c r="B2917" s="1821">
        <f>'Assets-Liab 5-6'!L41</f>
        <v>1070147</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1289</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19696</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1289</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19696</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30635</v>
      </c>
      <c r="D3055" s="2" t="str">
        <f t="shared" si="46"/>
        <v>Error?</v>
      </c>
    </row>
    <row r="3056" spans="1:4" x14ac:dyDescent="0.2">
      <c r="A3056" s="5">
        <v>2995</v>
      </c>
      <c r="B3056" s="1821">
        <f>'Expenditures 15-22'!D10</f>
        <v>13398</v>
      </c>
      <c r="D3056" s="2" t="str">
        <f t="shared" si="46"/>
        <v>Error?</v>
      </c>
    </row>
    <row r="3057" spans="1:4" x14ac:dyDescent="0.2">
      <c r="A3057" s="5">
        <v>2996</v>
      </c>
      <c r="B3057" s="1821">
        <f>'Expenditures 15-22'!E10</f>
        <v>8800</v>
      </c>
      <c r="D3057" s="2" t="str">
        <f t="shared" si="46"/>
        <v>Error?</v>
      </c>
    </row>
    <row r="3058" spans="1:4" x14ac:dyDescent="0.2">
      <c r="A3058" s="5">
        <v>2997</v>
      </c>
      <c r="B3058" s="1821">
        <f>'Expenditures 15-22'!F10</f>
        <v>500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53333</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2718</v>
      </c>
      <c r="D3064" s="2" t="str">
        <f t="shared" si="46"/>
        <v>Error?</v>
      </c>
    </row>
    <row r="3065" spans="1:4" x14ac:dyDescent="0.2">
      <c r="A3065" s="5">
        <v>3004</v>
      </c>
      <c r="B3065" s="1821">
        <f>'Expenditures 15-22'!K219</f>
        <v>2718</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4863</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4863</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0</v>
      </c>
      <c r="C3225" s="2" t="s">
        <v>569</v>
      </c>
      <c r="D3225" s="2" t="str">
        <f t="shared" si="49"/>
        <v>Error?</v>
      </c>
    </row>
    <row r="3226" spans="1:4" x14ac:dyDescent="0.2">
      <c r="A3226" s="5">
        <v>3165</v>
      </c>
      <c r="B3226" s="1821">
        <f>'Acct Summary 7-8'!I8</f>
        <v>0</v>
      </c>
      <c r="C3226" s="2" t="s">
        <v>569</v>
      </c>
      <c r="D3226" s="2" t="str">
        <f t="shared" si="49"/>
        <v>Error?</v>
      </c>
    </row>
    <row r="3227" spans="1:4" x14ac:dyDescent="0.2">
      <c r="A3227" s="5">
        <v>3166</v>
      </c>
      <c r="B3227" s="1821">
        <f>'Acct Summary 7-8'!I20</f>
        <v>0</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80000</v>
      </c>
      <c r="C3231" s="2" t="s">
        <v>569</v>
      </c>
      <c r="D3231" s="2" t="str">
        <f t="shared" si="49"/>
        <v>Error?</v>
      </c>
    </row>
    <row r="3232" spans="1:4" x14ac:dyDescent="0.2">
      <c r="A3232" s="5">
        <v>3171</v>
      </c>
      <c r="B3232" s="1821">
        <f>'Acct Summary 7-8'!C77</f>
        <v>-80000</v>
      </c>
      <c r="C3232" s="2" t="s">
        <v>569</v>
      </c>
      <c r="D3232" s="2" t="str">
        <f t="shared" si="49"/>
        <v>Error?</v>
      </c>
    </row>
    <row r="3233" spans="1:4" x14ac:dyDescent="0.2">
      <c r="A3233" s="5">
        <v>3172</v>
      </c>
      <c r="B3233" s="1821">
        <f>'Acct Summary 7-8'!C78</f>
        <v>140817</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10363</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10363</v>
      </c>
      <c r="C3238" s="2" t="s">
        <v>569</v>
      </c>
      <c r="D3238" s="2" t="str">
        <f t="shared" si="49"/>
        <v>Error?</v>
      </c>
    </row>
    <row r="3239" spans="1:4" x14ac:dyDescent="0.2">
      <c r="A3239" s="5">
        <v>3178</v>
      </c>
      <c r="B3239" s="1821">
        <f>'Acct Summary 7-8'!D78</f>
        <v>90740</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15200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15200</v>
      </c>
      <c r="C3255" s="2" t="s">
        <v>569</v>
      </c>
      <c r="D3255" s="2" t="str">
        <f t="shared" si="49"/>
        <v>Error?</v>
      </c>
    </row>
    <row r="3256" spans="1:4" x14ac:dyDescent="0.2">
      <c r="A3256" s="5">
        <v>3195</v>
      </c>
      <c r="B3256" s="1821">
        <f>'Acct Summary 7-8'!F78</f>
        <v>-113007</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21425</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80000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80000</v>
      </c>
      <c r="C3277" s="2" t="s">
        <v>569</v>
      </c>
      <c r="D3277" s="2" t="str">
        <f t="shared" si="50"/>
        <v>Error?</v>
      </c>
    </row>
    <row r="3278" spans="1:4" x14ac:dyDescent="0.2">
      <c r="A3278" s="5">
        <v>3217</v>
      </c>
      <c r="B3278" s="1821">
        <f>'Acct Summary 7-8'!E78</f>
        <v>-35985</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4863</v>
      </c>
      <c r="C3298" s="2" t="s">
        <v>569</v>
      </c>
      <c r="D3298" s="2" t="str">
        <f t="shared" si="50"/>
        <v>Error?</v>
      </c>
    </row>
    <row r="3299" spans="1:4" x14ac:dyDescent="0.2">
      <c r="A3299" s="5">
        <v>3238</v>
      </c>
      <c r="B3299" s="1821">
        <f>'Acct Summary 7-8'!H77</f>
        <v>-4863</v>
      </c>
      <c r="C3299" s="2" t="s">
        <v>569</v>
      </c>
      <c r="D3299" s="2" t="str">
        <f t="shared" si="50"/>
        <v>Error?</v>
      </c>
    </row>
    <row r="3300" spans="1:4" x14ac:dyDescent="0.2">
      <c r="A3300" s="5">
        <v>3239</v>
      </c>
      <c r="B3300" s="1821">
        <f>'Acct Summary 7-8'!H78</f>
        <v>-1647</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0</v>
      </c>
      <c r="C3320" s="2" t="s">
        <v>569</v>
      </c>
      <c r="D3320" s="2" t="str">
        <f t="shared" si="50"/>
        <v>Error?</v>
      </c>
    </row>
    <row r="3321" spans="1:4" x14ac:dyDescent="0.2">
      <c r="A3321" s="5">
        <v>3260</v>
      </c>
      <c r="B3321" s="1821">
        <f>'Acct Summary 7-8'!I79</f>
        <v>0</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0</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374822</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109633</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284981</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7484</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2168</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779088</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40155</v>
      </c>
      <c r="D3387" s="2" t="str">
        <f t="shared" si="51"/>
        <v>Error?</v>
      </c>
    </row>
    <row r="3388" spans="1:4" x14ac:dyDescent="0.2">
      <c r="A3388" s="5">
        <v>3327</v>
      </c>
      <c r="B3388" s="1821">
        <f>'Expenditures 15-22'!D217</f>
        <v>15194</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40155</v>
      </c>
      <c r="C3390" s="2" t="s">
        <v>569</v>
      </c>
      <c r="D3390" s="2" t="str">
        <f t="shared" si="51"/>
        <v>Error?</v>
      </c>
    </row>
    <row r="3391" spans="1:4" x14ac:dyDescent="0.2">
      <c r="A3391" s="5">
        <v>3330</v>
      </c>
      <c r="B3391" s="1821">
        <f>'Expenditures 15-22'!K217</f>
        <v>15194</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6317831</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1064538</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1389069</v>
      </c>
      <c r="D3417" s="2" t="str">
        <f t="shared" si="52"/>
        <v>Error?</v>
      </c>
    </row>
    <row r="3418" spans="1:4" x14ac:dyDescent="0.2">
      <c r="A3418" s="10">
        <v>3357</v>
      </c>
      <c r="B3418" s="1821"/>
      <c r="D3418" s="2" t="str">
        <f t="shared" si="52"/>
        <v>OK</v>
      </c>
    </row>
    <row r="3419" spans="1:4" x14ac:dyDescent="0.2">
      <c r="A3419" s="5">
        <v>3358</v>
      </c>
      <c r="B3419" s="1821">
        <f>'Assets-Liab 5-6'!F4</f>
        <v>1404225</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153606</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3216</v>
      </c>
      <c r="D3425" s="2" t="str">
        <f t="shared" si="52"/>
        <v>Error?</v>
      </c>
    </row>
    <row r="3426" spans="1:4" x14ac:dyDescent="0.2">
      <c r="A3426" s="10">
        <v>3365</v>
      </c>
      <c r="B3426" s="1821"/>
      <c r="D3426" s="2" t="str">
        <f t="shared" si="52"/>
        <v>OK</v>
      </c>
    </row>
    <row r="3427" spans="1:4" x14ac:dyDescent="0.2">
      <c r="A3427" s="5">
        <v>3366</v>
      </c>
      <c r="B3427" s="1821">
        <f>'Assets-Liab 5-6'!I4</f>
        <v>0</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146398</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153741</v>
      </c>
      <c r="C3446" s="2" t="s">
        <v>569</v>
      </c>
      <c r="D3446" s="2" t="str">
        <f t="shared" si="52"/>
        <v>Error?</v>
      </c>
    </row>
    <row r="3447" spans="1:4" x14ac:dyDescent="0.2">
      <c r="A3447" s="5">
        <v>3386</v>
      </c>
      <c r="B3447" s="1821">
        <f>'Tax Sched 23'!D16</f>
        <v>75904.02</v>
      </c>
      <c r="C3447" s="2" t="s">
        <v>569</v>
      </c>
      <c r="D3447" s="2" t="str">
        <f t="shared" si="52"/>
        <v>Error?</v>
      </c>
    </row>
    <row r="3448" spans="1:4" x14ac:dyDescent="0.2">
      <c r="A3448" s="5">
        <v>3387</v>
      </c>
      <c r="B3448" s="1821">
        <f>'Tax Sched 23'!C16</f>
        <v>77836.98</v>
      </c>
      <c r="D3448" s="2" t="str">
        <f t="shared" si="52"/>
        <v>Error?</v>
      </c>
    </row>
    <row r="3449" spans="1:4" x14ac:dyDescent="0.2">
      <c r="A3449" s="5">
        <v>3388</v>
      </c>
      <c r="B3449" s="1821">
        <f>'Tax Sched 23'!F16</f>
        <v>86047.02</v>
      </c>
      <c r="C3449" s="2" t="s">
        <v>569</v>
      </c>
      <c r="D3449" s="2" t="str">
        <f t="shared" si="52"/>
        <v>Error?</v>
      </c>
    </row>
    <row r="3450" spans="1:4" x14ac:dyDescent="0.2">
      <c r="A3450" s="5">
        <v>3389</v>
      </c>
      <c r="B3450" s="1821">
        <f>'Tax Sched 23'!E16</f>
        <v>163884</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5500</v>
      </c>
      <c r="D3531" s="2" t="str">
        <f t="shared" si="54"/>
        <v>Error?</v>
      </c>
    </row>
    <row r="3532" spans="1:5" x14ac:dyDescent="0.2">
      <c r="A3532" s="5">
        <v>3471</v>
      </c>
      <c r="B3532" s="1821">
        <f>'Acct Summary 7-8'!F36</f>
        <v>15200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184855</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4223198</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13597899</v>
      </c>
      <c r="C4122" s="2" t="s">
        <v>569</v>
      </c>
      <c r="D4122" s="2" t="str">
        <f t="shared" si="63"/>
        <v>Error?</v>
      </c>
    </row>
    <row r="4123" spans="1:4" x14ac:dyDescent="0.2">
      <c r="A4123" s="5">
        <v>4062</v>
      </c>
      <c r="B4123" s="1821">
        <f>'Acct Summary 7-8'!D10</f>
        <v>1254494</v>
      </c>
      <c r="C4123" s="2" t="s">
        <v>569</v>
      </c>
      <c r="D4123" s="2" t="str">
        <f t="shared" si="63"/>
        <v>Error?</v>
      </c>
    </row>
    <row r="4124" spans="1:4" x14ac:dyDescent="0.2">
      <c r="A4124" s="5">
        <v>4063</v>
      </c>
      <c r="B4124" s="1821">
        <f>'Acct Summary 7-8'!E10</f>
        <v>2664015</v>
      </c>
      <c r="C4124" s="2" t="s">
        <v>569</v>
      </c>
      <c r="D4124" s="2" t="str">
        <f t="shared" si="63"/>
        <v>Error?</v>
      </c>
    </row>
    <row r="4125" spans="1:4" x14ac:dyDescent="0.2">
      <c r="A4125" s="5">
        <v>4064</v>
      </c>
      <c r="B4125" s="1821">
        <f>'Acct Summary 7-8'!F10</f>
        <v>505619</v>
      </c>
      <c r="C4125" s="2" t="s">
        <v>569</v>
      </c>
      <c r="D4125" s="2" t="str">
        <f t="shared" si="63"/>
        <v>Error?</v>
      </c>
    </row>
    <row r="4126" spans="1:4" x14ac:dyDescent="0.2">
      <c r="A4126" s="5">
        <v>4065</v>
      </c>
      <c r="B4126" s="1821">
        <f>'Acct Summary 7-8'!G10</f>
        <v>314432</v>
      </c>
      <c r="C4126" s="2" t="s">
        <v>569</v>
      </c>
      <c r="D4126" s="2" t="str">
        <f t="shared" si="63"/>
        <v>Error?</v>
      </c>
    </row>
    <row r="4127" spans="1:4" x14ac:dyDescent="0.2">
      <c r="A4127" s="5">
        <v>4066</v>
      </c>
      <c r="B4127" s="1821">
        <f>'Acct Summary 7-8'!H10</f>
        <v>3216</v>
      </c>
      <c r="C4127" s="2" t="s">
        <v>569</v>
      </c>
      <c r="D4127" s="2" t="str">
        <f t="shared" si="63"/>
        <v>Error?</v>
      </c>
    </row>
    <row r="4128" spans="1:4" x14ac:dyDescent="0.2">
      <c r="A4128" s="5">
        <v>4067</v>
      </c>
      <c r="B4128" s="1821">
        <f>'Acct Summary 7-8'!I10</f>
        <v>0</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4223198</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13377082</v>
      </c>
      <c r="C4136" s="2" t="s">
        <v>569</v>
      </c>
      <c r="D4136" s="2" t="str">
        <f t="shared" si="63"/>
        <v>Error?</v>
      </c>
    </row>
    <row r="4137" spans="1:4" x14ac:dyDescent="0.2">
      <c r="A4137" s="5">
        <v>4076</v>
      </c>
      <c r="B4137" s="1821">
        <f>'Acct Summary 7-8'!D19</f>
        <v>1174117</v>
      </c>
      <c r="C4137" s="2" t="s">
        <v>569</v>
      </c>
      <c r="D4137" s="2" t="str">
        <f t="shared" si="63"/>
        <v>Error?</v>
      </c>
    </row>
    <row r="4138" spans="1:4" x14ac:dyDescent="0.2">
      <c r="A4138" s="5">
        <v>4077</v>
      </c>
      <c r="B4138" s="1821">
        <f>'Acct Summary 7-8'!E19</f>
        <v>2780000</v>
      </c>
      <c r="C4138" s="2" t="s">
        <v>569</v>
      </c>
      <c r="D4138" s="2" t="str">
        <f t="shared" si="63"/>
        <v>Error?</v>
      </c>
    </row>
    <row r="4139" spans="1:4" x14ac:dyDescent="0.2">
      <c r="A4139" s="5">
        <v>4078</v>
      </c>
      <c r="B4139" s="1821">
        <f>'Acct Summary 7-8'!F19</f>
        <v>633826</v>
      </c>
      <c r="C4139" s="2" t="s">
        <v>569</v>
      </c>
      <c r="D4139" s="2" t="str">
        <f t="shared" si="63"/>
        <v>Error?</v>
      </c>
    </row>
    <row r="4140" spans="1:4" x14ac:dyDescent="0.2">
      <c r="A4140" s="5">
        <v>4079</v>
      </c>
      <c r="B4140" s="1821">
        <f>'Acct Summary 7-8'!G19</f>
        <v>293007</v>
      </c>
      <c r="C4140" s="2" t="s">
        <v>569</v>
      </c>
      <c r="D4140" s="2" t="str">
        <f t="shared" si="63"/>
        <v>Error?</v>
      </c>
    </row>
    <row r="4141" spans="1:4" x14ac:dyDescent="0.2">
      <c r="A4141" s="5">
        <v>4080</v>
      </c>
      <c r="B4141" s="1821">
        <f>'Acct Summary 7-8'!H19</f>
        <v>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532185</v>
      </c>
      <c r="C4171" s="2" t="s">
        <v>569</v>
      </c>
      <c r="D4171" s="2" t="str">
        <f t="shared" si="64"/>
        <v>Error?</v>
      </c>
    </row>
    <row r="4172" spans="1:4" x14ac:dyDescent="0.2">
      <c r="A4172" s="5">
        <v>4111</v>
      </c>
      <c r="B4172" s="1821">
        <f>'Short-Term Long-Term Debt 24'!J49</f>
        <v>-856884</v>
      </c>
      <c r="C4172" s="2" t="s">
        <v>569</v>
      </c>
      <c r="D4172" s="2" t="str">
        <f t="shared" si="64"/>
        <v>Error?</v>
      </c>
    </row>
    <row r="4173" spans="1:4" x14ac:dyDescent="0.2">
      <c r="A4173" s="5">
        <v>4112</v>
      </c>
      <c r="B4173" s="1821">
        <f>'Short-Term Long-Term Debt 24'!H49</f>
        <v>555110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1798.9259999999999</v>
      </c>
      <c r="C4265" s="2" t="s">
        <v>569</v>
      </c>
      <c r="D4265" s="2" t="str">
        <f t="shared" si="65"/>
        <v>Error?</v>
      </c>
      <c r="E4265" s="125"/>
    </row>
    <row r="4266" spans="1:5" x14ac:dyDescent="0.2">
      <c r="A4266" s="12">
        <v>4205</v>
      </c>
      <c r="B4266" s="1821">
        <f>('FP Info 3'!F10)*100000</f>
        <v>348.84199999999998</v>
      </c>
      <c r="C4266" s="2" t="s">
        <v>569</v>
      </c>
      <c r="D4266" s="2" t="str">
        <f t="shared" si="65"/>
        <v>Error?</v>
      </c>
      <c r="E4266" s="125"/>
    </row>
    <row r="4267" spans="1:5" x14ac:dyDescent="0.2">
      <c r="A4267" s="12">
        <v>4206</v>
      </c>
      <c r="B4267" s="1821">
        <f>('FP Info 3'!H10)*100000</f>
        <v>136.81</v>
      </c>
      <c r="C4267" s="2" t="s">
        <v>569</v>
      </c>
      <c r="D4267" s="2" t="str">
        <f t="shared" si="65"/>
        <v>Error?</v>
      </c>
      <c r="E4267" s="125"/>
    </row>
    <row r="4268" spans="1:5" x14ac:dyDescent="0.2">
      <c r="A4268" s="12">
        <v>4207</v>
      </c>
      <c r="B4268" s="1821">
        <f>('FP Info 3'!J10)*100000</f>
        <v>2285</v>
      </c>
      <c r="C4268" s="2" t="s">
        <v>569</v>
      </c>
      <c r="D4268" s="2" t="str">
        <f t="shared" si="65"/>
        <v>Error?</v>
      </c>
    </row>
    <row r="4269" spans="1:5" x14ac:dyDescent="0.2">
      <c r="A4269" s="12">
        <v>4208</v>
      </c>
      <c r="B4269" s="1821">
        <f>'FP Info 3'!J16</f>
        <v>13938152</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50000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14844</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3571</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24846</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13000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21721</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750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18075</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363017094</v>
      </c>
      <c r="D4995" s="2" t="str">
        <f t="shared" si="77"/>
        <v>Error?</v>
      </c>
    </row>
    <row r="4996" spans="1:4" x14ac:dyDescent="0.2">
      <c r="A4996" s="12">
        <v>4935</v>
      </c>
      <c r="B4996" s="1821">
        <f>'FP Info 3'!H31</f>
        <v>25048179.486000001</v>
      </c>
      <c r="D4996" s="2" t="str">
        <f t="shared" si="77"/>
        <v>Error?</v>
      </c>
    </row>
    <row r="4997" spans="1:4" x14ac:dyDescent="0.2">
      <c r="A4997" s="12">
        <v>4936</v>
      </c>
      <c r="B4997" s="1821">
        <f>'FP Info 3'!H37</f>
        <v>532185</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6100999</v>
      </c>
      <c r="D5061" s="2" t="str">
        <f t="shared" si="78"/>
        <v>Error?</v>
      </c>
    </row>
    <row r="5062" spans="1:4" x14ac:dyDescent="0.2">
      <c r="A5062" s="10">
        <v>5001</v>
      </c>
      <c r="B5062" s="1821"/>
      <c r="D5062" s="2" t="str">
        <f t="shared" si="78"/>
        <v>OK</v>
      </c>
    </row>
    <row r="5063" spans="1:4" x14ac:dyDescent="0.2">
      <c r="A5063" s="5">
        <v>5002</v>
      </c>
      <c r="B5063" s="1821">
        <f>'Revenues 9-14'!C7</f>
        <v>77311</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6178310</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439452</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439452</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3201</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3201</v>
      </c>
      <c r="C5087" s="2" t="s">
        <v>569</v>
      </c>
      <c r="D5087" s="2" t="str">
        <f t="shared" si="78"/>
        <v>Error?</v>
      </c>
    </row>
    <row r="5088" spans="1:4" x14ac:dyDescent="0.2">
      <c r="A5088" s="5">
        <v>5027</v>
      </c>
      <c r="B5088" s="1821">
        <f>'Revenues 9-14'!C65</f>
        <v>248093</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248093</v>
      </c>
      <c r="C5090" s="2" t="s">
        <v>569</v>
      </c>
      <c r="D5090" s="2" t="str">
        <f t="shared" si="78"/>
        <v>Error?</v>
      </c>
    </row>
    <row r="5091" spans="1:4" x14ac:dyDescent="0.2">
      <c r="A5091" s="5">
        <v>5030</v>
      </c>
      <c r="B5091" s="1821">
        <f>'Revenues 9-14'!C70</f>
        <v>2506</v>
      </c>
      <c r="D5091" s="2" t="str">
        <f t="shared" si="78"/>
        <v>Error?</v>
      </c>
    </row>
    <row r="5092" spans="1:4" x14ac:dyDescent="0.2">
      <c r="A5092" s="5">
        <v>5031</v>
      </c>
      <c r="B5092" s="1821">
        <f>'Revenues 9-14'!C71</f>
        <v>97674</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5524</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199183</v>
      </c>
      <c r="C5096" s="2" t="s">
        <v>569</v>
      </c>
      <c r="D5096" s="2" t="str">
        <f t="shared" si="78"/>
        <v>Error?</v>
      </c>
    </row>
    <row r="5097" spans="1:4" x14ac:dyDescent="0.2">
      <c r="A5097" s="5">
        <v>5036</v>
      </c>
      <c r="B5097" s="1821">
        <f>'Revenues 9-14'!C77</f>
        <v>20727</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77100</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97827</v>
      </c>
      <c r="C5102" s="2" t="s">
        <v>569</v>
      </c>
      <c r="D5102" s="2" t="str">
        <f t="shared" si="78"/>
        <v>Error?</v>
      </c>
    </row>
    <row r="5103" spans="1:4" x14ac:dyDescent="0.2">
      <c r="A5103" s="5">
        <v>5042</v>
      </c>
      <c r="B5103" s="1821">
        <f>'Revenues 9-14'!C84</f>
        <v>59512</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59512</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21498</v>
      </c>
      <c r="D5114" s="2" t="str">
        <f t="shared" si="78"/>
        <v>Error?</v>
      </c>
    </row>
    <row r="5115" spans="1:4" x14ac:dyDescent="0.2">
      <c r="A5115" s="5">
        <v>5054</v>
      </c>
      <c r="B5115" s="1821">
        <f>'Revenues 9-14'!C98</f>
        <v>27752</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33214</v>
      </c>
      <c r="D5119" s="2" t="str">
        <f t="shared" ref="D5119:D5182" si="79">IF(ISBLANK(B5119),"OK",IF(A5119-B5119=0,"OK","Error?"))</f>
        <v>Error?</v>
      </c>
    </row>
    <row r="5120" spans="1:4" x14ac:dyDescent="0.2">
      <c r="A5120" s="5">
        <v>5059</v>
      </c>
      <c r="B5120" s="1821">
        <f>'Revenues 9-14'!C108</f>
        <v>107272</v>
      </c>
      <c r="C5120" s="2" t="s">
        <v>569</v>
      </c>
      <c r="D5120" s="2" t="str">
        <f t="shared" si="79"/>
        <v>Error?</v>
      </c>
    </row>
    <row r="5121" spans="1:4" x14ac:dyDescent="0.2">
      <c r="A5121" s="5">
        <v>5060</v>
      </c>
      <c r="B5121" s="1821">
        <f>'Revenues 9-14'!C109</f>
        <v>7332850</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1214668</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1214668</v>
      </c>
      <c r="C5132" s="2" t="s">
        <v>569</v>
      </c>
      <c r="D5132" s="2" t="str">
        <f t="shared" si="79"/>
        <v>Error?</v>
      </c>
    </row>
    <row r="5133" spans="1:4" x14ac:dyDescent="0.2">
      <c r="A5133" s="5">
        <v>5072</v>
      </c>
      <c r="B5133" s="1821">
        <f>'Revenues 9-14'!C125</f>
        <v>122376</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122376</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26409</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33207</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942</v>
      </c>
      <c r="D5167" s="2" t="str">
        <f t="shared" si="79"/>
        <v>Error?</v>
      </c>
    </row>
    <row r="5168" spans="1:4" x14ac:dyDescent="0.2">
      <c r="A5168" s="5">
        <v>5107</v>
      </c>
      <c r="B5168" s="1821">
        <f>'Revenues 9-14'!C148</f>
        <v>18173</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175448</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1390116</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78572</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5101</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83673</v>
      </c>
      <c r="C5246" s="2" t="s">
        <v>569</v>
      </c>
      <c r="D5246" s="2" t="str">
        <f t="shared" si="80"/>
        <v>Error?</v>
      </c>
    </row>
    <row r="5247" spans="1:4" x14ac:dyDescent="0.2">
      <c r="A5247" s="5">
        <v>5186</v>
      </c>
      <c r="B5247" s="1821">
        <f>'Revenues 9-14'!C200</f>
        <v>112232</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13000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112232</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140885</v>
      </c>
      <c r="D5278" s="2" t="str">
        <f t="shared" si="81"/>
        <v>Error?</v>
      </c>
    </row>
    <row r="5279" spans="1:4" x14ac:dyDescent="0.2">
      <c r="A5279" s="5">
        <v>5218</v>
      </c>
      <c r="B5279" s="1821">
        <f>'Revenues 9-14'!C214</f>
        <v>218888</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359773</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14844</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651735</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651735</v>
      </c>
      <c r="C5326" s="2" t="s">
        <v>569</v>
      </c>
      <c r="D5326" s="2" t="str">
        <f t="shared" si="82"/>
        <v>Error?</v>
      </c>
    </row>
    <row r="5327" spans="1:5" x14ac:dyDescent="0.2">
      <c r="A5327" s="5">
        <v>5266</v>
      </c>
      <c r="B5327" s="1821">
        <f>'Revenues 9-14'!C268</f>
        <v>9374701</v>
      </c>
      <c r="C5327" s="2" t="s">
        <v>569</v>
      </c>
      <c r="D5327" s="2" t="str">
        <f t="shared" si="82"/>
        <v>Error?</v>
      </c>
    </row>
    <row r="5328" spans="1:5" x14ac:dyDescent="0.2">
      <c r="A5328" s="5">
        <v>5267</v>
      </c>
      <c r="B5328" s="1821">
        <f>'Revenues 9-14'!D5</f>
        <v>1167290</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1167290</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11491</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11491</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2227</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23486</v>
      </c>
      <c r="D5354" s="2" t="str">
        <f t="shared" si="82"/>
        <v>Error?</v>
      </c>
    </row>
    <row r="5355" spans="1:4" x14ac:dyDescent="0.2">
      <c r="A5355" s="5">
        <v>5294</v>
      </c>
      <c r="B5355" s="1821">
        <f>'Revenues 9-14'!D108</f>
        <v>25713</v>
      </c>
      <c r="C5355" s="2" t="s">
        <v>569</v>
      </c>
      <c r="D5355" s="2" t="str">
        <f t="shared" si="82"/>
        <v>Error?</v>
      </c>
    </row>
    <row r="5356" spans="1:4" x14ac:dyDescent="0.2">
      <c r="A5356" s="5">
        <v>5295</v>
      </c>
      <c r="B5356" s="1821">
        <f>'Revenues 9-14'!D109</f>
        <v>1204494</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1254494</v>
      </c>
      <c r="C5508" s="2" t="s">
        <v>569</v>
      </c>
      <c r="D5508" s="2" t="str">
        <f t="shared" si="85"/>
        <v>Error?</v>
      </c>
    </row>
    <row r="5509" spans="1:4" x14ac:dyDescent="0.2">
      <c r="A5509" s="5">
        <v>5448</v>
      </c>
      <c r="B5509" s="1821">
        <f>'Revenues 9-14'!E5</f>
        <v>2642903</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2642903</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21112</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21112</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2664015</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2664015</v>
      </c>
      <c r="C5552" s="2" t="s">
        <v>569</v>
      </c>
      <c r="D5552" s="2" t="str">
        <f t="shared" si="85"/>
        <v>Error?</v>
      </c>
    </row>
    <row r="5553" spans="1:4" x14ac:dyDescent="0.2">
      <c r="A5553" s="5">
        <v>5492</v>
      </c>
      <c r="B5553" s="1821">
        <f>'Revenues 9-14'!F5</f>
        <v>72251</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72251</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59753</v>
      </c>
      <c r="D5564" s="2" t="str">
        <f t="shared" si="85"/>
        <v>Error?</v>
      </c>
    </row>
    <row r="5565" spans="1:4" x14ac:dyDescent="0.2">
      <c r="A5565" s="5">
        <v>5504</v>
      </c>
      <c r="B5565" s="1821">
        <f>'Revenues 9-14'!F44</f>
        <v>5826</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65579</v>
      </c>
      <c r="C5579" s="2" t="s">
        <v>569</v>
      </c>
      <c r="D5579" s="2" t="str">
        <f t="shared" si="86"/>
        <v>Error?</v>
      </c>
    </row>
    <row r="5580" spans="1:4" x14ac:dyDescent="0.2">
      <c r="A5580" s="5">
        <v>5519</v>
      </c>
      <c r="B5580" s="1821">
        <f>'Revenues 9-14'!F65</f>
        <v>28107</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28107</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165937</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10069</v>
      </c>
      <c r="D5615" s="2" t="str">
        <f t="shared" si="86"/>
        <v>Error?</v>
      </c>
    </row>
    <row r="5616" spans="1:4" x14ac:dyDescent="0.2">
      <c r="A5616" s="10">
        <v>5555</v>
      </c>
      <c r="B5616" s="1821"/>
      <c r="D5616" s="2" t="str">
        <f t="shared" si="86"/>
        <v>OK</v>
      </c>
    </row>
    <row r="5617" spans="1:5" x14ac:dyDescent="0.2">
      <c r="A5617" s="5">
        <v>5556</v>
      </c>
      <c r="B5617" s="1821">
        <f>'Revenues 9-14'!F153</f>
        <v>329613</v>
      </c>
      <c r="D5617" s="2" t="str">
        <f t="shared" si="86"/>
        <v>Error?</v>
      </c>
    </row>
    <row r="5618" spans="1:5" x14ac:dyDescent="0.2">
      <c r="A5618" s="5">
        <v>5557</v>
      </c>
      <c r="B5618" s="1821">
        <f>'Revenues 9-14'!F155</f>
        <v>339682</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339682</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339682</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505619</v>
      </c>
      <c r="C5720" s="2" t="s">
        <v>569</v>
      </c>
      <c r="D5720" s="2" t="str">
        <f t="shared" si="88"/>
        <v>Error?</v>
      </c>
    </row>
    <row r="5721" spans="1:4" x14ac:dyDescent="0.2">
      <c r="A5721" s="5">
        <v>5660</v>
      </c>
      <c r="B5721" s="1821">
        <f>'Revenues 9-14'!G5</f>
        <v>116944</v>
      </c>
      <c r="D5721" s="2" t="str">
        <f t="shared" si="88"/>
        <v>Error?</v>
      </c>
    </row>
    <row r="5722" spans="1:4" x14ac:dyDescent="0.2">
      <c r="A5722" s="5">
        <v>5661</v>
      </c>
      <c r="B5722" s="1821">
        <f>'Revenues 9-14'!G7</f>
        <v>0</v>
      </c>
      <c r="D5722" s="2" t="str">
        <f t="shared" si="88"/>
        <v>Error?</v>
      </c>
    </row>
    <row r="5723" spans="1:4" x14ac:dyDescent="0.2">
      <c r="A5723" s="5">
        <v>5662</v>
      </c>
      <c r="B5723" s="1821">
        <f>'Revenues 9-14'!G8</f>
        <v>153741</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270685</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41950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41950</v>
      </c>
      <c r="C5730" s="2" t="s">
        <v>569</v>
      </c>
      <c r="D5730" s="2" t="str">
        <f t="shared" si="88"/>
        <v>Error?</v>
      </c>
    </row>
    <row r="5731" spans="1:4" x14ac:dyDescent="0.2">
      <c r="A5731" s="5">
        <v>5670</v>
      </c>
      <c r="B5731" s="1821">
        <f>'Revenues 9-14'!G65</f>
        <v>1797</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1797</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314432</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18</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18</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3198</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3216</v>
      </c>
      <c r="C5915" s="2" t="s">
        <v>569</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0</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0</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0</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314432</v>
      </c>
      <c r="C6024" s="2" t="s">
        <v>569</v>
      </c>
      <c r="D6024" s="2" t="str">
        <f t="shared" si="93"/>
        <v>Error?</v>
      </c>
    </row>
    <row r="6025" spans="1:5" x14ac:dyDescent="0.2">
      <c r="A6025" s="5">
        <v>5964</v>
      </c>
      <c r="B6025" s="1821">
        <f>'Revenues 9-14'!H109</f>
        <v>3216</v>
      </c>
      <c r="C6025" s="2" t="s">
        <v>569</v>
      </c>
      <c r="D6025" s="2" t="str">
        <f t="shared" si="93"/>
        <v>Error?</v>
      </c>
    </row>
    <row r="6026" spans="1:5" x14ac:dyDescent="0.2">
      <c r="A6026" s="5">
        <v>5965</v>
      </c>
      <c r="B6026" s="1821">
        <f>'Revenues 9-14'!I109</f>
        <v>0</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93479</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22260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610.5</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1133</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64</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103763</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103763</v>
      </c>
      <c r="D6215" s="2" t="str">
        <f t="shared" si="96"/>
        <v>Error?</v>
      </c>
      <c r="E6215" s="2" t="s">
        <v>189</v>
      </c>
    </row>
    <row r="6216" spans="1:5" x14ac:dyDescent="0.2">
      <c r="A6216">
        <v>6155</v>
      </c>
      <c r="B6216" s="1821">
        <f>'Assets-Liab 5-6'!J41</f>
        <v>103763</v>
      </c>
      <c r="D6216" s="2" t="str">
        <f t="shared" si="96"/>
        <v>Error?</v>
      </c>
      <c r="E6216" s="2" t="s">
        <v>189</v>
      </c>
    </row>
    <row r="6217" spans="1:5" x14ac:dyDescent="0.2">
      <c r="A6217">
        <v>6156</v>
      </c>
      <c r="B6217" s="1821">
        <f>'Assets-Liab 5-6'!J4</f>
        <v>103763</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79786</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79786</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79786</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103217</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103217</v>
      </c>
      <c r="D6229" s="2" t="str">
        <f t="shared" si="96"/>
        <v>Error?</v>
      </c>
      <c r="E6229" s="2" t="s">
        <v>189</v>
      </c>
    </row>
    <row r="6230" spans="1:5" x14ac:dyDescent="0.2">
      <c r="A6230">
        <v>6169</v>
      </c>
      <c r="B6230" s="1821">
        <f>'Acct Summary 7-8'!J20</f>
        <v>-23431</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-23431</v>
      </c>
      <c r="D6263" s="2" t="str">
        <f t="shared" si="96"/>
        <v>Error?</v>
      </c>
      <c r="E6263" s="2" t="s">
        <v>189</v>
      </c>
    </row>
    <row r="6264" spans="1:5" x14ac:dyDescent="0.2">
      <c r="A6264">
        <v>6203</v>
      </c>
      <c r="B6264" s="1821">
        <f>'Acct Summary 7-8'!J79</f>
        <v>127194</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103763</v>
      </c>
      <c r="D6266" s="2" t="str">
        <f t="shared" si="96"/>
        <v>Error?</v>
      </c>
      <c r="E6266" s="2" t="s">
        <v>189</v>
      </c>
    </row>
    <row r="6267" spans="1:5" x14ac:dyDescent="0.2">
      <c r="A6267">
        <v>6206</v>
      </c>
      <c r="B6267" s="1821">
        <f>'Acct Summary 7-8'!C82</f>
        <v>140817</v>
      </c>
      <c r="D6267" s="2" t="str">
        <f t="shared" si="96"/>
        <v>Error?</v>
      </c>
      <c r="E6267" s="2" t="s">
        <v>189</v>
      </c>
    </row>
    <row r="6268" spans="1:5" x14ac:dyDescent="0.2">
      <c r="A6268">
        <v>6207</v>
      </c>
      <c r="B6268" s="1821">
        <f>'Acct Summary 7-8'!D82</f>
        <v>90740</v>
      </c>
      <c r="D6268" s="2" t="str">
        <f t="shared" si="96"/>
        <v>Error?</v>
      </c>
      <c r="E6268" s="2" t="s">
        <v>189</v>
      </c>
    </row>
    <row r="6269" spans="1:5" x14ac:dyDescent="0.2">
      <c r="A6269">
        <v>6208</v>
      </c>
      <c r="B6269" s="1821">
        <f>'Acct Summary 7-8'!E82</f>
        <v>-35985</v>
      </c>
      <c r="D6269" s="2" t="str">
        <f t="shared" si="96"/>
        <v>Error?</v>
      </c>
      <c r="E6269" s="2" t="s">
        <v>189</v>
      </c>
    </row>
    <row r="6270" spans="1:5" x14ac:dyDescent="0.2">
      <c r="A6270">
        <v>6209</v>
      </c>
      <c r="B6270" s="1821">
        <f>'Acct Summary 7-8'!F82</f>
        <v>-113007</v>
      </c>
      <c r="D6270" s="2" t="str">
        <f t="shared" si="96"/>
        <v>Error?</v>
      </c>
      <c r="E6270" s="2" t="s">
        <v>189</v>
      </c>
    </row>
    <row r="6271" spans="1:5" x14ac:dyDescent="0.2">
      <c r="A6271">
        <v>6210</v>
      </c>
      <c r="B6271" s="1821">
        <f>'Acct Summary 7-8'!G82</f>
        <v>21425</v>
      </c>
      <c r="D6271" s="2" t="str">
        <f t="shared" ref="D6271:D6334" si="97">IF(ISBLANK(B6271),"OK",IF(A6271-B6271=0,"OK","Error?"))</f>
        <v>Error?</v>
      </c>
      <c r="E6271" s="2" t="s">
        <v>189</v>
      </c>
    </row>
    <row r="6272" spans="1:5" x14ac:dyDescent="0.2">
      <c r="A6272">
        <v>6211</v>
      </c>
      <c r="B6272" s="1821">
        <f>'Acct Summary 7-8'!H82</f>
        <v>-1647</v>
      </c>
      <c r="D6272" s="2" t="str">
        <f t="shared" si="97"/>
        <v>Error?</v>
      </c>
      <c r="E6272" s="2" t="s">
        <v>189</v>
      </c>
    </row>
    <row r="6273" spans="1:5" x14ac:dyDescent="0.2">
      <c r="A6273">
        <v>6212</v>
      </c>
      <c r="B6273" s="1821">
        <f>'Acct Summary 7-8'!I82</f>
        <v>0</v>
      </c>
      <c r="D6273" s="2" t="str">
        <f t="shared" si="97"/>
        <v>Error?</v>
      </c>
      <c r="E6273" s="2" t="s">
        <v>189</v>
      </c>
    </row>
    <row r="6274" spans="1:5" x14ac:dyDescent="0.2">
      <c r="A6274">
        <v>6213</v>
      </c>
      <c r="B6274" s="1821">
        <f>'Acct Summary 7-8'!J82</f>
        <v>-23431</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1.2277677064929214E-2</v>
      </c>
      <c r="D6276" s="2" t="str">
        <f t="shared" si="97"/>
        <v>Error?</v>
      </c>
      <c r="E6276" s="2" t="s">
        <v>189</v>
      </c>
    </row>
    <row r="6277" spans="1:5" x14ac:dyDescent="0.2">
      <c r="A6277">
        <v>6216</v>
      </c>
      <c r="B6277" s="1821">
        <f>'Acct Summary 7-8'!D83</f>
        <v>8.5241016767323208E-2</v>
      </c>
      <c r="D6277" s="2" t="str">
        <f t="shared" si="97"/>
        <v>Error?</v>
      </c>
      <c r="E6277" s="2" t="s">
        <v>189</v>
      </c>
    </row>
    <row r="6278" spans="1:5" x14ac:dyDescent="0.2">
      <c r="A6278">
        <v>6217</v>
      </c>
      <c r="B6278" s="1821">
        <f>'Acct Summary 7-8'!E83</f>
        <v>-2.590584053059999E-2</v>
      </c>
      <c r="D6278" s="2" t="str">
        <f t="shared" si="97"/>
        <v>Error?</v>
      </c>
      <c r="E6278" s="2" t="s">
        <v>189</v>
      </c>
    </row>
    <row r="6279" spans="1:5" x14ac:dyDescent="0.2">
      <c r="A6279">
        <v>6218</v>
      </c>
      <c r="B6279" s="1821">
        <f>'Acct Summary 7-8'!F83</f>
        <v>-8.0472751691425343E-2</v>
      </c>
      <c r="D6279" s="2" t="str">
        <f t="shared" si="97"/>
        <v>Error?</v>
      </c>
      <c r="E6279" s="2" t="s">
        <v>189</v>
      </c>
    </row>
    <row r="6280" spans="1:5" x14ac:dyDescent="0.2">
      <c r="A6280">
        <v>6219</v>
      </c>
      <c r="B6280" s="1821">
        <f>'Acct Summary 7-8'!G83</f>
        <v>0.13948022863690221</v>
      </c>
      <c r="D6280" s="2" t="str">
        <f t="shared" si="97"/>
        <v>Error?</v>
      </c>
      <c r="E6280" s="2" t="s">
        <v>189</v>
      </c>
    </row>
    <row r="6281" spans="1:5" x14ac:dyDescent="0.2">
      <c r="A6281">
        <v>6220</v>
      </c>
      <c r="B6281" s="1821">
        <f>'Acct Summary 7-8'!H83</f>
        <v>-0.51212686567164178</v>
      </c>
      <c r="D6281" s="2" t="str">
        <f t="shared" si="97"/>
        <v>Error?</v>
      </c>
      <c r="E6281" s="2" t="s">
        <v>189</v>
      </c>
    </row>
    <row r="6282" spans="1:5" x14ac:dyDescent="0.2">
      <c r="A6282">
        <v>6221</v>
      </c>
      <c r="B6282" s="1821" t="e">
        <f>'Acct Summary 7-8'!I83</f>
        <v>#DIV/0!</v>
      </c>
      <c r="D6282" s="2" t="e">
        <f t="shared" si="97"/>
        <v>#DIV/0!</v>
      </c>
      <c r="E6282" s="2" t="s">
        <v>189</v>
      </c>
    </row>
    <row r="6283" spans="1:5" x14ac:dyDescent="0.2">
      <c r="A6283">
        <v>6222</v>
      </c>
      <c r="B6283" s="1821">
        <f>'Acct Summary 7-8'!J83</f>
        <v>-0.22581266925590046</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80000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79259</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79259</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527</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527</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3198</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7937</v>
      </c>
      <c r="D6339" s="2" t="str">
        <f t="shared" si="98"/>
        <v>Error?</v>
      </c>
      <c r="E6339" s="2" t="s">
        <v>189</v>
      </c>
    </row>
    <row r="6340" spans="1:5" x14ac:dyDescent="0.2">
      <c r="A6340">
        <v>6279</v>
      </c>
      <c r="B6340" s="1821">
        <f>'Revenues 9-14'!C102</f>
        <v>16871</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79786</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6798</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7073</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23717</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136140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524725</v>
      </c>
      <c r="D6880" s="2" t="str">
        <f t="shared" si="106"/>
        <v>Error?</v>
      </c>
    </row>
    <row r="6881" spans="1:4" x14ac:dyDescent="0.2">
      <c r="A6881">
        <v>6820</v>
      </c>
      <c r="B6881" s="1821">
        <f>'Expenditures 15-22'!K22</f>
        <v>524725</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30790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19019</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19019</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778</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778</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5242</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5242</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25039</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400</v>
      </c>
      <c r="D6981" s="2" t="str">
        <f t="shared" si="108"/>
        <v>Error?</v>
      </c>
    </row>
    <row r="6982" spans="1:4" x14ac:dyDescent="0.2">
      <c r="A6982">
        <v>6921</v>
      </c>
      <c r="B6982" s="1821">
        <f>'Expenditures 15-22'!K85</f>
        <v>400</v>
      </c>
      <c r="D6982" s="2" t="str">
        <f t="shared" si="108"/>
        <v>Error?</v>
      </c>
    </row>
    <row r="6983" spans="1:4" x14ac:dyDescent="0.2">
      <c r="A6983">
        <v>6922</v>
      </c>
      <c r="B6983" s="1821">
        <f>'Expenditures 15-22'!H86</f>
        <v>65195</v>
      </c>
      <c r="D6983" s="2" t="str">
        <f t="shared" si="108"/>
        <v>Error?</v>
      </c>
    </row>
    <row r="6984" spans="1:4" x14ac:dyDescent="0.2">
      <c r="A6984">
        <v>6923</v>
      </c>
      <c r="B6984" s="1821">
        <f>'Expenditures 15-22'!K86</f>
        <v>65195</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3080</v>
      </c>
      <c r="D6993" s="2" t="str">
        <f t="shared" si="108"/>
        <v>Error?</v>
      </c>
    </row>
    <row r="6994" spans="1:4" x14ac:dyDescent="0.2">
      <c r="A6994">
        <v>6933</v>
      </c>
      <c r="B6994" s="1821">
        <f>'Expenditures 15-22'!K91</f>
        <v>3080</v>
      </c>
      <c r="D6994" s="2" t="str">
        <f t="shared" si="108"/>
        <v>Error?</v>
      </c>
    </row>
    <row r="6995" spans="1:4" x14ac:dyDescent="0.2">
      <c r="A6995">
        <v>6934</v>
      </c>
      <c r="B6995" s="1821">
        <f>'Expenditures 15-22'!H92</f>
        <v>68675</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55829</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54582</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54582</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54582</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103217</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54582</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79786</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4869</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4869</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4869</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1064</v>
      </c>
      <c r="D7079" s="2" t="str">
        <f t="shared" si="109"/>
        <v>Error?</v>
      </c>
    </row>
    <row r="7080" spans="1:4" x14ac:dyDescent="0.2">
      <c r="A7080">
        <v>7019</v>
      </c>
      <c r="B7080" s="1821">
        <f>'Expenditures 15-22'!K226</f>
        <v>1064</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103217</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103217</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103217</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103217</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103217</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103217</v>
      </c>
      <c r="D7224" s="2" t="str">
        <f t="shared" si="111"/>
        <v>Error?</v>
      </c>
    </row>
    <row r="7225" spans="1:4" x14ac:dyDescent="0.2">
      <c r="A7225">
        <v>7164</v>
      </c>
      <c r="B7225" s="1821">
        <f>'Expenditures 15-22'!K343</f>
        <v>-23431</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124578</v>
      </c>
      <c r="D7263" s="2" t="str">
        <f t="shared" si="112"/>
        <v>Error?</v>
      </c>
    </row>
    <row r="7264" spans="1:4" x14ac:dyDescent="0.2">
      <c r="A7264">
        <f t="shared" si="113"/>
        <v>7203</v>
      </c>
      <c r="B7264" s="1821">
        <f>'Expenditures 15-22'!D17</f>
        <v>7889</v>
      </c>
      <c r="D7264" s="2" t="str">
        <f t="shared" si="112"/>
        <v>Error?</v>
      </c>
    </row>
    <row r="7265" spans="1:5" x14ac:dyDescent="0.2">
      <c r="A7265">
        <f t="shared" si="113"/>
        <v>7204</v>
      </c>
      <c r="B7265" s="1821">
        <f>'Expenditures 15-22'!E17</f>
        <v>147</v>
      </c>
      <c r="D7265" s="2" t="str">
        <f t="shared" si="112"/>
        <v>Error?</v>
      </c>
    </row>
    <row r="7266" spans="1:5" x14ac:dyDescent="0.2">
      <c r="A7266">
        <f t="shared" si="113"/>
        <v>7205</v>
      </c>
      <c r="B7266" s="1821">
        <f>'Expenditures 15-22'!F17</f>
        <v>3526</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115280</v>
      </c>
      <c r="D7624" s="2" t="str">
        <f t="shared" si="124"/>
        <v>Error?</v>
      </c>
      <c r="E7624" s="2" t="s">
        <v>19</v>
      </c>
    </row>
    <row r="7625" spans="1:5" x14ac:dyDescent="0.2">
      <c r="A7625">
        <f t="shared" si="123"/>
        <v>7564</v>
      </c>
      <c r="B7625" s="1821">
        <f>'Cap Outlay Deprec 26'!I17</f>
        <v>11528</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911516.37000000011</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80000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7937</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18173</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26110</v>
      </c>
      <c r="D7719" s="2" t="str">
        <f t="shared" si="126"/>
        <v>Error?</v>
      </c>
      <c r="E7719" s="2" t="s">
        <v>821</v>
      </c>
    </row>
    <row r="7720" spans="1:6" x14ac:dyDescent="0.2">
      <c r="A7720">
        <v>7659</v>
      </c>
      <c r="B7720" s="1821">
        <f>'Rest Tax Levies-Tort Im 25'!H14</f>
        <v>77311</v>
      </c>
      <c r="D7720" s="2" t="str">
        <f t="shared" si="126"/>
        <v>Error?</v>
      </c>
      <c r="E7720" s="2" t="s">
        <v>821</v>
      </c>
    </row>
    <row r="7721" spans="1:6" x14ac:dyDescent="0.2">
      <c r="A7721">
        <v>7660</v>
      </c>
      <c r="B7721" s="1821">
        <f>'Rest Tax Levies-Tort Im 25'!K14</f>
        <v>26100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10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10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26100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15441479</v>
      </c>
      <c r="D7817" s="2" t="str">
        <f t="shared" si="128"/>
        <v>Error?</v>
      </c>
      <c r="E7817" s="4" t="s">
        <v>1963</v>
      </c>
    </row>
    <row r="7818" spans="1:5" x14ac:dyDescent="0.2">
      <c r="A7818">
        <v>7757</v>
      </c>
      <c r="B7818" s="1821">
        <f>'PCTC-OEPP 27-28'!F172</f>
        <v>211793.81</v>
      </c>
      <c r="D7818" s="2" t="str">
        <f t="shared" si="128"/>
        <v>Error?</v>
      </c>
      <c r="E7818" s="4" t="s">
        <v>1977</v>
      </c>
    </row>
    <row r="7819" spans="1:5" x14ac:dyDescent="0.2">
      <c r="A7819">
        <v>7758</v>
      </c>
      <c r="B7819" s="1821">
        <f>'PCTC-OEPP 27-28'!F173</f>
        <v>891.48</v>
      </c>
      <c r="D7819" s="2" t="str">
        <f t="shared" si="128"/>
        <v>Error?</v>
      </c>
      <c r="E7819" s="4" t="s">
        <v>1977</v>
      </c>
    </row>
    <row r="7820" spans="1:5" x14ac:dyDescent="0.2">
      <c r="A7820">
        <v>7759</v>
      </c>
      <c r="B7820" s="1821">
        <f>'ICR Computation 30'!E40</f>
        <v>-561411</v>
      </c>
      <c r="D7820" s="2" t="str">
        <f t="shared" si="128"/>
        <v>Error?</v>
      </c>
    </row>
    <row r="7821" spans="1:5" x14ac:dyDescent="0.2">
      <c r="A7821">
        <v>7760</v>
      </c>
      <c r="B7821" s="1821">
        <f>'ICR Computation 30'!G40</f>
        <v>-561411</v>
      </c>
      <c r="D7821" s="2" t="str">
        <f t="shared" si="128"/>
        <v>Error?</v>
      </c>
    </row>
    <row r="7822" spans="1:5" x14ac:dyDescent="0.2">
      <c r="A7822" s="1">
        <v>7761</v>
      </c>
      <c r="B7822" s="1821">
        <f>'PCTC-OEPP 27-28'!F14</f>
        <v>14138051</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13482</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1529909</v>
      </c>
      <c r="D7834" s="2" t="str">
        <f t="shared" si="129"/>
        <v>Error?</v>
      </c>
      <c r="E7834" s="4" t="s">
        <v>1995</v>
      </c>
    </row>
    <row r="7835" spans="1:5" x14ac:dyDescent="0.2">
      <c r="A7835">
        <v>7774</v>
      </c>
      <c r="B7835" s="1821">
        <f>'PCTC-OEPP 27-28'!F78</f>
        <v>12608142</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20652.157248157248</v>
      </c>
      <c r="D7837" s="2" t="str">
        <f t="shared" si="129"/>
        <v>Error?</v>
      </c>
      <c r="E7837" s="4" t="s">
        <v>1995</v>
      </c>
    </row>
    <row r="7838" spans="1:5" x14ac:dyDescent="0.2">
      <c r="A7838">
        <v>7777</v>
      </c>
      <c r="B7838" s="1821">
        <f>'PCTC-OEPP 27-28'!F96</f>
        <v>97827</v>
      </c>
      <c r="D7838" s="2" t="str">
        <f t="shared" si="129"/>
        <v>Error?</v>
      </c>
      <c r="E7838" s="4" t="s">
        <v>1995</v>
      </c>
    </row>
    <row r="7839" spans="1:5" x14ac:dyDescent="0.2">
      <c r="A7839">
        <v>7778</v>
      </c>
      <c r="B7839" s="1821">
        <f>'PCTC-OEPP 27-28'!F102</f>
        <v>2227</v>
      </c>
      <c r="D7839" s="2" t="str">
        <f t="shared" si="129"/>
        <v>Error?</v>
      </c>
      <c r="E7839" s="4" t="s">
        <v>1995</v>
      </c>
    </row>
    <row r="7840" spans="1:5" x14ac:dyDescent="0.2">
      <c r="A7840">
        <v>7779</v>
      </c>
      <c r="B7840" s="1821">
        <f>'PCTC-OEPP 27-28'!F103</f>
        <v>27752</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122376</v>
      </c>
      <c r="D7842" s="2" t="str">
        <f t="shared" si="129"/>
        <v>Error?</v>
      </c>
      <c r="E7842" s="4" t="s">
        <v>1995</v>
      </c>
    </row>
    <row r="7843" spans="1:5" x14ac:dyDescent="0.2">
      <c r="A7843">
        <v>7782</v>
      </c>
      <c r="B7843" s="1821">
        <f>'PCTC-OEPP 27-28'!F107</f>
        <v>33207</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18173</v>
      </c>
      <c r="D7846" s="2" t="str">
        <f t="shared" si="129"/>
        <v>Error?</v>
      </c>
      <c r="E7846" s="4" t="s">
        <v>1995</v>
      </c>
    </row>
    <row r="7847" spans="1:5" x14ac:dyDescent="0.2">
      <c r="A7847">
        <v>7786</v>
      </c>
      <c r="B7847" s="1821">
        <f>'PCTC-OEPP 27-28'!F112</f>
        <v>339682</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750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83673</v>
      </c>
      <c r="D7858" s="2" t="str">
        <f t="shared" si="129"/>
        <v>Error?</v>
      </c>
      <c r="E7858" s="4" t="s">
        <v>1995</v>
      </c>
    </row>
    <row r="7859" spans="1:5" x14ac:dyDescent="0.2">
      <c r="A7859">
        <v>7798</v>
      </c>
      <c r="B7859" s="1821">
        <f>'PCTC-OEPP 27-28'!F127</f>
        <v>112232</v>
      </c>
      <c r="D7859" s="2" t="str">
        <f t="shared" si="129"/>
        <v>Error?</v>
      </c>
      <c r="E7859" s="4" t="s">
        <v>1995</v>
      </c>
    </row>
    <row r="7860" spans="1:5" x14ac:dyDescent="0.2">
      <c r="A7860">
        <v>7799</v>
      </c>
      <c r="B7860" s="1821">
        <f>'PCTC-OEPP 27-28'!F128</f>
        <v>13000</v>
      </c>
      <c r="D7860" s="2" t="str">
        <f t="shared" si="129"/>
        <v>Error?</v>
      </c>
      <c r="E7860" s="4" t="s">
        <v>1995</v>
      </c>
    </row>
    <row r="7861" spans="1:5" x14ac:dyDescent="0.2">
      <c r="A7861">
        <v>7800</v>
      </c>
      <c r="B7861" s="1821">
        <f>'PCTC-OEPP 27-28'!F129</f>
        <v>140885</v>
      </c>
      <c r="D7861" s="2" t="str">
        <f t="shared" si="129"/>
        <v>Error?</v>
      </c>
      <c r="E7861" s="4" t="s">
        <v>1995</v>
      </c>
    </row>
    <row r="7862" spans="1:5" x14ac:dyDescent="0.2">
      <c r="A7862">
        <v>7801</v>
      </c>
      <c r="B7862" s="1821">
        <f>'PCTC-OEPP 27-28'!F130</f>
        <v>218888</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14844</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21721</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3571</v>
      </c>
      <c r="D7874" s="2" t="str">
        <f t="shared" si="129"/>
        <v>Error?</v>
      </c>
      <c r="E7874" s="4" t="s">
        <v>1995</v>
      </c>
    </row>
    <row r="7875" spans="1:5" x14ac:dyDescent="0.2">
      <c r="A7875">
        <v>7814</v>
      </c>
      <c r="B7875" s="1821">
        <f>'PCTC-OEPP 27-28'!F170</f>
        <v>24846</v>
      </c>
      <c r="D7875" s="2" t="str">
        <f t="shared" si="129"/>
        <v>Error?</v>
      </c>
      <c r="E7875" s="4" t="s">
        <v>1995</v>
      </c>
    </row>
    <row r="7876" spans="1:5" x14ac:dyDescent="0.2">
      <c r="A7876">
        <v>7815</v>
      </c>
      <c r="B7876" s="1821">
        <f>'PCTC-OEPP 27-28'!F171</f>
        <v>18075</v>
      </c>
      <c r="D7876" s="2" t="str">
        <f t="shared" si="129"/>
        <v>Error?</v>
      </c>
      <c r="E7876" s="4" t="s">
        <v>1995</v>
      </c>
    </row>
    <row r="7877" spans="1:5" x14ac:dyDescent="0.2">
      <c r="A7877">
        <v>7816</v>
      </c>
      <c r="B7877" s="1821">
        <f>'PCTC-OEPP 27-28'!F175</f>
        <v>1821877.29</v>
      </c>
      <c r="D7877" s="2" t="str">
        <f t="shared" si="129"/>
        <v>Error?</v>
      </c>
      <c r="E7877" s="4" t="s">
        <v>1995</v>
      </c>
    </row>
    <row r="7878" spans="1:5" x14ac:dyDescent="0.2">
      <c r="A7878">
        <v>7817</v>
      </c>
      <c r="B7878" s="1821">
        <f>'PCTC-OEPP 27-28'!F176</f>
        <v>10786264.710000001</v>
      </c>
      <c r="D7878" s="2" t="str">
        <f t="shared" si="129"/>
        <v>Error?</v>
      </c>
      <c r="E7878" s="4" t="s">
        <v>1995</v>
      </c>
    </row>
    <row r="7879" spans="1:5" x14ac:dyDescent="0.2">
      <c r="A7879">
        <v>7818</v>
      </c>
      <c r="B7879" s="1821">
        <f>'PCTC-OEPP 27-28'!F178</f>
        <v>11697781.080000002</v>
      </c>
      <c r="D7879" s="2" t="str">
        <f t="shared" si="129"/>
        <v>Error?</v>
      </c>
      <c r="E7879" s="4" t="s">
        <v>1995</v>
      </c>
    </row>
    <row r="7880" spans="1:5" x14ac:dyDescent="0.2">
      <c r="A7880">
        <v>7819</v>
      </c>
      <c r="B7880" s="1821">
        <f>'PCTC-OEPP 27-28'!F180</f>
        <v>19160.984570024571</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60" t="s">
        <v>1180</v>
      </c>
      <c r="B2" s="2560"/>
      <c r="C2" s="2560"/>
      <c r="D2" s="2560"/>
      <c r="E2" s="2560"/>
      <c r="F2" s="2560"/>
      <c r="G2" s="2560"/>
      <c r="H2" s="2560"/>
      <c r="I2" s="2560"/>
      <c r="J2" s="2560"/>
      <c r="K2" s="2560"/>
      <c r="L2" s="2560"/>
    </row>
    <row r="3" spans="1:29" ht="13.5" customHeight="1" x14ac:dyDescent="0.2">
      <c r="A3" s="2546" t="s">
        <v>1179</v>
      </c>
      <c r="B3" s="2546"/>
      <c r="C3" s="2546"/>
      <c r="D3" s="2546"/>
      <c r="E3" s="2546"/>
      <c r="F3" s="2546"/>
      <c r="G3" s="2546"/>
      <c r="H3" s="2546"/>
      <c r="I3" s="2546"/>
      <c r="J3" s="2546"/>
      <c r="K3" s="2546"/>
      <c r="L3" s="2546"/>
    </row>
    <row r="4" spans="1:29" ht="13.5" customHeight="1" x14ac:dyDescent="0.2">
      <c r="A4" s="2577" t="str">
        <f>"Year Ending June 30, "&amp;'AFR20'!E2</f>
        <v>Year Ending June 30, 2020</v>
      </c>
      <c r="B4" s="2578"/>
      <c r="C4" s="2578"/>
      <c r="D4" s="2578"/>
      <c r="E4" s="2578"/>
      <c r="F4" s="2578"/>
      <c r="G4" s="2578"/>
      <c r="H4" s="2578"/>
      <c r="I4" s="2578"/>
      <c r="J4" s="2578"/>
      <c r="K4" s="2578"/>
      <c r="L4" s="257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0" t="str">
        <f>COVER!A17</f>
        <v>Marengo CHSD 154</v>
      </c>
      <c r="B7" s="2541"/>
      <c r="C7" s="2541"/>
      <c r="D7" s="2579"/>
      <c r="E7" s="2580">
        <f>COVER!A13</f>
        <v>44063154016</v>
      </c>
      <c r="F7" s="2581"/>
      <c r="G7" s="2547" t="str">
        <f>COVER!T23</f>
        <v>066-005142</v>
      </c>
      <c r="H7" s="2548"/>
      <c r="I7" s="2548"/>
      <c r="J7" s="2548"/>
      <c r="K7" s="2548"/>
      <c r="L7" s="2549"/>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50"/>
      <c r="B9" s="2551"/>
      <c r="C9" s="2551"/>
      <c r="D9" s="2551"/>
      <c r="E9" s="2551"/>
      <c r="F9" s="2552"/>
      <c r="G9" s="2553" t="str">
        <f>COVER!T13</f>
        <v>EDER, CASELLA &amp; CO.</v>
      </c>
      <c r="H9" s="2554"/>
      <c r="I9" s="2554"/>
      <c r="J9" s="2554"/>
      <c r="K9" s="2554"/>
      <c r="L9" s="2555"/>
    </row>
    <row r="10" spans="1:29" ht="13.5" customHeight="1" x14ac:dyDescent="0.2">
      <c r="A10" s="2537">
        <f>COVER!A38</f>
        <v>0</v>
      </c>
      <c r="B10" s="2538"/>
      <c r="C10" s="2538"/>
      <c r="D10" s="2538"/>
      <c r="E10" s="2538"/>
      <c r="F10" s="2539"/>
      <c r="G10" s="2553" t="str">
        <f>COVER!T17</f>
        <v>5400 WEST ELM STREET, SUITE 203</v>
      </c>
      <c r="H10" s="2566"/>
      <c r="I10" s="2566"/>
      <c r="J10" s="2566"/>
      <c r="K10" s="2566"/>
      <c r="L10" s="2567"/>
    </row>
    <row r="11" spans="1:29" ht="13.5" customHeight="1" x14ac:dyDescent="0.2">
      <c r="A11" s="956" t="s">
        <v>1499</v>
      </c>
      <c r="B11" s="957"/>
      <c r="C11" s="958"/>
      <c r="D11" s="963"/>
      <c r="E11" s="958"/>
      <c r="F11" s="962"/>
      <c r="G11" s="2553" t="str">
        <f>COVER!T19</f>
        <v>MCHENRY</v>
      </c>
      <c r="H11" s="2566"/>
      <c r="I11" s="2566"/>
      <c r="J11" s="2566"/>
      <c r="K11" s="2566"/>
      <c r="L11" s="2567"/>
    </row>
    <row r="12" spans="1:29" ht="13.5" customHeight="1" x14ac:dyDescent="0.2">
      <c r="A12" s="2571" t="s">
        <v>1498</v>
      </c>
      <c r="B12" s="2572"/>
      <c r="C12" s="2572"/>
      <c r="D12" s="2572"/>
      <c r="E12" s="2572"/>
      <c r="F12" s="2573"/>
      <c r="G12" s="2568"/>
      <c r="H12" s="2569"/>
      <c r="I12" s="2569"/>
      <c r="J12" s="2569"/>
      <c r="K12" s="2569"/>
      <c r="L12" s="2570"/>
    </row>
    <row r="13" spans="1:29" ht="13.5" customHeight="1" x14ac:dyDescent="0.2">
      <c r="A13" s="2553"/>
      <c r="B13" s="2566"/>
      <c r="C13" s="2566"/>
      <c r="D13" s="2566"/>
      <c r="E13" s="2566"/>
      <c r="F13" s="2567"/>
      <c r="G13" s="2561" t="s">
        <v>1500</v>
      </c>
      <c r="H13" s="2562"/>
      <c r="I13" s="2574" t="str">
        <f>COVER!T25</f>
        <v>CPAS@EDERCASELLA.COM</v>
      </c>
      <c r="J13" s="2575"/>
      <c r="K13" s="2575"/>
      <c r="L13" s="2576"/>
    </row>
    <row r="14" spans="1:29" ht="13.5" customHeight="1" x14ac:dyDescent="0.2">
      <c r="A14" s="2553" t="str">
        <f>COVER!A19</f>
        <v>110 FRANKS ROAD</v>
      </c>
      <c r="B14" s="2566"/>
      <c r="C14" s="2566"/>
      <c r="D14" s="2566"/>
      <c r="E14" s="2566"/>
      <c r="F14" s="2567"/>
      <c r="G14" s="967" t="s">
        <v>1174</v>
      </c>
      <c r="H14" s="965"/>
      <c r="I14" s="965"/>
      <c r="J14" s="965"/>
      <c r="K14" s="965"/>
      <c r="L14" s="966"/>
    </row>
    <row r="15" spans="1:29" ht="13.5" customHeight="1" x14ac:dyDescent="0.2">
      <c r="A15" s="2553" t="str">
        <f>COVER!A21</f>
        <v>MARENGO</v>
      </c>
      <c r="B15" s="2566"/>
      <c r="C15" s="2566"/>
      <c r="D15" s="2566"/>
      <c r="E15" s="2566"/>
      <c r="F15" s="2567"/>
      <c r="G15" s="2563" t="str">
        <f>COVER!T15</f>
        <v>CHERYDEN JUERGENSEN</v>
      </c>
      <c r="H15" s="2564"/>
      <c r="I15" s="2564"/>
      <c r="J15" s="2564"/>
      <c r="K15" s="2564"/>
      <c r="L15" s="2565"/>
    </row>
    <row r="16" spans="1:29" ht="12.2" customHeight="1" x14ac:dyDescent="0.2">
      <c r="A16" s="2543" t="str">
        <f>COVER!A25</f>
        <v>60152-3598</v>
      </c>
      <c r="B16" s="2544"/>
      <c r="C16" s="2544"/>
      <c r="D16" s="2544"/>
      <c r="E16" s="2544"/>
      <c r="F16" s="2545"/>
      <c r="G16" s="2556"/>
      <c r="H16" s="2557"/>
      <c r="I16" s="2557"/>
      <c r="J16" s="2557"/>
      <c r="K16" s="2557"/>
      <c r="L16" s="2558"/>
    </row>
    <row r="17" spans="1:13" ht="12.2" customHeight="1" x14ac:dyDescent="0.2">
      <c r="A17" s="2559"/>
      <c r="B17" s="2544"/>
      <c r="C17" s="2544"/>
      <c r="D17" s="2544"/>
      <c r="E17" s="2544"/>
      <c r="F17" s="2545"/>
      <c r="G17" s="967" t="s">
        <v>1173</v>
      </c>
      <c r="H17" s="965"/>
      <c r="I17" s="965"/>
      <c r="J17" s="965"/>
      <c r="K17" s="969" t="s">
        <v>1172</v>
      </c>
      <c r="L17" s="962"/>
      <c r="M17" s="955"/>
    </row>
    <row r="18" spans="1:13" ht="12.2" customHeight="1" x14ac:dyDescent="0.2">
      <c r="A18" s="2537"/>
      <c r="B18" s="2538"/>
      <c r="C18" s="2538"/>
      <c r="D18" s="2538"/>
      <c r="E18" s="2538"/>
      <c r="F18" s="2539"/>
      <c r="G18" s="2540" t="str">
        <f>COVER!T21</f>
        <v>815-344-1300</v>
      </c>
      <c r="H18" s="2541"/>
      <c r="I18" s="2541"/>
      <c r="J18" s="2541"/>
      <c r="K18" s="2540" t="str">
        <f>COVER!X21</f>
        <v>815-344-1320</v>
      </c>
      <c r="L18" s="2542"/>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pageSetUpPr fitToPage="1"/>
  </sheetPr>
  <dimension ref="A1:K127"/>
  <sheetViews>
    <sheetView showGridLines="0" zoomScale="125" zoomScaleNormal="125" workbookViewId="0">
      <selection activeCell="A2" sqref="A2:F2"/>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82" t="str">
        <f>'Single Audit Cover'!A7</f>
        <v>Marengo CHSD 154</v>
      </c>
      <c r="B1" s="2583"/>
      <c r="C1" s="2583"/>
      <c r="D1" s="2583"/>
    </row>
    <row r="2" spans="1:11" s="984" customFormat="1" ht="12.75" x14ac:dyDescent="0.2">
      <c r="A2" s="2584">
        <f>'Single Audit Cover'!E7</f>
        <v>44063154016</v>
      </c>
      <c r="B2" s="2585"/>
      <c r="C2" s="2585"/>
      <c r="D2" s="2585"/>
    </row>
    <row r="3" spans="1:11" s="984" customFormat="1" ht="12.75" x14ac:dyDescent="0.2">
      <c r="A3" s="2582" t="s">
        <v>1493</v>
      </c>
      <c r="B3" s="2583"/>
      <c r="C3" s="2583"/>
      <c r="D3" s="2583"/>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E49"/>
  <sheetViews>
    <sheetView showGridLines="0" zoomScale="110" zoomScaleNormal="110" zoomScaleSheetLayoutView="100" workbookViewId="0">
      <selection activeCell="A2" sqref="A2:F2"/>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87" t="str">
        <f>'Single Audit Cover'!A7</f>
        <v>Marengo CHSD 154</v>
      </c>
      <c r="B1" s="2587"/>
      <c r="C1" s="2587"/>
      <c r="D1" s="2587"/>
      <c r="E1" s="2587"/>
    </row>
    <row r="2" spans="1:5" x14ac:dyDescent="0.2">
      <c r="A2" s="2588">
        <f>'Single Audit Cover'!E7</f>
        <v>44063154016</v>
      </c>
      <c r="B2" s="2588"/>
      <c r="C2" s="2588"/>
      <c r="D2" s="2588"/>
      <c r="E2" s="2588"/>
    </row>
    <row r="3" spans="1:5" ht="4.5" customHeight="1" x14ac:dyDescent="0.2"/>
    <row r="4" spans="1:5" x14ac:dyDescent="0.2">
      <c r="A4" s="2587" t="s">
        <v>1233</v>
      </c>
      <c r="B4" s="2587"/>
      <c r="C4" s="2587"/>
      <c r="D4" s="2587"/>
      <c r="E4" s="2587"/>
    </row>
    <row r="5" spans="1:5" x14ac:dyDescent="0.2">
      <c r="A5" s="2590" t="str">
        <f>'Single Audit Cover'!A4</f>
        <v>Year Ending June 30, 2020</v>
      </c>
      <c r="B5" s="2590"/>
      <c r="C5" s="2590"/>
      <c r="D5" s="2590"/>
      <c r="E5" s="2590"/>
    </row>
    <row r="6" spans="1:5" x14ac:dyDescent="0.2">
      <c r="A6" s="2587" t="s">
        <v>1232</v>
      </c>
      <c r="B6" s="2587"/>
      <c r="C6" s="2587"/>
      <c r="D6" s="2587"/>
      <c r="E6" s="2587"/>
    </row>
    <row r="8" spans="1:5" x14ac:dyDescent="0.2">
      <c r="A8" s="1029" t="s">
        <v>1231</v>
      </c>
    </row>
    <row r="10" spans="1:5" x14ac:dyDescent="0.2">
      <c r="A10" s="1030" t="s">
        <v>1230</v>
      </c>
      <c r="B10" s="1031" t="s">
        <v>1229</v>
      </c>
      <c r="C10" s="1031"/>
      <c r="D10" s="1032">
        <f>SUM('Acct Summary 7-8'!C7:K7)</f>
        <v>651735</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22260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-24846</v>
      </c>
    </row>
    <row r="19" spans="1:4" ht="13.5" thickBot="1" x14ac:dyDescent="0.25">
      <c r="A19" s="1034" t="s">
        <v>1223</v>
      </c>
      <c r="D19" s="1035">
        <f>SUM(D10:D17)</f>
        <v>649149</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89"/>
      <c r="B24" s="2589"/>
      <c r="D24" s="1037"/>
    </row>
    <row r="25" spans="1:4" x14ac:dyDescent="0.2">
      <c r="A25" s="2586"/>
      <c r="B25" s="2586"/>
      <c r="D25" s="1037"/>
    </row>
    <row r="26" spans="1:4" x14ac:dyDescent="0.2">
      <c r="A26" s="2586"/>
      <c r="B26" s="2586"/>
      <c r="D26" s="1037"/>
    </row>
    <row r="27" spans="1:4" x14ac:dyDescent="0.2">
      <c r="A27" s="2586"/>
      <c r="B27" s="2586"/>
      <c r="D27" s="1037"/>
    </row>
    <row r="28" spans="1:4" x14ac:dyDescent="0.2">
      <c r="A28" s="2586"/>
      <c r="B28" s="2586"/>
      <c r="D28" s="1037"/>
    </row>
    <row r="29" spans="1:4" x14ac:dyDescent="0.2">
      <c r="A29" s="2586"/>
      <c r="B29" s="2586"/>
      <c r="D29" s="1037"/>
    </row>
    <row r="30" spans="1:4" x14ac:dyDescent="0.2">
      <c r="A30" s="2586"/>
      <c r="B30" s="2586"/>
      <c r="D30" s="1037"/>
    </row>
    <row r="32" spans="1:4" x14ac:dyDescent="0.2">
      <c r="A32" s="1029" t="s">
        <v>1221</v>
      </c>
      <c r="D32" s="1032">
        <f>SUM(D19:D30)</f>
        <v>649149</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86"/>
      <c r="B40" s="2586"/>
      <c r="D40" s="1037"/>
    </row>
    <row r="41" spans="1:4" x14ac:dyDescent="0.2">
      <c r="A41" s="2586"/>
      <c r="B41" s="2586"/>
      <c r="D41" s="1040"/>
    </row>
    <row r="42" spans="1:4" x14ac:dyDescent="0.2">
      <c r="A42" s="2586"/>
      <c r="B42" s="2586"/>
      <c r="D42" s="1040"/>
    </row>
    <row r="43" spans="1:4" x14ac:dyDescent="0.2">
      <c r="A43" s="2586"/>
      <c r="B43" s="2586"/>
      <c r="D43" s="1040"/>
    </row>
    <row r="44" spans="1:4" x14ac:dyDescent="0.2">
      <c r="A44" s="2586"/>
      <c r="B44" s="2586"/>
      <c r="D44" s="1040"/>
    </row>
    <row r="45" spans="1:4" x14ac:dyDescent="0.2">
      <c r="A45" s="2586"/>
      <c r="B45" s="2586"/>
      <c r="D45" s="1040"/>
    </row>
    <row r="47" spans="1:4" x14ac:dyDescent="0.2">
      <c r="B47" s="1041" t="s">
        <v>1215</v>
      </c>
      <c r="C47" s="1041"/>
      <c r="D47" s="1042">
        <f>SUM(D35:D45)</f>
        <v>0</v>
      </c>
    </row>
    <row r="49" spans="2:4" x14ac:dyDescent="0.2">
      <c r="B49" s="1041" t="s">
        <v>1214</v>
      </c>
      <c r="C49" s="1041"/>
      <c r="D49" s="1042">
        <f>D32-D47</f>
        <v>649149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B1:N152"/>
  <sheetViews>
    <sheetView showGridLines="0" zoomScaleNormal="100" workbookViewId="0">
      <selection activeCell="A2" sqref="A2:M2"/>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6" t="str">
        <f>'Single Audit Cover'!A7</f>
        <v>Marengo CHSD 154</v>
      </c>
      <c r="C1" s="2591"/>
      <c r="D1" s="2591"/>
      <c r="E1" s="2591"/>
      <c r="F1" s="2591"/>
      <c r="G1" s="2591"/>
      <c r="H1" s="2591"/>
      <c r="I1" s="2591"/>
      <c r="J1" s="2591"/>
      <c r="K1" s="2591"/>
      <c r="L1" s="2591"/>
      <c r="M1" s="2591"/>
    </row>
    <row r="2" spans="2:14" ht="15" x14ac:dyDescent="0.2">
      <c r="B2" s="2592">
        <f>'Single Audit Cover'!E7</f>
        <v>44063154016</v>
      </c>
      <c r="C2" s="2592"/>
      <c r="D2" s="2592"/>
      <c r="E2" s="2592"/>
      <c r="F2" s="2592"/>
      <c r="G2" s="2592"/>
      <c r="H2" s="2592"/>
      <c r="I2" s="2592"/>
      <c r="J2" s="2592"/>
      <c r="K2" s="2592"/>
      <c r="L2" s="2592"/>
      <c r="M2" s="2592"/>
      <c r="N2" s="1071"/>
    </row>
    <row r="3" spans="2:14" ht="15" x14ac:dyDescent="0.2">
      <c r="B3" s="2593" t="s">
        <v>1207</v>
      </c>
      <c r="C3" s="2593"/>
      <c r="D3" s="2593"/>
      <c r="E3" s="2593"/>
      <c r="F3" s="2593"/>
      <c r="G3" s="2593"/>
      <c r="H3" s="2593"/>
      <c r="I3" s="2593"/>
      <c r="J3" s="2593"/>
      <c r="K3" s="2593"/>
      <c r="L3" s="2593"/>
      <c r="M3" s="2593"/>
      <c r="N3" s="1071"/>
    </row>
    <row r="4" spans="2:14" ht="15" x14ac:dyDescent="0.2">
      <c r="B4" s="2594" t="str">
        <f>'Single Audit Cover'!A4</f>
        <v>Year Ending June 30, 2020</v>
      </c>
      <c r="C4" s="2594"/>
      <c r="D4" s="2594"/>
      <c r="E4" s="2594"/>
      <c r="F4" s="2594"/>
      <c r="G4" s="2594"/>
      <c r="H4" s="2594"/>
      <c r="I4" s="2594"/>
      <c r="J4" s="2594"/>
      <c r="K4" s="2594"/>
      <c r="L4" s="2594"/>
      <c r="M4" s="2594"/>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1"/>
    <pageSetUpPr fitToPage="1"/>
  </sheetPr>
  <dimension ref="A1:G52"/>
  <sheetViews>
    <sheetView showGridLines="0" zoomScale="120" zoomScaleNormal="120" workbookViewId="0">
      <selection activeCell="A2" sqref="A2:I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6" t="str">
        <f>'Single Audit Cover'!A7</f>
        <v>Marengo CHSD 154</v>
      </c>
      <c r="B1" s="2596"/>
      <c r="C1" s="2596"/>
      <c r="D1" s="2596"/>
      <c r="E1" s="2596"/>
      <c r="F1" s="2596"/>
    </row>
    <row r="2" spans="1:7" ht="13.5" customHeight="1" x14ac:dyDescent="0.2">
      <c r="A2" s="2592">
        <f>'Single Audit Cover'!E7</f>
        <v>44063154016</v>
      </c>
      <c r="B2" s="2592"/>
      <c r="C2" s="2592"/>
      <c r="D2" s="2592"/>
      <c r="E2" s="2592"/>
      <c r="F2" s="2592"/>
      <c r="G2" s="1044"/>
    </row>
    <row r="3" spans="1:7" ht="15.75" customHeight="1" x14ac:dyDescent="0.2">
      <c r="A3" s="2597" t="s">
        <v>1259</v>
      </c>
      <c r="B3" s="2597"/>
      <c r="C3" s="2597"/>
      <c r="D3" s="2597"/>
      <c r="E3" s="2597"/>
      <c r="F3" s="2597"/>
    </row>
    <row r="4" spans="1:7" ht="13.5" customHeight="1" x14ac:dyDescent="0.2">
      <c r="A4" s="2598" t="str">
        <f>'Single Audit Cover'!A4</f>
        <v>Year Ending June 30, 2020</v>
      </c>
      <c r="B4" s="2598"/>
      <c r="C4" s="2598"/>
      <c r="D4" s="2598"/>
      <c r="E4" s="2598"/>
      <c r="F4" s="2598"/>
    </row>
    <row r="5" spans="1:7" ht="8.25" customHeight="1" x14ac:dyDescent="0.2">
      <c r="C5" s="295"/>
      <c r="D5" s="295"/>
    </row>
    <row r="6" spans="1:7" ht="13.5" customHeight="1" x14ac:dyDescent="0.2">
      <c r="A6" s="1045" t="s">
        <v>1702</v>
      </c>
      <c r="C6" s="295"/>
      <c r="D6" s="295"/>
    </row>
    <row r="7" spans="1:7" ht="60.95" customHeight="1" x14ac:dyDescent="0.2">
      <c r="A7" s="2595" t="s">
        <v>1703</v>
      </c>
      <c r="B7" s="2595"/>
      <c r="C7" s="2595"/>
      <c r="D7" s="2595"/>
      <c r="E7" s="2595"/>
      <c r="F7" s="2595"/>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95" t="s">
        <v>1705</v>
      </c>
      <c r="B13" s="2595"/>
      <c r="C13" s="2595"/>
      <c r="D13" s="2595"/>
      <c r="E13" s="2595"/>
      <c r="F13" s="2595"/>
    </row>
    <row r="14" spans="1:7" ht="9.75" customHeight="1" x14ac:dyDescent="0.2">
      <c r="C14" s="1029"/>
      <c r="D14" s="1029"/>
    </row>
    <row r="15" spans="1:7" ht="13.5" customHeight="1" x14ac:dyDescent="0.2">
      <c r="C15" s="1469" t="s">
        <v>1258</v>
      </c>
      <c r="D15" s="2600" t="s">
        <v>1257</v>
      </c>
      <c r="E15" s="2600"/>
      <c r="F15" s="2600"/>
    </row>
    <row r="16" spans="1:7" ht="13.5" customHeight="1" x14ac:dyDescent="0.2">
      <c r="A16" s="1051"/>
      <c r="B16" s="1045" t="s">
        <v>1256</v>
      </c>
      <c r="C16" s="1469" t="s">
        <v>1255</v>
      </c>
      <c r="D16" s="2601" t="s">
        <v>1568</v>
      </c>
      <c r="E16" s="2601"/>
      <c r="F16" s="2601"/>
    </row>
    <row r="17" spans="1:6" ht="20.45" customHeight="1" x14ac:dyDescent="0.2">
      <c r="A17" s="1052"/>
      <c r="B17" s="1053"/>
      <c r="C17" s="1054"/>
      <c r="D17" s="2599"/>
      <c r="E17" s="2599"/>
      <c r="F17" s="2599"/>
    </row>
    <row r="18" spans="1:6" ht="20.65" customHeight="1" x14ac:dyDescent="0.2">
      <c r="A18" s="1052"/>
      <c r="B18" s="1053"/>
      <c r="C18" s="1054"/>
      <c r="D18" s="2599"/>
      <c r="E18" s="2599"/>
      <c r="F18" s="2599"/>
    </row>
    <row r="19" spans="1:6" ht="20.65" customHeight="1" x14ac:dyDescent="0.2">
      <c r="A19" s="1052"/>
      <c r="B19" s="1053"/>
      <c r="C19" s="1054"/>
      <c r="D19" s="2599"/>
      <c r="E19" s="2599"/>
      <c r="F19" s="2599"/>
    </row>
    <row r="20" spans="1:6" ht="20.65" customHeight="1" x14ac:dyDescent="0.2">
      <c r="A20" s="1052"/>
      <c r="B20" s="1053"/>
      <c r="C20" s="1054"/>
      <c r="D20" s="2599"/>
      <c r="E20" s="2599"/>
      <c r="F20" s="2599"/>
    </row>
    <row r="21" spans="1:6" ht="20.65" customHeight="1" x14ac:dyDescent="0.2">
      <c r="A21" s="1052"/>
      <c r="B21" s="1053"/>
      <c r="C21" s="1054"/>
      <c r="D21" s="2599"/>
      <c r="E21" s="2599"/>
      <c r="F21" s="2599"/>
    </row>
    <row r="22" spans="1:6" ht="20.65" customHeight="1" x14ac:dyDescent="0.2">
      <c r="A22" s="1052"/>
      <c r="B22" s="1053"/>
      <c r="C22" s="1054"/>
      <c r="D22" s="2599"/>
      <c r="E22" s="2599"/>
      <c r="F22" s="2599"/>
    </row>
    <row r="23" spans="1:6" ht="20.65" customHeight="1" x14ac:dyDescent="0.2">
      <c r="A23" s="1052"/>
      <c r="B23" s="1053"/>
      <c r="C23" s="1054"/>
      <c r="D23" s="2599"/>
      <c r="E23" s="2599"/>
      <c r="F23" s="2599"/>
    </row>
    <row r="24" spans="1:6" ht="20.65" customHeight="1" x14ac:dyDescent="0.2">
      <c r="A24" s="1052"/>
      <c r="B24" s="1053"/>
      <c r="C24" s="1054"/>
      <c r="D24" s="2599"/>
      <c r="E24" s="2599"/>
      <c r="F24" s="2599"/>
    </row>
    <row r="25" spans="1:6" ht="20.65" customHeight="1" x14ac:dyDescent="0.2">
      <c r="A25" s="1052"/>
      <c r="B25" s="1053"/>
      <c r="C25" s="1054"/>
      <c r="D25" s="2599"/>
      <c r="E25" s="2599"/>
      <c r="F25" s="2599"/>
    </row>
    <row r="26" spans="1:6" ht="20.65" customHeight="1" x14ac:dyDescent="0.2">
      <c r="A26" s="1052"/>
      <c r="B26" s="1053"/>
      <c r="C26" s="1054"/>
      <c r="D26" s="2599"/>
      <c r="E26" s="2599"/>
      <c r="F26" s="2599"/>
    </row>
    <row r="27" spans="1:6" ht="20.65" customHeight="1" x14ac:dyDescent="0.2">
      <c r="A27" s="1052"/>
      <c r="B27" s="1053"/>
      <c r="C27" s="1054"/>
      <c r="D27" s="2599"/>
      <c r="E27" s="2599"/>
      <c r="F27" s="2599"/>
    </row>
    <row r="28" spans="1:6" ht="20.65" customHeight="1" x14ac:dyDescent="0.2">
      <c r="A28" s="1052"/>
      <c r="B28" s="1053"/>
      <c r="C28" s="1054"/>
      <c r="D28" s="2599"/>
      <c r="E28" s="2599"/>
      <c r="F28" s="2599"/>
    </row>
    <row r="29" spans="1:6" ht="20.65" customHeight="1" x14ac:dyDescent="0.2">
      <c r="A29" s="1052"/>
      <c r="B29" s="1053"/>
      <c r="C29" s="1054"/>
      <c r="D29" s="2599"/>
      <c r="E29" s="2599"/>
      <c r="F29" s="2599"/>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603" t="s">
        <v>1706</v>
      </c>
      <c r="B32" s="2603"/>
      <c r="C32" s="2603"/>
      <c r="D32" s="2603"/>
      <c r="E32" s="2603"/>
      <c r="F32" s="2603"/>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604">
        <f>+C33+C34</f>
        <v>0</v>
      </c>
      <c r="F34" s="2605"/>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06" t="s">
        <v>1570</v>
      </c>
      <c r="C49" s="2606"/>
      <c r="D49" s="2606"/>
      <c r="E49" s="1161"/>
    </row>
    <row r="50" spans="1:5" s="1069" customFormat="1" ht="3.75" customHeight="1" x14ac:dyDescent="0.2">
      <c r="A50" s="1068"/>
      <c r="B50" s="1468"/>
      <c r="C50" s="1468"/>
      <c r="D50" s="1468"/>
      <c r="E50" s="1161"/>
    </row>
    <row r="51" spans="1:5" s="1069" customFormat="1" ht="20.25" customHeight="1" x14ac:dyDescent="0.2">
      <c r="A51" s="1070">
        <v>6</v>
      </c>
      <c r="B51" s="2602" t="s">
        <v>1531</v>
      </c>
      <c r="C51" s="2602"/>
      <c r="D51" s="2602"/>
    </row>
    <row r="52" spans="1:5" ht="14.25" customHeight="1" x14ac:dyDescent="0.2">
      <c r="A52" s="1070"/>
      <c r="B52" s="2602"/>
      <c r="C52" s="2602"/>
      <c r="D52" s="260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4" t="s">
        <v>1157</v>
      </c>
      <c r="B2" s="2174"/>
      <c r="C2" s="2174"/>
      <c r="D2" s="2174"/>
      <c r="E2" s="2174"/>
      <c r="F2" s="2174"/>
      <c r="G2" s="2174"/>
      <c r="H2" s="2174"/>
      <c r="I2" s="2174"/>
      <c r="J2" s="2174"/>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8" t="s">
        <v>1613</v>
      </c>
      <c r="B35" s="2189"/>
      <c r="C35" s="2189"/>
      <c r="D35" s="2189"/>
      <c r="E35" s="2190"/>
      <c r="F35" s="2190"/>
      <c r="G35" s="2190"/>
      <c r="H35" s="2190"/>
      <c r="I35" s="219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8" t="s">
        <v>310</v>
      </c>
      <c r="B47" s="2191"/>
      <c r="C47" s="2191"/>
      <c r="D47" s="2191"/>
      <c r="E47" s="2192"/>
      <c r="F47" s="2192"/>
      <c r="G47" s="2192"/>
      <c r="H47" s="2192"/>
      <c r="I47" s="219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2015</v>
      </c>
      <c r="C53" s="174">
        <v>22</v>
      </c>
      <c r="D53" s="242" t="s">
        <v>1442</v>
      </c>
      <c r="E53" s="243"/>
      <c r="F53" s="244"/>
      <c r="G53" s="244" t="s">
        <v>1441</v>
      </c>
      <c r="H53" s="245">
        <v>33512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5"/>
      <c r="C57" s="2196"/>
      <c r="D57" s="2196"/>
      <c r="E57" s="2196"/>
      <c r="F57" s="2196"/>
      <c r="G57" s="2196"/>
      <c r="H57" s="2196"/>
      <c r="I57" s="2196"/>
      <c r="J57" s="2197"/>
    </row>
    <row r="58" spans="1:10" s="176" customFormat="1" x14ac:dyDescent="0.2">
      <c r="A58" s="248"/>
      <c r="B58" s="2198"/>
      <c r="C58" s="2199"/>
      <c r="D58" s="2199"/>
      <c r="E58" s="2199"/>
      <c r="F58" s="2199"/>
      <c r="G58" s="2199"/>
      <c r="H58" s="2199"/>
      <c r="I58" s="2199"/>
      <c r="J58" s="2200"/>
    </row>
    <row r="59" spans="1:10" s="176" customFormat="1" x14ac:dyDescent="0.2">
      <c r="A59" s="248"/>
      <c r="B59" s="2198"/>
      <c r="C59" s="2199"/>
      <c r="D59" s="2199"/>
      <c r="E59" s="2199"/>
      <c r="F59" s="2199"/>
      <c r="G59" s="2199"/>
      <c r="H59" s="2199"/>
      <c r="I59" s="2199"/>
      <c r="J59" s="2200"/>
    </row>
    <row r="60" spans="1:10" s="176" customFormat="1" x14ac:dyDescent="0.2">
      <c r="A60" s="248"/>
      <c r="B60" s="2198"/>
      <c r="C60" s="2199"/>
      <c r="D60" s="2199"/>
      <c r="E60" s="2199"/>
      <c r="F60" s="2199"/>
      <c r="G60" s="2199"/>
      <c r="H60" s="2199"/>
      <c r="I60" s="2199"/>
      <c r="J60" s="2200"/>
    </row>
    <row r="61" spans="1:10" s="176" customFormat="1" x14ac:dyDescent="0.2">
      <c r="A61" s="248"/>
      <c r="B61" s="2198"/>
      <c r="C61" s="2199"/>
      <c r="D61" s="2199"/>
      <c r="E61" s="2199"/>
      <c r="F61" s="2199"/>
      <c r="G61" s="2199"/>
      <c r="H61" s="2199"/>
      <c r="I61" s="2199"/>
      <c r="J61" s="2200"/>
    </row>
    <row r="62" spans="1:10" s="176" customFormat="1" x14ac:dyDescent="0.2">
      <c r="A62" s="248"/>
      <c r="B62" s="2198"/>
      <c r="C62" s="2199"/>
      <c r="D62" s="2199"/>
      <c r="E62" s="2199"/>
      <c r="F62" s="2199"/>
      <c r="G62" s="2199"/>
      <c r="H62" s="2199"/>
      <c r="I62" s="2199"/>
      <c r="J62" s="2200"/>
    </row>
    <row r="63" spans="1:10" s="176" customFormat="1" x14ac:dyDescent="0.2">
      <c r="A63" s="248"/>
      <c r="B63" s="2198"/>
      <c r="C63" s="2199"/>
      <c r="D63" s="2199"/>
      <c r="E63" s="2199"/>
      <c r="F63" s="2199"/>
      <c r="G63" s="2199"/>
      <c r="H63" s="2199"/>
      <c r="I63" s="2199"/>
      <c r="J63" s="2200"/>
    </row>
    <row r="64" spans="1:10" s="176" customFormat="1" x14ac:dyDescent="0.2">
      <c r="A64" s="248"/>
      <c r="B64" s="2198"/>
      <c r="C64" s="2199"/>
      <c r="D64" s="2199"/>
      <c r="E64" s="2199"/>
      <c r="F64" s="2199"/>
      <c r="G64" s="2199"/>
      <c r="H64" s="2199"/>
      <c r="I64" s="2199"/>
      <c r="J64" s="2200"/>
    </row>
    <row r="65" spans="1:11" s="176" customFormat="1" x14ac:dyDescent="0.2">
      <c r="A65" s="248"/>
      <c r="B65" s="2198"/>
      <c r="C65" s="2199"/>
      <c r="D65" s="2199"/>
      <c r="E65" s="2199"/>
      <c r="F65" s="2199"/>
      <c r="G65" s="2199"/>
      <c r="H65" s="2199"/>
      <c r="I65" s="2199"/>
      <c r="J65" s="2200"/>
    </row>
    <row r="66" spans="1:11" s="176" customFormat="1" x14ac:dyDescent="0.2">
      <c r="A66" s="248"/>
      <c r="B66" s="2198"/>
      <c r="C66" s="2199"/>
      <c r="D66" s="2199"/>
      <c r="E66" s="2199"/>
      <c r="F66" s="2199"/>
      <c r="G66" s="2199"/>
      <c r="H66" s="2199"/>
      <c r="I66" s="2199"/>
      <c r="J66" s="2200"/>
    </row>
    <row r="67" spans="1:11" s="176" customFormat="1" ht="9" customHeight="1" x14ac:dyDescent="0.2">
      <c r="A67" s="249"/>
      <c r="B67" s="2201"/>
      <c r="C67" s="2202"/>
      <c r="D67" s="2202"/>
      <c r="E67" s="2202"/>
      <c r="F67" s="2202"/>
      <c r="G67" s="2202"/>
      <c r="H67" s="2202"/>
      <c r="I67" s="2202"/>
      <c r="J67" s="220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8" t="s">
        <v>1311</v>
      </c>
      <c r="B70" s="2191"/>
      <c r="C70" s="2191"/>
      <c r="D70" s="2191"/>
      <c r="E70" s="2192"/>
      <c r="F70" s="2192"/>
      <c r="G70" s="2192"/>
      <c r="H70" s="2192"/>
      <c r="I70" s="219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3" t="s">
        <v>1308</v>
      </c>
      <c r="B83" s="2193"/>
      <c r="C83" s="2193"/>
      <c r="D83" s="2194"/>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04" t="s">
        <v>1986</v>
      </c>
      <c r="B85" s="2204"/>
      <c r="C85" s="2204"/>
      <c r="D85" s="2205"/>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206" t="s">
        <v>1986</v>
      </c>
      <c r="B88" s="2207"/>
      <c r="C88" s="2207"/>
      <c r="D88" s="2208"/>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5"/>
      <c r="C102" s="2176"/>
      <c r="D102" s="2176"/>
      <c r="E102" s="2176"/>
      <c r="F102" s="2176"/>
      <c r="G102" s="2176"/>
      <c r="H102" s="2176"/>
      <c r="I102" s="2177"/>
    </row>
    <row r="103" spans="1:9" s="176" customFormat="1" ht="11.25" customHeight="1" x14ac:dyDescent="0.2">
      <c r="A103" s="294"/>
      <c r="B103" s="2178"/>
      <c r="C103" s="2179"/>
      <c r="D103" s="2179"/>
      <c r="E103" s="2179"/>
      <c r="F103" s="2179"/>
      <c r="G103" s="2179"/>
      <c r="H103" s="2179"/>
      <c r="I103" s="2180"/>
    </row>
    <row r="104" spans="1:9" s="176" customFormat="1" ht="11.25" customHeight="1" x14ac:dyDescent="0.2">
      <c r="A104" s="294"/>
      <c r="B104" s="2178"/>
      <c r="C104" s="2179"/>
      <c r="D104" s="2179"/>
      <c r="E104" s="2179"/>
      <c r="F104" s="2179"/>
      <c r="G104" s="2179"/>
      <c r="H104" s="2179"/>
      <c r="I104" s="2180"/>
    </row>
    <row r="105" spans="1:9" s="176" customFormat="1" x14ac:dyDescent="0.2">
      <c r="A105" s="294"/>
      <c r="B105" s="2178"/>
      <c r="C105" s="2179"/>
      <c r="D105" s="2179"/>
      <c r="E105" s="2179"/>
      <c r="F105" s="2179"/>
      <c r="G105" s="2179"/>
      <c r="H105" s="2179"/>
      <c r="I105" s="2180"/>
    </row>
    <row r="106" spans="1:9" s="176" customFormat="1" ht="11.25" customHeight="1" x14ac:dyDescent="0.2">
      <c r="A106" s="294"/>
      <c r="B106" s="2178"/>
      <c r="C106" s="2179"/>
      <c r="D106" s="2179"/>
      <c r="E106" s="2179"/>
      <c r="F106" s="2179"/>
      <c r="G106" s="2179"/>
      <c r="H106" s="2179"/>
      <c r="I106" s="2180"/>
    </row>
    <row r="107" spans="1:9" s="176" customFormat="1" ht="11.25" customHeight="1" x14ac:dyDescent="0.2">
      <c r="A107" s="294"/>
      <c r="B107" s="2178"/>
      <c r="C107" s="2179"/>
      <c r="D107" s="2179"/>
      <c r="E107" s="2179"/>
      <c r="F107" s="2179"/>
      <c r="G107" s="2179"/>
      <c r="H107" s="2179"/>
      <c r="I107" s="2180"/>
    </row>
    <row r="108" spans="1:9" s="176" customFormat="1" ht="11.25" customHeight="1" x14ac:dyDescent="0.2">
      <c r="A108" s="294"/>
      <c r="B108" s="2178"/>
      <c r="C108" s="2179"/>
      <c r="D108" s="2179"/>
      <c r="E108" s="2179"/>
      <c r="F108" s="2179"/>
      <c r="G108" s="2179"/>
      <c r="H108" s="2179"/>
      <c r="I108" s="2180"/>
    </row>
    <row r="109" spans="1:9" s="176" customFormat="1" ht="11.25" customHeight="1" x14ac:dyDescent="0.2">
      <c r="A109" s="294"/>
      <c r="B109" s="2178"/>
      <c r="C109" s="2179"/>
      <c r="D109" s="2179"/>
      <c r="E109" s="2179"/>
      <c r="F109" s="2179"/>
      <c r="G109" s="2179"/>
      <c r="H109" s="2179"/>
      <c r="I109" s="2180"/>
    </row>
    <row r="110" spans="1:9" s="176" customFormat="1" ht="11.25" customHeight="1" x14ac:dyDescent="0.2">
      <c r="A110" s="294"/>
      <c r="B110" s="2178"/>
      <c r="C110" s="2179"/>
      <c r="D110" s="2179"/>
      <c r="E110" s="2179"/>
      <c r="F110" s="2179"/>
      <c r="G110" s="2179"/>
      <c r="H110" s="2179"/>
      <c r="I110" s="2180"/>
    </row>
    <row r="111" spans="1:9" s="176" customFormat="1" ht="11.25" customHeight="1" x14ac:dyDescent="0.2">
      <c r="A111" s="294"/>
      <c r="B111" s="2178"/>
      <c r="C111" s="2179"/>
      <c r="D111" s="2179"/>
      <c r="E111" s="2179"/>
      <c r="F111" s="2179"/>
      <c r="G111" s="2179"/>
      <c r="H111" s="2179"/>
      <c r="I111" s="2180"/>
    </row>
    <row r="112" spans="1:9" s="176" customFormat="1" ht="11.25" customHeight="1" x14ac:dyDescent="0.2">
      <c r="A112" s="294"/>
      <c r="B112" s="2181"/>
      <c r="C112" s="2182"/>
      <c r="D112" s="2182"/>
      <c r="E112" s="2182"/>
      <c r="F112" s="2182"/>
      <c r="G112" s="2182"/>
      <c r="H112" s="2182"/>
      <c r="I112" s="218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4" t="s">
        <v>2028</v>
      </c>
      <c r="D114" s="218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5" t="s">
        <v>1318</v>
      </c>
      <c r="D117" s="2186"/>
      <c r="E117" s="2187"/>
      <c r="F117" s="2187"/>
      <c r="G117" s="2187"/>
      <c r="H117" s="2187"/>
      <c r="I117" s="282"/>
    </row>
    <row r="118" spans="1:9" s="176" customFormat="1" ht="24" customHeight="1" x14ac:dyDescent="0.2">
      <c r="A118" s="294"/>
      <c r="B118" s="294"/>
      <c r="C118" s="294"/>
      <c r="D118" s="301" t="s">
        <v>2100</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1"/>
  </sheetPr>
  <dimension ref="A1:J63"/>
  <sheetViews>
    <sheetView showGridLines="0" zoomScale="110" zoomScaleNormal="110" workbookViewId="0">
      <selection activeCell="A2" sqref="A2:I2"/>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1" t="str">
        <f>'Single Audit Cover'!A7</f>
        <v>Marengo CHSD 154</v>
      </c>
      <c r="C1" s="2612"/>
      <c r="D1" s="2612"/>
      <c r="E1" s="2612"/>
      <c r="F1" s="2612"/>
      <c r="G1" s="2612"/>
      <c r="H1" s="2612"/>
      <c r="I1" s="2612"/>
      <c r="J1" s="1171"/>
    </row>
    <row r="2" spans="2:10" s="295" customFormat="1" ht="12.75" customHeight="1" x14ac:dyDescent="0.2">
      <c r="B2" s="2613">
        <f>'Single Audit Cover'!E7</f>
        <v>44063154016</v>
      </c>
      <c r="C2" s="2614"/>
      <c r="D2" s="2614"/>
      <c r="E2" s="2614"/>
      <c r="F2" s="2614"/>
      <c r="G2" s="2614"/>
      <c r="H2" s="2614"/>
      <c r="I2" s="2614"/>
      <c r="J2" s="1171"/>
    </row>
    <row r="3" spans="2:10" s="295" customFormat="1" ht="12.75" customHeight="1" x14ac:dyDescent="0.2">
      <c r="B3" s="2615" t="s">
        <v>1273</v>
      </c>
      <c r="C3" s="2616"/>
      <c r="D3" s="2616"/>
      <c r="E3" s="2616"/>
      <c r="F3" s="2616"/>
      <c r="G3" s="2616"/>
      <c r="H3" s="2616"/>
      <c r="I3" s="2616"/>
      <c r="J3" s="1172"/>
    </row>
    <row r="4" spans="2:10" s="295" customFormat="1" ht="12.75" customHeight="1" x14ac:dyDescent="0.2">
      <c r="B4" s="2615" t="str">
        <f>'Single Audit Cover'!A4</f>
        <v>Year Ending June 30, 2020</v>
      </c>
      <c r="C4" s="2616"/>
      <c r="D4" s="2616"/>
      <c r="E4" s="2616"/>
      <c r="F4" s="2616"/>
      <c r="G4" s="2616"/>
      <c r="H4" s="2616"/>
      <c r="I4" s="2616"/>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5" t="s">
        <v>1272</v>
      </c>
      <c r="C7" s="2616"/>
      <c r="D7" s="2616"/>
      <c r="E7" s="2616"/>
      <c r="F7" s="2616"/>
      <c r="G7" s="2616"/>
      <c r="H7" s="2616"/>
      <c r="I7" s="2616"/>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7"/>
      <c r="D11" s="2617"/>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8"/>
      <c r="E29" s="2618"/>
      <c r="F29" s="2618"/>
      <c r="G29" s="2618"/>
      <c r="H29" s="2618"/>
      <c r="I29" s="2618"/>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19" t="s">
        <v>1725</v>
      </c>
      <c r="D37" s="2620"/>
      <c r="E37" s="2620"/>
      <c r="F37" s="2621"/>
      <c r="G37" s="2619" t="s">
        <v>1572</v>
      </c>
      <c r="H37" s="2620"/>
      <c r="I37" s="2621"/>
    </row>
    <row r="38" spans="2:9" ht="16.5" customHeight="1" x14ac:dyDescent="0.2">
      <c r="B38" s="1193"/>
      <c r="C38" s="2607"/>
      <c r="D38" s="2608"/>
      <c r="E38" s="2608"/>
      <c r="F38" s="2609"/>
      <c r="G38" s="2622"/>
      <c r="H38" s="2623"/>
      <c r="I38" s="2624"/>
    </row>
    <row r="39" spans="2:9" ht="16.5" customHeight="1" x14ac:dyDescent="0.2">
      <c r="B39" s="1193"/>
      <c r="C39" s="2607"/>
      <c r="D39" s="2608"/>
      <c r="E39" s="2608"/>
      <c r="F39" s="2609"/>
      <c r="G39" s="2610"/>
      <c r="H39" s="2610"/>
      <c r="I39" s="2610"/>
    </row>
    <row r="40" spans="2:9" ht="16.5" customHeight="1" x14ac:dyDescent="0.2">
      <c r="B40" s="1193"/>
      <c r="C40" s="2607"/>
      <c r="D40" s="2608"/>
      <c r="E40" s="2608"/>
      <c r="F40" s="2609"/>
      <c r="G40" s="2610"/>
      <c r="H40" s="2610"/>
      <c r="I40" s="2610"/>
    </row>
    <row r="41" spans="2:9" ht="16.5" customHeight="1" x14ac:dyDescent="0.2">
      <c r="B41" s="1193"/>
      <c r="C41" s="2607"/>
      <c r="D41" s="2608"/>
      <c r="E41" s="2608"/>
      <c r="F41" s="2609"/>
      <c r="G41" s="2610"/>
      <c r="H41" s="2610"/>
      <c r="I41" s="2610"/>
    </row>
    <row r="42" spans="2:9" ht="16.5" customHeight="1" x14ac:dyDescent="0.2">
      <c r="B42" s="1193"/>
      <c r="C42" s="2607"/>
      <c r="D42" s="2608"/>
      <c r="E42" s="2608"/>
      <c r="F42" s="2609"/>
      <c r="G42" s="2610"/>
      <c r="H42" s="2610"/>
      <c r="I42" s="2610"/>
    </row>
    <row r="43" spans="2:9" ht="16.5" customHeight="1" x14ac:dyDescent="0.2">
      <c r="B43" s="1193"/>
      <c r="C43" s="2625" t="s">
        <v>1573</v>
      </c>
      <c r="D43" s="2626"/>
      <c r="E43" s="2626"/>
      <c r="F43" s="2627"/>
      <c r="G43" s="2628">
        <f>SUM(G38:I42)</f>
        <v>0</v>
      </c>
      <c r="H43" s="2628"/>
      <c r="I43" s="2628"/>
    </row>
    <row r="44" spans="2:9" ht="12.75" customHeight="1" x14ac:dyDescent="0.2"/>
    <row r="45" spans="2:9" ht="12.75" customHeight="1" x14ac:dyDescent="0.2">
      <c r="B45" s="1903" t="str">
        <f>"Total Federal Expenditures for 7/1/"&amp;MID('AFR20'!E2,3,2)-1&amp;"-6/30/"&amp;MID('AFR20'!E2,3,2)</f>
        <v>Total Federal Expenditures for 7/1/19-6/30/20</v>
      </c>
      <c r="C45" s="1904"/>
      <c r="D45" s="2629">
        <v>0</v>
      </c>
      <c r="E45" s="2630"/>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31"/>
      <c r="F49" s="2631"/>
      <c r="G49" s="2631"/>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sheetPr>
  <dimension ref="A1:M41"/>
  <sheetViews>
    <sheetView showGridLines="0" zoomScale="110" zoomScaleNormal="110" workbookViewId="0">
      <selection activeCell="A2" sqref="A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1" t="str">
        <f>'Single Audit Cover'!A7</f>
        <v>Marengo CHSD 154</v>
      </c>
      <c r="C1" s="2611"/>
      <c r="D1" s="2611"/>
      <c r="E1" s="2611"/>
      <c r="F1" s="2611"/>
      <c r="G1" s="2611"/>
      <c r="H1" s="2611"/>
      <c r="I1" s="2611"/>
      <c r="J1" s="2611"/>
      <c r="K1" s="2611"/>
      <c r="L1" s="1137"/>
      <c r="M1" s="1137"/>
    </row>
    <row r="2" spans="1:13" ht="12" customHeight="1" x14ac:dyDescent="0.2">
      <c r="B2" s="2613">
        <f>'Single Audit Cover'!E7</f>
        <v>44063154016</v>
      </c>
      <c r="C2" s="2613"/>
      <c r="D2" s="2613"/>
      <c r="E2" s="2613"/>
      <c r="F2" s="2613"/>
      <c r="G2" s="2613"/>
      <c r="H2" s="2613"/>
      <c r="I2" s="2613"/>
      <c r="J2" s="2613"/>
      <c r="K2" s="2613"/>
      <c r="L2" s="1138"/>
      <c r="M2" s="1139"/>
    </row>
    <row r="3" spans="1:13" ht="10.35" customHeight="1" x14ac:dyDescent="0.2">
      <c r="B3" s="2634" t="s">
        <v>1273</v>
      </c>
      <c r="C3" s="2634"/>
      <c r="D3" s="2634"/>
      <c r="E3" s="2634"/>
      <c r="F3" s="2634"/>
      <c r="G3" s="2634"/>
      <c r="H3" s="2634"/>
      <c r="I3" s="2634"/>
      <c r="J3" s="2634"/>
      <c r="K3" s="2634"/>
      <c r="L3" s="1140"/>
      <c r="M3" s="1140"/>
    </row>
    <row r="4" spans="1:13" ht="14.25" customHeight="1" x14ac:dyDescent="0.2">
      <c r="B4" s="2635" t="str">
        <f>'Single Audit Cover'!A4</f>
        <v>Year Ending June 30, 2020</v>
      </c>
      <c r="C4" s="2635"/>
      <c r="D4" s="2635"/>
      <c r="E4" s="2635"/>
      <c r="F4" s="2635"/>
      <c r="G4" s="2635"/>
      <c r="H4" s="2635"/>
      <c r="I4" s="2635"/>
      <c r="J4" s="2635"/>
      <c r="K4" s="2635"/>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35" t="s">
        <v>1284</v>
      </c>
      <c r="C7" s="2635"/>
      <c r="D7" s="2636"/>
      <c r="E7" s="2636"/>
      <c r="F7" s="2636"/>
      <c r="G7" s="2636"/>
      <c r="H7" s="2636"/>
      <c r="I7" s="2636"/>
      <c r="J7" s="2636"/>
      <c r="K7" s="263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33"/>
      <c r="C14" s="2633"/>
      <c r="D14" s="2633"/>
      <c r="E14" s="2633"/>
      <c r="F14" s="2633"/>
      <c r="G14" s="2633"/>
      <c r="H14" s="2633"/>
      <c r="I14" s="2633"/>
      <c r="J14" s="2633"/>
      <c r="K14" s="263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33"/>
      <c r="C17" s="2633"/>
      <c r="D17" s="2633"/>
      <c r="E17" s="2633"/>
      <c r="F17" s="2633"/>
      <c r="G17" s="2633"/>
      <c r="H17" s="2633"/>
      <c r="I17" s="2633"/>
      <c r="J17" s="2633"/>
      <c r="K17" s="2633"/>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37"/>
      <c r="C20" s="2637"/>
      <c r="D20" s="2633"/>
      <c r="E20" s="2633"/>
      <c r="F20" s="2633"/>
      <c r="G20" s="2633"/>
      <c r="H20" s="2633"/>
      <c r="I20" s="2633"/>
      <c r="J20" s="2633"/>
      <c r="K20" s="2633"/>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33"/>
      <c r="C23" s="2633"/>
      <c r="D23" s="2633"/>
      <c r="E23" s="2633"/>
      <c r="F23" s="2633"/>
      <c r="G23" s="2633"/>
      <c r="H23" s="2633"/>
      <c r="I23" s="2633"/>
      <c r="J23" s="2633"/>
      <c r="K23" s="2633"/>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33"/>
      <c r="C26" s="2633"/>
      <c r="D26" s="2633"/>
      <c r="E26" s="2633"/>
      <c r="F26" s="2633"/>
      <c r="G26" s="2633"/>
      <c r="H26" s="2633"/>
      <c r="I26" s="2633"/>
      <c r="J26" s="2633"/>
      <c r="K26" s="2633"/>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32"/>
      <c r="C29" s="2632"/>
      <c r="D29" s="2633"/>
      <c r="E29" s="2633"/>
      <c r="F29" s="2633"/>
      <c r="G29" s="2633"/>
      <c r="H29" s="2633"/>
      <c r="I29" s="2633"/>
      <c r="J29" s="2633"/>
      <c r="K29" s="2633"/>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32"/>
      <c r="C32" s="2632"/>
      <c r="D32" s="2633"/>
      <c r="E32" s="2633"/>
      <c r="F32" s="2633"/>
      <c r="G32" s="2633"/>
      <c r="H32" s="2633"/>
      <c r="I32" s="2633"/>
      <c r="J32" s="2633"/>
      <c r="K32" s="263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1"/>
  </sheetPr>
  <dimension ref="A1:L48"/>
  <sheetViews>
    <sheetView showGridLines="0" zoomScale="110" zoomScaleNormal="110" workbookViewId="0">
      <selection activeCell="A2" sqref="A2:K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Marengo CHSD 154</v>
      </c>
      <c r="C1" s="2638"/>
      <c r="D1" s="2638"/>
      <c r="E1" s="2638"/>
      <c r="F1" s="2638"/>
      <c r="G1" s="2638"/>
      <c r="H1" s="2638"/>
      <c r="I1" s="2638"/>
      <c r="J1" s="2638"/>
      <c r="K1" s="2638"/>
      <c r="L1" s="1214"/>
    </row>
    <row r="2" spans="1:12" ht="12.75" customHeight="1" x14ac:dyDescent="0.2">
      <c r="B2" s="2639">
        <f>'Single Audit Cover'!E7</f>
        <v>44063154016</v>
      </c>
      <c r="C2" s="2639"/>
      <c r="D2" s="2639"/>
      <c r="E2" s="2639"/>
      <c r="F2" s="2639"/>
      <c r="G2" s="2639"/>
      <c r="H2" s="2639"/>
      <c r="I2" s="2639"/>
      <c r="J2" s="2639"/>
      <c r="K2" s="2639"/>
      <c r="L2" s="1215"/>
    </row>
    <row r="3" spans="1:12" ht="12.75" customHeight="1" x14ac:dyDescent="0.2">
      <c r="B3" s="2634" t="s">
        <v>1273</v>
      </c>
      <c r="C3" s="2634"/>
      <c r="D3" s="2634"/>
      <c r="E3" s="2634"/>
      <c r="F3" s="2634"/>
      <c r="G3" s="2634"/>
      <c r="H3" s="2634"/>
      <c r="I3" s="2634"/>
      <c r="J3" s="2634"/>
      <c r="K3" s="2634"/>
      <c r="L3" s="1140"/>
    </row>
    <row r="4" spans="1:12" ht="12.75" customHeight="1" x14ac:dyDescent="0.2">
      <c r="B4" s="2634" t="str">
        <f>'Single Audit Cover'!A4</f>
        <v>Year Ending June 30, 2020</v>
      </c>
      <c r="C4" s="2634"/>
      <c r="D4" s="2634"/>
      <c r="E4" s="2634"/>
      <c r="F4" s="2634"/>
      <c r="G4" s="2634"/>
      <c r="H4" s="2634"/>
      <c r="I4" s="2634"/>
      <c r="J4" s="2634"/>
      <c r="K4" s="2634"/>
      <c r="L4" s="1140"/>
    </row>
    <row r="5" spans="1:12" ht="5.25" customHeight="1" x14ac:dyDescent="0.2">
      <c r="B5" s="1029" t="s">
        <v>1158</v>
      </c>
      <c r="C5" s="1029"/>
      <c r="L5" s="300"/>
    </row>
    <row r="6" spans="1:12" ht="30.75" customHeight="1" x14ac:dyDescent="0.2">
      <c r="A6" s="300"/>
      <c r="B6" s="2640" t="s">
        <v>1296</v>
      </c>
      <c r="C6" s="2640"/>
      <c r="D6" s="2640"/>
      <c r="E6" s="2640"/>
      <c r="F6" s="2640"/>
      <c r="G6" s="2640"/>
      <c r="H6" s="2640"/>
      <c r="I6" s="2640"/>
      <c r="J6" s="2640"/>
      <c r="K6" s="2640"/>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8"/>
      <c r="G12" s="2618"/>
      <c r="H12" s="2618"/>
      <c r="I12" s="2618"/>
      <c r="J12" s="2618"/>
      <c r="K12" s="2618"/>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41"/>
      <c r="E14" s="2641"/>
      <c r="F14" s="2641"/>
      <c r="H14" s="1223" t="s">
        <v>1291</v>
      </c>
      <c r="I14" s="2642"/>
      <c r="J14" s="2642"/>
      <c r="K14" s="2642"/>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42"/>
      <c r="E16" s="2642"/>
      <c r="F16" s="2642"/>
      <c r="G16" s="2642"/>
      <c r="H16" s="2642"/>
      <c r="I16" s="2642"/>
      <c r="J16" s="2642"/>
      <c r="K16" s="2642"/>
      <c r="L16" s="300"/>
    </row>
    <row r="17" spans="2:12" ht="13.5" customHeight="1" x14ac:dyDescent="0.2">
      <c r="B17" s="1149" t="s">
        <v>1289</v>
      </c>
      <c r="C17" s="1149"/>
      <c r="D17" s="2643"/>
      <c r="E17" s="2643"/>
      <c r="F17" s="2643"/>
      <c r="G17" s="2643"/>
      <c r="H17" s="2643"/>
      <c r="I17" s="2643"/>
      <c r="J17" s="2643"/>
      <c r="K17" s="2643"/>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33"/>
      <c r="C20" s="2633"/>
      <c r="D20" s="2633"/>
      <c r="E20" s="2633"/>
      <c r="F20" s="2633"/>
      <c r="G20" s="2633"/>
      <c r="H20" s="2633"/>
      <c r="I20" s="2633"/>
      <c r="J20" s="2633"/>
      <c r="K20" s="2633"/>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33"/>
      <c r="C23" s="2633"/>
      <c r="D23" s="2633"/>
      <c r="E23" s="2633"/>
      <c r="F23" s="2633"/>
      <c r="G23" s="2633"/>
      <c r="H23" s="2633"/>
      <c r="I23" s="2633"/>
      <c r="J23" s="2633"/>
      <c r="K23" s="2633"/>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33"/>
      <c r="C26" s="2633"/>
      <c r="D26" s="2633"/>
      <c r="E26" s="2633"/>
      <c r="F26" s="2633"/>
      <c r="G26" s="2633"/>
      <c r="H26" s="2633"/>
      <c r="I26" s="2633"/>
      <c r="J26" s="2633"/>
      <c r="K26" s="2633"/>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33"/>
      <c r="C29" s="2633"/>
      <c r="D29" s="2633"/>
      <c r="E29" s="2633"/>
      <c r="F29" s="2633"/>
      <c r="G29" s="2633"/>
      <c r="H29" s="2633"/>
      <c r="I29" s="2633"/>
      <c r="J29" s="2633"/>
      <c r="K29" s="2633"/>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33"/>
      <c r="C32" s="2633"/>
      <c r="D32" s="2633"/>
      <c r="E32" s="2633"/>
      <c r="F32" s="2633"/>
      <c r="G32" s="2633"/>
      <c r="H32" s="2633"/>
      <c r="I32" s="2633"/>
      <c r="J32" s="2633"/>
      <c r="K32" s="2633"/>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33"/>
      <c r="C35" s="2633"/>
      <c r="D35" s="2633"/>
      <c r="E35" s="2633"/>
      <c r="F35" s="2633"/>
      <c r="G35" s="2633"/>
      <c r="H35" s="2633"/>
      <c r="I35" s="2633"/>
      <c r="J35" s="2633"/>
      <c r="K35" s="2633"/>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33"/>
      <c r="C38" s="2633"/>
      <c r="D38" s="2633"/>
      <c r="E38" s="2633"/>
      <c r="F38" s="2633"/>
      <c r="G38" s="2633"/>
      <c r="H38" s="2633"/>
      <c r="I38" s="2633"/>
      <c r="J38" s="2633"/>
      <c r="K38" s="2633"/>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33"/>
      <c r="C41" s="2633"/>
      <c r="D41" s="2633"/>
      <c r="E41" s="2633"/>
      <c r="F41" s="2633"/>
      <c r="G41" s="2633"/>
      <c r="H41" s="2633"/>
      <c r="I41" s="2633"/>
      <c r="J41" s="2633"/>
      <c r="K41" s="2633"/>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sheetPr>
  <dimension ref="B1:E73"/>
  <sheetViews>
    <sheetView showGridLines="0" zoomScale="110" zoomScaleNormal="110" workbookViewId="0">
      <selection activeCell="A2" sqref="A2:I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11" t="str">
        <f>'Single Audit Cover'!A7</f>
        <v>Marengo CHSD 154</v>
      </c>
      <c r="C1" s="2611"/>
      <c r="D1" s="2611"/>
      <c r="E1" s="1233"/>
    </row>
    <row r="2" spans="2:5" s="1051" customFormat="1" ht="12.75" customHeight="1" x14ac:dyDescent="0.2">
      <c r="B2" s="2613">
        <f>'Single Audit Cover'!E7</f>
        <v>44063154016</v>
      </c>
      <c r="C2" s="2613"/>
      <c r="D2" s="2613"/>
      <c r="E2" s="1234"/>
    </row>
    <row r="3" spans="2:5" ht="12.75" customHeight="1" x14ac:dyDescent="0.2">
      <c r="B3" s="2634" t="s">
        <v>1740</v>
      </c>
      <c r="C3" s="2634"/>
      <c r="D3" s="2634"/>
      <c r="E3" s="1043"/>
    </row>
    <row r="4" spans="2:5" s="1051" customFormat="1" ht="12.75" customHeight="1" x14ac:dyDescent="0.2">
      <c r="B4" s="2644" t="str">
        <f>'Single Audit Cover'!A4</f>
        <v>Year Ending June 30, 2020</v>
      </c>
      <c r="C4" s="2644"/>
      <c r="D4" s="2644"/>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X23" sqref="X23:AA2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9" t="s">
        <v>383</v>
      </c>
      <c r="B1" s="2209"/>
      <c r="C1" s="2209"/>
      <c r="D1" s="2209"/>
      <c r="E1" s="2209"/>
      <c r="F1" s="2209"/>
      <c r="G1" s="2209"/>
      <c r="H1" s="2209"/>
      <c r="I1" s="2209"/>
      <c r="J1" s="2209"/>
      <c r="K1" s="2209"/>
      <c r="L1" s="2209"/>
      <c r="M1" s="220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363017094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1.798926E-2</v>
      </c>
      <c r="E10" s="333" t="s">
        <v>997</v>
      </c>
      <c r="F10" s="332">
        <v>3.4884199999999999E-3</v>
      </c>
      <c r="G10" s="333" t="s">
        <v>997</v>
      </c>
      <c r="H10" s="332">
        <v>1.3680999999999999E-3</v>
      </c>
      <c r="I10" s="333" t="s">
        <v>998</v>
      </c>
      <c r="J10" s="1417">
        <f>ROUND(D10+F10+H10,5)</f>
        <v>2.2849999999999999E-2</v>
      </c>
      <c r="K10" s="217"/>
      <c r="L10" s="332">
        <v>0</v>
      </c>
      <c r="M10" s="217"/>
    </row>
    <row r="11" spans="1:14" ht="7.5" customHeight="1" x14ac:dyDescent="0.2">
      <c r="B11" s="217"/>
      <c r="C11" s="217"/>
      <c r="D11" s="2219" t="str">
        <f>IF(SUM(J10)&lt;=0.0999999,"","Enter the Tax Rates by moving the decimal two places to the left.")</f>
        <v/>
      </c>
      <c r="E11" s="2220"/>
      <c r="F11" s="2220"/>
      <c r="G11" s="2220"/>
      <c r="H11" s="2220"/>
      <c r="I11" s="2220"/>
      <c r="J11" s="222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11134814</v>
      </c>
      <c r="E16" s="1540"/>
      <c r="F16" s="1539">
        <f>SUM('Acct Summary 7-8'!C17,'Acct Summary 7-8'!D17,'Acct Summary 7-8'!F17)</f>
        <v>10961827</v>
      </c>
      <c r="G16" s="1540"/>
      <c r="H16" s="1539">
        <f>SUM(D16-F16)</f>
        <v>172987</v>
      </c>
      <c r="I16" s="1541"/>
      <c r="J16" s="1539">
        <f>SUM('Acct Summary 7-8'!C81,'Acct Summary 7-8'!D81,'Acct Summary 7-8'!F81,'Acct Summary 7-8'!I81)</f>
        <v>13938152</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2015</v>
      </c>
      <c r="C31" s="344" t="s">
        <v>582</v>
      </c>
      <c r="D31" s="232" t="s">
        <v>1062</v>
      </c>
      <c r="E31" s="217"/>
      <c r="F31" s="217"/>
      <c r="G31" s="340"/>
      <c r="H31" s="1418">
        <f>IF(B31="X",(J7*0.069),IF(B32="X",(J7*0.138),"Enter x in a.or b."))</f>
        <v>25048179.486000001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532185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0"/>
      <c r="C54" s="2211"/>
      <c r="D54" s="2211"/>
      <c r="E54" s="2211"/>
      <c r="F54" s="2211"/>
      <c r="G54" s="2211"/>
      <c r="H54" s="2211"/>
      <c r="I54" s="2211"/>
      <c r="J54" s="2211"/>
      <c r="K54" s="2211"/>
      <c r="L54" s="2212"/>
      <c r="M54" s="357"/>
    </row>
    <row r="55" spans="1:13" ht="12.75" customHeight="1" x14ac:dyDescent="0.2">
      <c r="B55" s="2213"/>
      <c r="C55" s="2214"/>
      <c r="D55" s="2214"/>
      <c r="E55" s="2214"/>
      <c r="F55" s="2214"/>
      <c r="G55" s="2214"/>
      <c r="H55" s="2214"/>
      <c r="I55" s="2214"/>
      <c r="J55" s="2214"/>
      <c r="K55" s="2214"/>
      <c r="L55" s="2215"/>
      <c r="M55" s="357"/>
    </row>
    <row r="56" spans="1:13" ht="12.75" customHeight="1" x14ac:dyDescent="0.2">
      <c r="B56" s="2213"/>
      <c r="C56" s="2214"/>
      <c r="D56" s="2214"/>
      <c r="E56" s="2214"/>
      <c r="F56" s="2214"/>
      <c r="G56" s="2214"/>
      <c r="H56" s="2214"/>
      <c r="I56" s="2214"/>
      <c r="J56" s="2214"/>
      <c r="K56" s="2214"/>
      <c r="L56" s="2215"/>
      <c r="M56" s="217"/>
    </row>
    <row r="57" spans="1:13" ht="12.75" customHeight="1" x14ac:dyDescent="0.2">
      <c r="B57" s="2213"/>
      <c r="C57" s="2214"/>
      <c r="D57" s="2214"/>
      <c r="E57" s="2214"/>
      <c r="F57" s="2214"/>
      <c r="G57" s="2214"/>
      <c r="H57" s="2214"/>
      <c r="I57" s="2214"/>
      <c r="J57" s="2214"/>
      <c r="K57" s="2214"/>
      <c r="L57" s="2215"/>
      <c r="M57" s="217"/>
    </row>
    <row r="58" spans="1:13" x14ac:dyDescent="0.2">
      <c r="B58" s="2216"/>
      <c r="C58" s="2217"/>
      <c r="D58" s="2217"/>
      <c r="E58" s="2217"/>
      <c r="F58" s="2217"/>
      <c r="G58" s="2217"/>
      <c r="H58" s="2217"/>
      <c r="I58" s="2217"/>
      <c r="J58" s="2217"/>
      <c r="K58" s="2217"/>
      <c r="L58" s="221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1"/>
      <c r="D61" s="222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X23" sqref="X23:AA2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4"/>
      <c r="B1" s="2225"/>
      <c r="C1" s="2225"/>
      <c r="D1" s="361"/>
      <c r="E1" s="361"/>
      <c r="F1" s="361"/>
      <c r="G1" s="361"/>
      <c r="H1" s="361"/>
      <c r="I1" s="361"/>
      <c r="J1" s="361"/>
      <c r="K1" s="361"/>
      <c r="L1" s="361"/>
      <c r="M1" s="361"/>
      <c r="N1" s="361"/>
      <c r="O1" s="2224"/>
      <c r="P1" s="2225"/>
      <c r="Q1" s="2225"/>
    </row>
    <row r="2" spans="1:18" ht="15" x14ac:dyDescent="0.2">
      <c r="A2" s="2228" t="s">
        <v>552</v>
      </c>
      <c r="B2" s="2228"/>
      <c r="C2" s="2228"/>
      <c r="D2" s="2228"/>
      <c r="E2" s="2228"/>
      <c r="F2" s="2228"/>
      <c r="G2" s="2228"/>
      <c r="H2" s="2228"/>
      <c r="I2" s="2228"/>
      <c r="J2" s="2228"/>
      <c r="K2" s="2228"/>
      <c r="L2" s="2228"/>
      <c r="M2" s="2228"/>
      <c r="N2" s="2228"/>
      <c r="O2" s="2228"/>
      <c r="P2" s="2228"/>
      <c r="Q2" s="2228"/>
      <c r="R2" s="2228"/>
    </row>
    <row r="3" spans="1:18" ht="12.75" x14ac:dyDescent="0.2">
      <c r="A3" s="2229" t="s">
        <v>1393</v>
      </c>
      <c r="B3" s="2229"/>
      <c r="C3" s="2229"/>
      <c r="D3" s="2229"/>
      <c r="E3" s="2229"/>
      <c r="F3" s="2229"/>
      <c r="G3" s="2229"/>
      <c r="H3" s="2229"/>
      <c r="I3" s="2229"/>
      <c r="J3" s="2229"/>
      <c r="K3" s="2229"/>
      <c r="L3" s="2229"/>
      <c r="M3" s="2229"/>
      <c r="N3" s="2229"/>
      <c r="O3" s="2229"/>
      <c r="P3" s="2229"/>
      <c r="Q3" s="2229"/>
      <c r="R3" s="2229"/>
    </row>
    <row r="4" spans="1:18" x14ac:dyDescent="0.2">
      <c r="A4" s="2230" t="s">
        <v>1534</v>
      </c>
      <c r="B4" s="2230"/>
      <c r="C4" s="2230"/>
      <c r="D4" s="2230"/>
      <c r="E4" s="2230"/>
      <c r="F4" s="2230"/>
      <c r="G4" s="2230"/>
      <c r="H4" s="2230"/>
      <c r="I4" s="2230"/>
      <c r="J4" s="2230"/>
      <c r="K4" s="2230"/>
      <c r="L4" s="2230"/>
      <c r="M4" s="2230"/>
      <c r="N4" s="2230"/>
      <c r="O4" s="2230"/>
      <c r="P4" s="2230"/>
      <c r="Q4" s="2230"/>
      <c r="R4" s="223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Marengo CHSD 154</v>
      </c>
      <c r="E7" s="368"/>
      <c r="G7" s="247"/>
      <c r="H7" s="364"/>
      <c r="I7" s="364"/>
      <c r="J7" s="364"/>
      <c r="K7" s="364"/>
      <c r="L7" s="307"/>
      <c r="M7" s="307"/>
      <c r="N7" s="307"/>
      <c r="O7" s="307"/>
      <c r="P7" s="307"/>
    </row>
    <row r="8" spans="1:18" ht="12.75" x14ac:dyDescent="0.2">
      <c r="A8" s="307"/>
      <c r="B8" s="307"/>
      <c r="C8" s="366" t="s">
        <v>1114</v>
      </c>
      <c r="D8" s="369">
        <f>COVER!A13</f>
        <v>44063154016</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13938152</v>
      </c>
      <c r="I12" s="380"/>
      <c r="J12" s="380"/>
      <c r="K12" s="1552">
        <f>TRUNC((H12/H13*100000),5)/100000</f>
        <v>1.2608219369</v>
      </c>
      <c r="L12" s="381"/>
      <c r="M12" s="337" t="s">
        <v>1133</v>
      </c>
      <c r="N12" s="337"/>
      <c r="O12" s="1555">
        <v>0.35</v>
      </c>
      <c r="P12" s="213"/>
      <c r="Q12" s="213"/>
    </row>
    <row r="13" spans="1:18" s="382" customFormat="1" ht="12.75" x14ac:dyDescent="0.2">
      <c r="A13" s="213"/>
      <c r="B13" s="377"/>
      <c r="C13" s="2226" t="s">
        <v>1312</v>
      </c>
      <c r="D13" s="2227"/>
      <c r="E13" s="213"/>
      <c r="F13" s="383" t="s">
        <v>787</v>
      </c>
      <c r="G13" s="378"/>
      <c r="H13" s="1544">
        <f>SUM('Acct Summary 7-8'!C8+'Acct Summary 7-8'!D8+'Acct Summary 7-8'!F8+'Acct Summary 7-8'!I8)+H14</f>
        <v>11054814</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-80000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10961827</v>
      </c>
      <c r="I17" s="380"/>
      <c r="J17" s="389"/>
      <c r="K17" s="1552">
        <f>TRUNC((H17/H18*100000),5)/100000</f>
        <v>0.99158855130000001</v>
      </c>
      <c r="L17" s="381"/>
      <c r="M17" s="390" t="s">
        <v>1160</v>
      </c>
      <c r="O17" s="1558" t="str">
        <f>IF(AND(O16="2", J20 &gt; 2),"1",IF(AND(O16 = "1", J20 &gt; 2),"2",IF(AND(O16="1", J20 &gt;1),"1","0")))</f>
        <v>0</v>
      </c>
      <c r="P17" s="213"/>
    </row>
    <row r="18" spans="1:18" s="382" customFormat="1" ht="11.25" x14ac:dyDescent="0.2">
      <c r="A18" s="213"/>
      <c r="B18" s="377"/>
      <c r="C18" s="2226" t="s">
        <v>1305</v>
      </c>
      <c r="D18" s="2227"/>
      <c r="E18" s="213"/>
      <c r="F18" s="391" t="s">
        <v>788</v>
      </c>
      <c r="G18" s="378"/>
      <c r="H18" s="1544">
        <f>SUM('Acct Summary 7-8'!C8+'Acct Summary 7-8'!D8+'Acct Summary 7-8'!F8+'Acct Summary 7-8'!I8)+H19</f>
        <v>11054814</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-80000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23" t="s">
        <v>1392</v>
      </c>
      <c r="D24" s="2223"/>
      <c r="E24" s="213"/>
      <c r="F24" s="213" t="s">
        <v>442</v>
      </c>
      <c r="G24" s="378"/>
      <c r="H24" s="1544">
        <f>SUM('Assets-Liab 5-6'!C4+'Assets-Liab 5-6'!D4+'Assets-Liab 5-6'!F4+'Assets-Liab 5-6'!I4+'Assets-Liab 5-6'!C5+'Assets-Liab 5-6'!D5+'Assets-Liab 5-6'!F5+'Assets-Liab 5-6'!I5)</f>
        <v>13937394</v>
      </c>
      <c r="I24" s="394"/>
      <c r="J24" s="394"/>
      <c r="K24" s="1548">
        <f>TRUNC(((H24/H25*100000)/100000),2)</f>
        <v>457.72</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30449.51944</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7050699.5082200002</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532185</v>
      </c>
      <c r="I32" s="392"/>
      <c r="J32" s="392"/>
      <c r="K32" s="1548">
        <f>TRUNC(100-((((H32/H33*100))*100)/100),2)</f>
        <v>97.87</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25048179.486000001</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activeCell="X23" sqref="X23:AA23"/>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1"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32"/>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33" t="s">
        <v>966</v>
      </c>
      <c r="B3" s="2234"/>
      <c r="C3" s="1299"/>
      <c r="D3" s="1300"/>
      <c r="E3" s="1300"/>
      <c r="F3" s="1300"/>
      <c r="G3" s="1300"/>
      <c r="H3" s="1300"/>
      <c r="I3" s="1300"/>
      <c r="J3" s="1300"/>
      <c r="K3" s="1300"/>
      <c r="L3" s="1300"/>
      <c r="M3" s="1301"/>
      <c r="N3" s="1302"/>
    </row>
    <row r="4" spans="1:14" ht="13.5" customHeight="1" x14ac:dyDescent="0.2">
      <c r="A4" s="427" t="s">
        <v>1629</v>
      </c>
      <c r="B4" s="428"/>
      <c r="C4" s="1912">
        <v>6317831</v>
      </c>
      <c r="D4" s="1907">
        <v>1064538</v>
      </c>
      <c r="E4" s="1907">
        <v>1389069</v>
      </c>
      <c r="F4" s="1907">
        <v>1404225</v>
      </c>
      <c r="G4" s="1907">
        <v>153606</v>
      </c>
      <c r="H4" s="1907">
        <v>3216</v>
      </c>
      <c r="I4" s="1907">
        <v>0</v>
      </c>
      <c r="J4" s="1908">
        <v>103763</v>
      </c>
      <c r="K4" s="1913">
        <v>0</v>
      </c>
      <c r="L4" s="1906">
        <v>146398</v>
      </c>
      <c r="M4" s="1567"/>
      <c r="N4" s="1568"/>
    </row>
    <row r="5" spans="1:14" x14ac:dyDescent="0.2">
      <c r="A5" s="427" t="s">
        <v>984</v>
      </c>
      <c r="B5" s="429">
        <v>120</v>
      </c>
      <c r="C5" s="1912">
        <v>5150800</v>
      </c>
      <c r="D5" s="1907"/>
      <c r="E5" s="1907"/>
      <c r="F5" s="1907"/>
      <c r="G5" s="1907"/>
      <c r="H5" s="1907"/>
      <c r="I5" s="1907"/>
      <c r="J5" s="1908"/>
      <c r="K5" s="1913"/>
      <c r="L5" s="1570">
        <v>923749</v>
      </c>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1133</v>
      </c>
      <c r="D9" s="1908">
        <v>0</v>
      </c>
      <c r="E9" s="1915">
        <v>0</v>
      </c>
      <c r="F9" s="1908">
        <v>64</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11469764</v>
      </c>
      <c r="D13" s="1578">
        <f t="shared" ref="D13:L13" si="0">SUM(D4:D12)</f>
        <v>1064538</v>
      </c>
      <c r="E13" s="1578">
        <f t="shared" si="0"/>
        <v>1389069</v>
      </c>
      <c r="F13" s="1578">
        <f t="shared" si="0"/>
        <v>1404289</v>
      </c>
      <c r="G13" s="1578">
        <f t="shared" si="0"/>
        <v>153606</v>
      </c>
      <c r="H13" s="1578">
        <f t="shared" si="0"/>
        <v>3216</v>
      </c>
      <c r="I13" s="1578">
        <f t="shared" si="0"/>
        <v>0</v>
      </c>
      <c r="J13" s="1578">
        <f t="shared" si="0"/>
        <v>103763</v>
      </c>
      <c r="K13" s="1578">
        <f t="shared" si="0"/>
        <v>0</v>
      </c>
      <c r="L13" s="1578">
        <f t="shared" si="0"/>
        <v>1070147</v>
      </c>
      <c r="M13" s="1567"/>
      <c r="N13" s="1568"/>
    </row>
    <row r="14" spans="1:14" ht="18" customHeight="1" thickTop="1" x14ac:dyDescent="0.2">
      <c r="A14" s="2235" t="s">
        <v>146</v>
      </c>
      <c r="B14" s="2236"/>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1174836</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31122012</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2986343</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3058597.25</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1389069</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-856884</v>
      </c>
    </row>
    <row r="23" spans="1:14" ht="13.5" customHeight="1" thickBot="1" x14ac:dyDescent="0.25">
      <c r="A23" s="1419" t="s">
        <v>638</v>
      </c>
      <c r="B23" s="1422"/>
      <c r="C23" s="1567"/>
      <c r="D23" s="1567"/>
      <c r="E23" s="1567"/>
      <c r="F23" s="1567"/>
      <c r="G23" s="1567"/>
      <c r="H23" s="1567"/>
      <c r="I23" s="1567"/>
      <c r="J23" s="1567"/>
      <c r="K23" s="1567"/>
      <c r="L23" s="1567"/>
      <c r="M23" s="1585">
        <f>SUM(M15:M22)</f>
        <v>38341788.25</v>
      </c>
      <c r="N23" s="1585">
        <f>SUM(N21:N22)</f>
        <v>532185</v>
      </c>
    </row>
    <row r="24" spans="1:14" ht="18" customHeight="1" thickTop="1" x14ac:dyDescent="0.2">
      <c r="A24" s="2237" t="s">
        <v>594</v>
      </c>
      <c r="B24" s="2238"/>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0</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412</v>
      </c>
      <c r="D31" s="1908">
        <v>27</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1070147</v>
      </c>
      <c r="M33" s="1567"/>
      <c r="N33" s="1568"/>
    </row>
    <row r="34" spans="1:14" ht="13.5" customHeight="1" thickBot="1" x14ac:dyDescent="0.25">
      <c r="A34" s="1420" t="s">
        <v>649</v>
      </c>
      <c r="B34" s="1421"/>
      <c r="C34" s="1590">
        <f>SUM(C25:C33)</f>
        <v>412</v>
      </c>
      <c r="D34" s="1590">
        <f t="shared" ref="D34:K34" si="1">SUM(D25:D33)</f>
        <v>27</v>
      </c>
      <c r="E34" s="1590">
        <f t="shared" si="1"/>
        <v>0</v>
      </c>
      <c r="F34" s="1590">
        <f t="shared" si="1"/>
        <v>0</v>
      </c>
      <c r="G34" s="1590">
        <f t="shared" si="1"/>
        <v>0</v>
      </c>
      <c r="H34" s="1590">
        <f t="shared" si="1"/>
        <v>0</v>
      </c>
      <c r="I34" s="1590">
        <f t="shared" si="1"/>
        <v>0</v>
      </c>
      <c r="J34" s="1590">
        <f t="shared" si="1"/>
        <v>0</v>
      </c>
      <c r="K34" s="1590">
        <f t="shared" si="1"/>
        <v>0</v>
      </c>
      <c r="L34" s="1591">
        <f>SUM(L33)</f>
        <v>1070147</v>
      </c>
      <c r="M34" s="1567"/>
      <c r="N34" s="1576"/>
    </row>
    <row r="35" spans="1:14" ht="18" customHeight="1" thickTop="1" x14ac:dyDescent="0.2">
      <c r="A35" s="2239" t="s">
        <v>526</v>
      </c>
      <c r="B35" s="2240"/>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532185</v>
      </c>
    </row>
    <row r="37" spans="1:14" ht="13.5" thickBot="1" x14ac:dyDescent="0.25">
      <c r="A37" s="1419" t="s">
        <v>648</v>
      </c>
      <c r="B37" s="1422"/>
      <c r="C37" s="1573"/>
      <c r="D37" s="1573"/>
      <c r="E37" s="1573"/>
      <c r="F37" s="1573"/>
      <c r="G37" s="1573"/>
      <c r="H37" s="1573"/>
      <c r="I37" s="1573"/>
      <c r="J37" s="1573"/>
      <c r="K37" s="1573"/>
      <c r="L37" s="1576"/>
      <c r="M37" s="1567"/>
      <c r="N37" s="1585">
        <f>SUM(N36:N36)</f>
        <v>532185</v>
      </c>
    </row>
    <row r="38" spans="1:14" s="307" customFormat="1" ht="13.5" customHeight="1" thickTop="1" x14ac:dyDescent="0.2">
      <c r="A38" s="438" t="s">
        <v>417</v>
      </c>
      <c r="B38" s="432">
        <v>714</v>
      </c>
      <c r="C38" s="1565">
        <v>0</v>
      </c>
      <c r="D38" s="1565"/>
      <c r="E38" s="1565"/>
      <c r="F38" s="1565"/>
      <c r="G38" s="1565">
        <v>79811</v>
      </c>
      <c r="H38" s="1565"/>
      <c r="I38" s="1565"/>
      <c r="J38" s="1566"/>
      <c r="K38" s="1565"/>
      <c r="L38" s="1577"/>
      <c r="M38" s="1594"/>
      <c r="N38" s="1594"/>
    </row>
    <row r="39" spans="1:14" s="307" customFormat="1" ht="13.5" customHeight="1" x14ac:dyDescent="0.2">
      <c r="A39" s="438" t="s">
        <v>339</v>
      </c>
      <c r="B39" s="432">
        <v>730</v>
      </c>
      <c r="C39" s="1565">
        <v>11469352</v>
      </c>
      <c r="D39" s="1565">
        <v>1064511</v>
      </c>
      <c r="E39" s="1565">
        <v>1389069</v>
      </c>
      <c r="F39" s="1565">
        <v>1404289</v>
      </c>
      <c r="G39" s="1565">
        <v>73795</v>
      </c>
      <c r="H39" s="1565">
        <v>3216</v>
      </c>
      <c r="I39" s="1565">
        <v>0</v>
      </c>
      <c r="J39" s="1566">
        <v>103763</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38341788.25</v>
      </c>
      <c r="N40" s="1594"/>
    </row>
    <row r="41" spans="1:14" ht="13.5" customHeight="1" thickBot="1" x14ac:dyDescent="0.25">
      <c r="A41" s="1419" t="s">
        <v>650</v>
      </c>
      <c r="B41" s="1398"/>
      <c r="C41" s="1585">
        <f>(SUM(C34,C37,C38,C39))</f>
        <v>11469764</v>
      </c>
      <c r="D41" s="1585">
        <f t="shared" ref="D41:L41" si="2">SUM(D34,D37,D38:D39)</f>
        <v>1064538</v>
      </c>
      <c r="E41" s="1585">
        <f t="shared" si="2"/>
        <v>1389069</v>
      </c>
      <c r="F41" s="1585">
        <f t="shared" si="2"/>
        <v>1404289</v>
      </c>
      <c r="G41" s="1585">
        <f t="shared" si="2"/>
        <v>153606</v>
      </c>
      <c r="H41" s="1585">
        <f t="shared" si="2"/>
        <v>3216</v>
      </c>
      <c r="I41" s="1585">
        <f t="shared" si="2"/>
        <v>0</v>
      </c>
      <c r="J41" s="1585">
        <f t="shared" si="2"/>
        <v>103763</v>
      </c>
      <c r="K41" s="1585">
        <f t="shared" si="2"/>
        <v>0</v>
      </c>
      <c r="L41" s="1585">
        <f t="shared" si="2"/>
        <v>1070147</v>
      </c>
      <c r="M41" s="1585">
        <f>SUM(M40)</f>
        <v>38341788.25</v>
      </c>
      <c r="N41" s="1585">
        <f>SUM(N37)</f>
        <v>532185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3" activePane="bottomLeft" state="frozen"/>
      <selection activeCell="X23" sqref="X23:AA23"/>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9"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50"/>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61" t="s">
        <v>1164</v>
      </c>
      <c r="B3" s="2262"/>
      <c r="C3" s="1304"/>
      <c r="D3" s="1305"/>
      <c r="E3" s="1305"/>
      <c r="F3" s="1305"/>
      <c r="G3" s="1305"/>
      <c r="H3" s="1305"/>
      <c r="I3" s="1305"/>
      <c r="J3" s="1305"/>
      <c r="K3" s="1306"/>
      <c r="L3" s="446"/>
    </row>
    <row r="4" spans="1:13" ht="15.75" customHeight="1" x14ac:dyDescent="0.2">
      <c r="A4" s="1530" t="s">
        <v>1479</v>
      </c>
      <c r="B4" s="1531">
        <v>1000</v>
      </c>
      <c r="C4" s="1596">
        <f>'Revenues 9-14'!C109</f>
        <v>7332850</v>
      </c>
      <c r="D4" s="1596">
        <f>'Revenues 9-14'!D109</f>
        <v>1204494</v>
      </c>
      <c r="E4" s="1596">
        <f>'Revenues 9-14'!E109</f>
        <v>2664015</v>
      </c>
      <c r="F4" s="1596">
        <f>'Revenues 9-14'!F109</f>
        <v>165937</v>
      </c>
      <c r="G4" s="1596">
        <f>'Revenues 9-14'!G109</f>
        <v>314432</v>
      </c>
      <c r="H4" s="1596">
        <f>'Revenues 9-14'!H109</f>
        <v>3216</v>
      </c>
      <c r="I4" s="1596">
        <f>'Revenues 9-14'!I109</f>
        <v>0</v>
      </c>
      <c r="J4" s="1596">
        <f>'Revenues 9-14'!J109</f>
        <v>79786</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1390116</v>
      </c>
      <c r="D6" s="1597">
        <f>'Revenues 9-14'!D170</f>
        <v>50000</v>
      </c>
      <c r="E6" s="1597">
        <f>'Revenues 9-14'!E170</f>
        <v>0</v>
      </c>
      <c r="F6" s="1597">
        <f>'Revenues 9-14'!F170</f>
        <v>339682</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651735</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9374701</v>
      </c>
      <c r="D8" s="1585">
        <f t="shared" ref="D8:K8" si="0">SUM(D4:D7)</f>
        <v>1254494</v>
      </c>
      <c r="E8" s="1585">
        <f t="shared" si="0"/>
        <v>2664015</v>
      </c>
      <c r="F8" s="1585">
        <f t="shared" si="0"/>
        <v>505619</v>
      </c>
      <c r="G8" s="1585">
        <f t="shared" si="0"/>
        <v>314432</v>
      </c>
      <c r="H8" s="1585">
        <f t="shared" si="0"/>
        <v>3216</v>
      </c>
      <c r="I8" s="1585">
        <f t="shared" si="0"/>
        <v>0</v>
      </c>
      <c r="J8" s="1585">
        <f t="shared" si="0"/>
        <v>79786</v>
      </c>
      <c r="K8" s="1585">
        <f t="shared" si="0"/>
        <v>0</v>
      </c>
      <c r="L8" s="325"/>
    </row>
    <row r="9" spans="1:13" ht="15.75" thickTop="1" x14ac:dyDescent="0.2">
      <c r="A9" s="449" t="s">
        <v>1631</v>
      </c>
      <c r="B9" s="450">
        <v>3998</v>
      </c>
      <c r="C9" s="1577">
        <v>4223198</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13597899</v>
      </c>
      <c r="D10" s="1585">
        <f t="shared" ref="D10:K10" si="1">SUM(D8:D9)</f>
        <v>1254494</v>
      </c>
      <c r="E10" s="1585">
        <f t="shared" si="1"/>
        <v>2664015</v>
      </c>
      <c r="F10" s="1585">
        <f t="shared" si="1"/>
        <v>505619</v>
      </c>
      <c r="G10" s="1585">
        <f t="shared" si="1"/>
        <v>314432</v>
      </c>
      <c r="H10" s="1585">
        <f t="shared" si="1"/>
        <v>3216</v>
      </c>
      <c r="I10" s="1585">
        <f t="shared" si="1"/>
        <v>0</v>
      </c>
      <c r="J10" s="1585">
        <f t="shared" si="1"/>
        <v>79786</v>
      </c>
      <c r="K10" s="1585">
        <f t="shared" si="1"/>
        <v>0</v>
      </c>
      <c r="L10" s="451"/>
    </row>
    <row r="11" spans="1:13" s="452" customFormat="1" ht="16.7" customHeight="1" thickTop="1" x14ac:dyDescent="0.2">
      <c r="A11" s="2235" t="s">
        <v>1165</v>
      </c>
      <c r="B11" s="2236"/>
      <c r="C11" s="1592"/>
      <c r="D11" s="1593"/>
      <c r="E11" s="1593"/>
      <c r="F11" s="1593"/>
      <c r="G11" s="1593"/>
      <c r="H11" s="1593"/>
      <c r="I11" s="1593"/>
      <c r="J11" s="1593"/>
      <c r="K11" s="1605"/>
      <c r="L11" s="451"/>
    </row>
    <row r="12" spans="1:13" ht="15.75" customHeight="1" x14ac:dyDescent="0.2">
      <c r="A12" s="1307" t="s">
        <v>453</v>
      </c>
      <c r="B12" s="1309">
        <v>1000</v>
      </c>
      <c r="C12" s="1596">
        <f>'Expenditures 15-22'!K33</f>
        <v>6328765</v>
      </c>
      <c r="D12" s="1606" t="s">
        <v>1158</v>
      </c>
      <c r="E12" s="1567" t="s">
        <v>1158</v>
      </c>
      <c r="F12" s="1567" t="s">
        <v>1158</v>
      </c>
      <c r="G12" s="1596">
        <f>'Expenditures 15-22'!K229</f>
        <v>83801</v>
      </c>
      <c r="H12" s="1607"/>
      <c r="I12" s="1567" t="s">
        <v>1158</v>
      </c>
      <c r="J12" s="1567" t="s">
        <v>1158</v>
      </c>
      <c r="K12" s="1607" t="s">
        <v>1158</v>
      </c>
      <c r="L12" s="325"/>
    </row>
    <row r="13" spans="1:13" ht="15.75" customHeight="1" x14ac:dyDescent="0.2">
      <c r="A13" s="1307" t="s">
        <v>454</v>
      </c>
      <c r="B13" s="1309">
        <v>2000</v>
      </c>
      <c r="C13" s="1597">
        <f>'Expenditures 15-22'!K74</f>
        <v>2735459</v>
      </c>
      <c r="D13" s="1597">
        <f>'Expenditures 15-22'!K129</f>
        <v>1174117</v>
      </c>
      <c r="E13" s="1568" t="s">
        <v>1158</v>
      </c>
      <c r="F13" s="1597">
        <f>'Expenditures 15-22'!K184</f>
        <v>633826</v>
      </c>
      <c r="G13" s="1597">
        <f>'Expenditures 15-22'!K279</f>
        <v>209206</v>
      </c>
      <c r="H13" s="1597">
        <f>'Expenditures 15-22'!K303</f>
        <v>0</v>
      </c>
      <c r="I13" s="1567" t="s">
        <v>1158</v>
      </c>
      <c r="J13" s="1597">
        <f>'Expenditures 15-22'!K330</f>
        <v>103217</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89660</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2780000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9153884</v>
      </c>
      <c r="D17" s="1585">
        <f t="shared" si="2"/>
        <v>1174117</v>
      </c>
      <c r="E17" s="1585">
        <f t="shared" si="2"/>
        <v>2780000</v>
      </c>
      <c r="F17" s="1585">
        <f t="shared" si="2"/>
        <v>633826</v>
      </c>
      <c r="G17" s="1585">
        <f t="shared" si="2"/>
        <v>293007</v>
      </c>
      <c r="H17" s="1585">
        <f t="shared" si="2"/>
        <v>0</v>
      </c>
      <c r="I17" s="1567"/>
      <c r="J17" s="1585">
        <f>SUM(J12:J16)</f>
        <v>103217</v>
      </c>
      <c r="K17" s="1585">
        <f>SUM(K12:K16)</f>
        <v>0</v>
      </c>
      <c r="L17" s="325"/>
    </row>
    <row r="18" spans="1:12" ht="15" customHeight="1" thickTop="1" x14ac:dyDescent="0.2">
      <c r="A18" s="1423" t="s">
        <v>1632</v>
      </c>
      <c r="B18" s="1424">
        <v>4180</v>
      </c>
      <c r="C18" s="1596">
        <f t="shared" ref="C18:H18" si="3">C9</f>
        <v>4223198</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13377082</v>
      </c>
      <c r="D19" s="1585">
        <f t="shared" si="4"/>
        <v>1174117</v>
      </c>
      <c r="E19" s="1585">
        <f t="shared" si="4"/>
        <v>2780000</v>
      </c>
      <c r="F19" s="1585">
        <f t="shared" si="4"/>
        <v>633826</v>
      </c>
      <c r="G19" s="1585">
        <f t="shared" si="4"/>
        <v>293007</v>
      </c>
      <c r="H19" s="1585">
        <f t="shared" si="4"/>
        <v>0</v>
      </c>
      <c r="I19" s="1567"/>
      <c r="J19" s="1585">
        <f>SUM(J17:J18)</f>
        <v>103217</v>
      </c>
      <c r="K19" s="1585">
        <f>SUM(K17:K18)</f>
        <v>0</v>
      </c>
      <c r="L19" s="325"/>
    </row>
    <row r="20" spans="1:12" ht="16.5" thickTop="1" thickBot="1" x14ac:dyDescent="0.25">
      <c r="A20" s="2251" t="s">
        <v>1633</v>
      </c>
      <c r="B20" s="2252"/>
      <c r="C20" s="1612">
        <f>C8-C17</f>
        <v>220817</v>
      </c>
      <c r="D20" s="1612">
        <f t="shared" ref="D20:K20" si="5">D8-D17</f>
        <v>80377</v>
      </c>
      <c r="E20" s="1612">
        <f t="shared" si="5"/>
        <v>-115985</v>
      </c>
      <c r="F20" s="1612">
        <f t="shared" si="5"/>
        <v>-128207</v>
      </c>
      <c r="G20" s="1612">
        <f t="shared" si="5"/>
        <v>21425</v>
      </c>
      <c r="H20" s="1612">
        <f t="shared" si="5"/>
        <v>3216</v>
      </c>
      <c r="I20" s="1612">
        <f t="shared" si="5"/>
        <v>0</v>
      </c>
      <c r="J20" s="1612">
        <f t="shared" si="5"/>
        <v>-23431</v>
      </c>
      <c r="K20" s="1612">
        <f t="shared" si="5"/>
        <v>0</v>
      </c>
      <c r="L20" s="325"/>
    </row>
    <row r="21" spans="1:12" ht="16.7" customHeight="1" thickTop="1" x14ac:dyDescent="0.2">
      <c r="A21" s="2263" t="s">
        <v>591</v>
      </c>
      <c r="B21" s="2264"/>
      <c r="C21" s="1592"/>
      <c r="D21" s="1593"/>
      <c r="E21" s="1593"/>
      <c r="F21" s="1593"/>
      <c r="G21" s="1593"/>
      <c r="H21" s="1593"/>
      <c r="I21" s="1593"/>
      <c r="J21" s="1593"/>
      <c r="K21" s="1605"/>
      <c r="L21" s="453"/>
    </row>
    <row r="22" spans="1:12" ht="15.75" customHeight="1" collapsed="1" x14ac:dyDescent="0.2">
      <c r="A22" s="2259" t="s">
        <v>592</v>
      </c>
      <c r="B22" s="2260"/>
      <c r="C22" s="1573"/>
      <c r="D22" s="1573"/>
      <c r="E22" s="1573"/>
      <c r="F22" s="1573"/>
      <c r="G22" s="1573"/>
      <c r="H22" s="1573"/>
      <c r="I22" s="1573"/>
      <c r="J22" s="1573"/>
      <c r="K22" s="1573"/>
      <c r="L22" s="325"/>
    </row>
    <row r="23" spans="1:12" s="433" customFormat="1" ht="15.75" customHeight="1" x14ac:dyDescent="0.2">
      <c r="A23" s="2255" t="s">
        <v>290</v>
      </c>
      <c r="B23" s="2256"/>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4863</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57" t="s">
        <v>973</v>
      </c>
      <c r="B32" s="2258"/>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5500</v>
      </c>
      <c r="E36" s="1566">
        <v>0</v>
      </c>
      <c r="F36" s="1566">
        <v>15200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80000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65" t="s">
        <v>371</v>
      </c>
      <c r="B44" s="2266"/>
      <c r="C44" s="1614">
        <f>SUM(C24:C43)</f>
        <v>0</v>
      </c>
      <c r="D44" s="1614">
        <f t="shared" ref="D44:K44" si="6">SUM(D24:D43)</f>
        <v>10363</v>
      </c>
      <c r="E44" s="1614">
        <f t="shared" si="6"/>
        <v>80000</v>
      </c>
      <c r="F44" s="1614">
        <f t="shared" si="6"/>
        <v>15200</v>
      </c>
      <c r="G44" s="1614">
        <f t="shared" si="6"/>
        <v>0</v>
      </c>
      <c r="H44" s="1614">
        <f t="shared" si="6"/>
        <v>0</v>
      </c>
      <c r="I44" s="1614">
        <f t="shared" si="6"/>
        <v>0</v>
      </c>
      <c r="J44" s="1614">
        <f t="shared" si="6"/>
        <v>0</v>
      </c>
      <c r="K44" s="1614">
        <f t="shared" si="6"/>
        <v>0</v>
      </c>
      <c r="L44" s="453"/>
    </row>
    <row r="45" spans="1:12" ht="15.75" customHeight="1" thickTop="1" x14ac:dyDescent="0.2">
      <c r="A45" s="2259" t="s">
        <v>108</v>
      </c>
      <c r="B45" s="2260"/>
      <c r="C45" s="1615"/>
      <c r="D45" s="1615"/>
      <c r="E45" s="1615"/>
      <c r="F45" s="1615"/>
      <c r="G45" s="1615"/>
      <c r="H45" s="1615"/>
      <c r="I45" s="1615"/>
      <c r="J45" s="1615"/>
      <c r="K45" s="1615"/>
      <c r="L45" s="325"/>
    </row>
    <row r="46" spans="1:12" s="433" customFormat="1" ht="15.75" customHeight="1" x14ac:dyDescent="0.2">
      <c r="A46" s="2267" t="s">
        <v>109</v>
      </c>
      <c r="B46" s="2268"/>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4863</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80000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41" t="s">
        <v>437</v>
      </c>
      <c r="B76" s="2242"/>
      <c r="C76" s="1614">
        <f t="shared" ref="C76:K76" si="7">SUM(C47:C75)</f>
        <v>80000</v>
      </c>
      <c r="D76" s="1614">
        <f t="shared" si="7"/>
        <v>0</v>
      </c>
      <c r="E76" s="1614">
        <f t="shared" si="7"/>
        <v>0</v>
      </c>
      <c r="F76" s="1614">
        <f t="shared" si="7"/>
        <v>0</v>
      </c>
      <c r="G76" s="1614">
        <f t="shared" si="7"/>
        <v>0</v>
      </c>
      <c r="H76" s="1614">
        <f t="shared" si="7"/>
        <v>4863</v>
      </c>
      <c r="I76" s="1614">
        <f t="shared" si="7"/>
        <v>0</v>
      </c>
      <c r="J76" s="1614">
        <f t="shared" si="7"/>
        <v>0</v>
      </c>
      <c r="K76" s="1614">
        <f t="shared" si="7"/>
        <v>0</v>
      </c>
      <c r="L76" s="453"/>
    </row>
    <row r="77" spans="1:12" ht="14.25" thickTop="1" thickBot="1" x14ac:dyDescent="0.25">
      <c r="A77" s="2243" t="s">
        <v>1166</v>
      </c>
      <c r="B77" s="2244"/>
      <c r="C77" s="1614">
        <f t="shared" ref="C77:K77" si="8">C44-C76</f>
        <v>-80000</v>
      </c>
      <c r="D77" s="1614">
        <f t="shared" si="8"/>
        <v>10363</v>
      </c>
      <c r="E77" s="1614">
        <f t="shared" si="8"/>
        <v>80000</v>
      </c>
      <c r="F77" s="1614">
        <f t="shared" si="8"/>
        <v>15200</v>
      </c>
      <c r="G77" s="1614">
        <f t="shared" si="8"/>
        <v>0</v>
      </c>
      <c r="H77" s="1614">
        <f t="shared" si="8"/>
        <v>-4863</v>
      </c>
      <c r="I77" s="1614">
        <f t="shared" si="8"/>
        <v>0</v>
      </c>
      <c r="J77" s="1614">
        <f t="shared" si="8"/>
        <v>0</v>
      </c>
      <c r="K77" s="1614">
        <f t="shared" si="8"/>
        <v>0</v>
      </c>
      <c r="L77" s="325"/>
    </row>
    <row r="78" spans="1:12" ht="21.75" customHeight="1" thickTop="1" thickBot="1" x14ac:dyDescent="0.25">
      <c r="A78" s="2247" t="s">
        <v>593</v>
      </c>
      <c r="B78" s="2248"/>
      <c r="C78" s="1619">
        <f t="shared" ref="C78:K78" si="9">C20+C77</f>
        <v>140817</v>
      </c>
      <c r="D78" s="1619">
        <f t="shared" si="9"/>
        <v>90740</v>
      </c>
      <c r="E78" s="1619">
        <f t="shared" si="9"/>
        <v>-35985</v>
      </c>
      <c r="F78" s="1619">
        <f t="shared" si="9"/>
        <v>-113007</v>
      </c>
      <c r="G78" s="1619">
        <f t="shared" si="9"/>
        <v>21425</v>
      </c>
      <c r="H78" s="1619">
        <f t="shared" si="9"/>
        <v>-1647</v>
      </c>
      <c r="I78" s="1619">
        <f t="shared" si="9"/>
        <v>0</v>
      </c>
      <c r="J78" s="1619">
        <f t="shared" si="9"/>
        <v>-23431</v>
      </c>
      <c r="K78" s="1619">
        <f t="shared" si="9"/>
        <v>0</v>
      </c>
      <c r="L78" s="457"/>
    </row>
    <row r="79" spans="1:12" ht="13.5" thickTop="1" x14ac:dyDescent="0.2">
      <c r="A79" s="1833" t="str">
        <f>"Fund Balances - July 1, "&amp;'AFR20'!E2-1</f>
        <v>Fund Balances - July 1, 2019</v>
      </c>
      <c r="B79" s="458"/>
      <c r="C79" s="1574">
        <v>11328535</v>
      </c>
      <c r="D79" s="1620">
        <v>973771</v>
      </c>
      <c r="E79" s="1620">
        <v>1425054</v>
      </c>
      <c r="F79" s="1620">
        <v>1517296</v>
      </c>
      <c r="G79" s="1620">
        <v>132181</v>
      </c>
      <c r="H79" s="1620">
        <v>4863</v>
      </c>
      <c r="I79" s="1620">
        <v>0</v>
      </c>
      <c r="J79" s="1620">
        <v>127194</v>
      </c>
      <c r="K79" s="1620">
        <v>0</v>
      </c>
      <c r="L79" s="325"/>
    </row>
    <row r="80" spans="1:12" x14ac:dyDescent="0.2">
      <c r="A80" s="2253" t="s">
        <v>1769</v>
      </c>
      <c r="B80" s="2254"/>
      <c r="C80" s="1566"/>
      <c r="D80" s="1566"/>
      <c r="E80" s="1566"/>
      <c r="F80" s="1566"/>
      <c r="G80" s="1566"/>
      <c r="H80" s="1566"/>
      <c r="I80" s="1566"/>
      <c r="J80" s="1566"/>
      <c r="K80" s="1566"/>
      <c r="L80" s="325"/>
    </row>
    <row r="81" spans="1:12" ht="13.5" thickBot="1" x14ac:dyDescent="0.25">
      <c r="A81" s="2245" t="str">
        <f>"Fund Balances - June 30, "&amp;'AFR20'!E2</f>
        <v>Fund Balances - June 30, 2020</v>
      </c>
      <c r="B81" s="2246"/>
      <c r="C81" s="1585">
        <f>(SUM(C78:C80))</f>
        <v>11469352</v>
      </c>
      <c r="D81" s="1585">
        <f>SUM(D78:D80)</f>
        <v>1064511</v>
      </c>
      <c r="E81" s="1585">
        <f t="shared" ref="E81:K81" si="10">SUM(E78:E80)</f>
        <v>1389069</v>
      </c>
      <c r="F81" s="1585">
        <f t="shared" si="10"/>
        <v>1404289</v>
      </c>
      <c r="G81" s="1585">
        <f t="shared" si="10"/>
        <v>153606</v>
      </c>
      <c r="H81" s="1585">
        <f t="shared" si="10"/>
        <v>3216</v>
      </c>
      <c r="I81" s="1585">
        <f t="shared" si="10"/>
        <v>0</v>
      </c>
      <c r="J81" s="1585">
        <f t="shared" si="10"/>
        <v>103763</v>
      </c>
      <c r="K81" s="1585">
        <f t="shared" si="10"/>
        <v>0</v>
      </c>
      <c r="L81" s="325"/>
    </row>
    <row r="82" spans="1:12" ht="0.75" customHeight="1" thickTop="1" thickBot="1" x14ac:dyDescent="0.25">
      <c r="A82" s="459" t="s">
        <v>340</v>
      </c>
      <c r="B82" s="460"/>
      <c r="C82" s="461">
        <f>(C81-C79)</f>
        <v>140817</v>
      </c>
      <c r="D82" s="461">
        <f t="shared" ref="D82:K82" si="11">(D81-D79)</f>
        <v>90740</v>
      </c>
      <c r="E82" s="461">
        <f t="shared" si="11"/>
        <v>-35985</v>
      </c>
      <c r="F82" s="461">
        <f t="shared" si="11"/>
        <v>-113007</v>
      </c>
      <c r="G82" s="461">
        <f t="shared" si="11"/>
        <v>21425</v>
      </c>
      <c r="H82" s="461">
        <f t="shared" si="11"/>
        <v>-1647</v>
      </c>
      <c r="I82" s="461">
        <f t="shared" si="11"/>
        <v>0</v>
      </c>
      <c r="J82" s="461">
        <f t="shared" si="11"/>
        <v>-23431</v>
      </c>
      <c r="K82" s="461">
        <f t="shared" si="11"/>
        <v>0</v>
      </c>
    </row>
    <row r="83" spans="1:12" ht="14.25" hidden="1" thickTop="1" thickBot="1" x14ac:dyDescent="0.25">
      <c r="A83" s="462" t="s">
        <v>341</v>
      </c>
      <c r="B83" s="428"/>
      <c r="C83" s="463">
        <f>C82/C81</f>
        <v>1.2277677064929214E-2</v>
      </c>
      <c r="D83" s="463">
        <f t="shared" ref="D83:K83" si="12">D82/D81</f>
        <v>8.5241016767323208E-2</v>
      </c>
      <c r="E83" s="463">
        <f t="shared" si="12"/>
        <v>-2.590584053059999E-2</v>
      </c>
      <c r="F83" s="463">
        <f t="shared" si="12"/>
        <v>-8.0472751691425343E-2</v>
      </c>
      <c r="G83" s="463">
        <f t="shared" si="12"/>
        <v>0.13948022863690221</v>
      </c>
      <c r="H83" s="463">
        <f t="shared" si="12"/>
        <v>-0.51212686567164178</v>
      </c>
      <c r="I83" s="463" t="e">
        <f t="shared" si="12"/>
        <v>#DIV/0!</v>
      </c>
      <c r="J83" s="463">
        <f t="shared" si="12"/>
        <v>-0.22581266925590046</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6" activePane="bottomLeft" state="frozen"/>
      <selection activeCell="C44" sqref="C44"/>
      <selection pane="bottomLeft" activeCell="A3" sqref="A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9" t="s">
        <v>1776</v>
      </c>
      <c r="B1" s="416"/>
      <c r="C1" s="417" t="s">
        <v>422</v>
      </c>
      <c r="D1" s="417" t="s">
        <v>423</v>
      </c>
      <c r="E1" s="417" t="s">
        <v>424</v>
      </c>
      <c r="F1" s="417" t="s">
        <v>425</v>
      </c>
      <c r="G1" s="417" t="s">
        <v>426</v>
      </c>
      <c r="H1" s="417" t="s">
        <v>427</v>
      </c>
      <c r="I1" s="417" t="s">
        <v>428</v>
      </c>
      <c r="J1" s="417" t="s">
        <v>429</v>
      </c>
      <c r="K1" s="417" t="s">
        <v>750</v>
      </c>
    </row>
    <row r="2" spans="1:12" ht="36" x14ac:dyDescent="0.2">
      <c r="A2" s="2250"/>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6100999</v>
      </c>
      <c r="D5" s="1577">
        <v>1167290</v>
      </c>
      <c r="E5" s="1565">
        <v>2642903</v>
      </c>
      <c r="F5" s="1621">
        <v>72251</v>
      </c>
      <c r="G5" s="1565">
        <v>116944</v>
      </c>
      <c r="H5" s="1565">
        <v>0</v>
      </c>
      <c r="I5" s="1565">
        <v>0</v>
      </c>
      <c r="J5" s="1566">
        <v>79259</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77311</v>
      </c>
      <c r="D7" s="1565">
        <v>0</v>
      </c>
      <c r="E7" s="1567"/>
      <c r="F7" s="1566">
        <v>0</v>
      </c>
      <c r="G7" s="1566">
        <v>0</v>
      </c>
      <c r="H7" s="1566">
        <v>0</v>
      </c>
      <c r="I7" s="1567"/>
      <c r="J7" s="1567"/>
      <c r="K7" s="1567"/>
    </row>
    <row r="8" spans="1:12" x14ac:dyDescent="0.2">
      <c r="A8" s="427" t="s">
        <v>410</v>
      </c>
      <c r="B8" s="429">
        <v>1150</v>
      </c>
      <c r="C8" s="1572"/>
      <c r="D8" s="1572"/>
      <c r="E8" s="1573"/>
      <c r="F8" s="1573"/>
      <c r="G8" s="1577">
        <v>153741</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6178310</v>
      </c>
      <c r="D12" s="1623">
        <f t="shared" si="0"/>
        <v>1167290</v>
      </c>
      <c r="E12" s="1623">
        <f t="shared" si="0"/>
        <v>2642903</v>
      </c>
      <c r="F12" s="1623">
        <f t="shared" si="0"/>
        <v>72251</v>
      </c>
      <c r="G12" s="1623">
        <f t="shared" si="0"/>
        <v>270685</v>
      </c>
      <c r="H12" s="1623">
        <f t="shared" si="0"/>
        <v>0</v>
      </c>
      <c r="I12" s="1623">
        <f t="shared" si="0"/>
        <v>0</v>
      </c>
      <c r="J12" s="1623">
        <f t="shared" si="0"/>
        <v>79259</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439452</v>
      </c>
      <c r="D16" s="1565">
        <v>0</v>
      </c>
      <c r="E16" s="1565">
        <v>0</v>
      </c>
      <c r="F16" s="1565">
        <v>0</v>
      </c>
      <c r="G16" s="1565">
        <v>41950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439452</v>
      </c>
      <c r="D18" s="1625">
        <f t="shared" ref="D18:K18" si="1">SUM(D14:D17)</f>
        <v>0</v>
      </c>
      <c r="E18" s="1625">
        <f t="shared" si="1"/>
        <v>0</v>
      </c>
      <c r="F18" s="1625">
        <f t="shared" si="1"/>
        <v>0</v>
      </c>
      <c r="G18" s="1625">
        <f t="shared" si="1"/>
        <v>41950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3201</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3201</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59753</v>
      </c>
      <c r="G43" s="1567"/>
      <c r="H43" s="1567"/>
      <c r="I43" s="1567"/>
      <c r="J43" s="1567"/>
      <c r="K43" s="1567"/>
    </row>
    <row r="44" spans="1:11" ht="12.75" customHeight="1" x14ac:dyDescent="0.2">
      <c r="A44" s="427" t="s">
        <v>381</v>
      </c>
      <c r="B44" s="429">
        <v>1413</v>
      </c>
      <c r="C44" s="1567"/>
      <c r="D44" s="1567"/>
      <c r="E44" s="1567"/>
      <c r="F44" s="1565">
        <v>5826</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65579</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248093</v>
      </c>
      <c r="D65" s="1565">
        <v>11491</v>
      </c>
      <c r="E65" s="1565">
        <v>21112</v>
      </c>
      <c r="F65" s="1566">
        <v>28107</v>
      </c>
      <c r="G65" s="1565">
        <v>1797</v>
      </c>
      <c r="H65" s="1565">
        <v>18</v>
      </c>
      <c r="I65" s="1565">
        <v>0</v>
      </c>
      <c r="J65" s="1566">
        <v>527</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248093</v>
      </c>
      <c r="D67" s="1585">
        <f t="shared" ref="D67:K67" si="2">SUM(D65:D66)</f>
        <v>11491</v>
      </c>
      <c r="E67" s="1585">
        <f t="shared" si="2"/>
        <v>21112</v>
      </c>
      <c r="F67" s="1585">
        <f t="shared" si="2"/>
        <v>28107</v>
      </c>
      <c r="G67" s="1585">
        <f t="shared" si="2"/>
        <v>1797</v>
      </c>
      <c r="H67" s="1585">
        <f t="shared" si="2"/>
        <v>18</v>
      </c>
      <c r="I67" s="1585">
        <f t="shared" si="2"/>
        <v>0</v>
      </c>
      <c r="J67" s="1585">
        <f t="shared" si="2"/>
        <v>527</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93479</v>
      </c>
      <c r="D69" s="1567"/>
      <c r="E69" s="1567"/>
      <c r="F69" s="1567"/>
      <c r="G69" s="1567"/>
      <c r="H69" s="1567"/>
      <c r="I69" s="1567"/>
      <c r="J69" s="1567"/>
      <c r="K69" s="1567"/>
    </row>
    <row r="70" spans="1:11" ht="12.75" customHeight="1" x14ac:dyDescent="0.2">
      <c r="A70" s="427" t="s">
        <v>989</v>
      </c>
      <c r="B70" s="429">
        <v>1612</v>
      </c>
      <c r="C70" s="1622">
        <v>2506</v>
      </c>
      <c r="D70" s="1567"/>
      <c r="E70" s="1567"/>
      <c r="F70" s="1567"/>
      <c r="G70" s="1567"/>
      <c r="H70" s="1567"/>
      <c r="I70" s="1567"/>
      <c r="J70" s="1567"/>
      <c r="K70" s="1567"/>
    </row>
    <row r="71" spans="1:11" ht="12.75" customHeight="1" x14ac:dyDescent="0.2">
      <c r="A71" s="427" t="s">
        <v>271</v>
      </c>
      <c r="B71" s="429">
        <v>1613</v>
      </c>
      <c r="C71" s="1622">
        <v>97674</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5524</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199183</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20727</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77100</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97827</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59512</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59512</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2227</v>
      </c>
      <c r="E95" s="1607"/>
      <c r="F95" s="1607"/>
      <c r="G95" s="1607"/>
      <c r="H95" s="1607"/>
      <c r="I95" s="1607"/>
      <c r="J95" s="1607"/>
      <c r="K95" s="1607"/>
    </row>
    <row r="96" spans="1:11" ht="12.75" customHeight="1" x14ac:dyDescent="0.2">
      <c r="A96" s="427" t="s">
        <v>388</v>
      </c>
      <c r="B96" s="429">
        <v>1920</v>
      </c>
      <c r="C96" s="1622">
        <v>21498</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3198</v>
      </c>
      <c r="I97" s="1566">
        <v>0</v>
      </c>
      <c r="J97" s="1566">
        <v>0</v>
      </c>
      <c r="K97" s="1566">
        <v>0</v>
      </c>
    </row>
    <row r="98" spans="1:12" ht="12.75" customHeight="1" x14ac:dyDescent="0.2">
      <c r="A98" s="427" t="s">
        <v>188</v>
      </c>
      <c r="B98" s="429">
        <v>1940</v>
      </c>
      <c r="C98" s="1588">
        <v>27752</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7937</v>
      </c>
      <c r="D101" s="1613"/>
      <c r="E101" s="1576"/>
      <c r="F101" s="1613"/>
      <c r="G101" s="1572"/>
      <c r="H101" s="1613"/>
      <c r="I101" s="1567"/>
      <c r="J101" s="1572"/>
      <c r="K101" s="1572"/>
    </row>
    <row r="102" spans="1:12" ht="12.75" customHeight="1" x14ac:dyDescent="0.2">
      <c r="A102" s="427" t="s">
        <v>245</v>
      </c>
      <c r="B102" s="429">
        <v>1980</v>
      </c>
      <c r="C102" s="1588">
        <v>16871</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33214</v>
      </c>
      <c r="D107" s="1565">
        <v>23486</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107272</v>
      </c>
      <c r="D108" s="1623">
        <f t="shared" ref="D108:K108" si="3">SUM(D95:D107)</f>
        <v>25713</v>
      </c>
      <c r="E108" s="1623">
        <f t="shared" si="3"/>
        <v>0</v>
      </c>
      <c r="F108" s="1623">
        <f t="shared" si="3"/>
        <v>0</v>
      </c>
      <c r="G108" s="1623">
        <f t="shared" si="3"/>
        <v>0</v>
      </c>
      <c r="H108" s="1623">
        <f t="shared" si="3"/>
        <v>3198</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7332850</v>
      </c>
      <c r="D109" s="1631">
        <f t="shared" si="4"/>
        <v>1204494</v>
      </c>
      <c r="E109" s="1631">
        <f t="shared" si="4"/>
        <v>2664015</v>
      </c>
      <c r="F109" s="1631">
        <f t="shared" si="4"/>
        <v>165937</v>
      </c>
      <c r="G109" s="1631">
        <f t="shared" si="4"/>
        <v>314432</v>
      </c>
      <c r="H109" s="1631">
        <f t="shared" si="4"/>
        <v>3216</v>
      </c>
      <c r="I109" s="1631">
        <f t="shared" si="4"/>
        <v>0</v>
      </c>
      <c r="J109" s="1631">
        <f t="shared" si="4"/>
        <v>79786</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1214668</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1214668</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122376</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122376</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26409</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6798</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33207</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942</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18173</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10069</v>
      </c>
      <c r="G152" s="1566">
        <v>0</v>
      </c>
      <c r="H152" s="1567"/>
      <c r="I152" s="1567"/>
      <c r="J152" s="1567"/>
      <c r="K152" s="1567"/>
    </row>
    <row r="153" spans="1:11" ht="12.75" customHeight="1" x14ac:dyDescent="0.2">
      <c r="A153" s="427" t="s">
        <v>1047</v>
      </c>
      <c r="B153" s="478">
        <v>3510</v>
      </c>
      <c r="C153" s="1622">
        <v>0</v>
      </c>
      <c r="D153" s="1565">
        <v>0</v>
      </c>
      <c r="E153" s="1630"/>
      <c r="F153" s="1565">
        <v>329613</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339682</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50000</v>
      </c>
      <c r="E167" s="1607"/>
      <c r="F167" s="1607"/>
      <c r="G167" s="1567"/>
      <c r="H167" s="1617">
        <v>0</v>
      </c>
      <c r="I167" s="1567"/>
      <c r="J167" s="1567"/>
      <c r="K167" s="1616">
        <v>0</v>
      </c>
    </row>
    <row r="168" spans="1:11" ht="14.25" thickTop="1" thickBot="1" x14ac:dyDescent="0.25">
      <c r="A168" s="1263" t="s">
        <v>70</v>
      </c>
      <c r="B168" s="484">
        <v>3999</v>
      </c>
      <c r="C168" s="1644">
        <v>750</v>
      </c>
      <c r="D168" s="1645">
        <v>0</v>
      </c>
      <c r="E168" s="1645">
        <v>0</v>
      </c>
      <c r="F168" s="1645">
        <v>0</v>
      </c>
      <c r="G168" s="1646">
        <v>0</v>
      </c>
      <c r="H168" s="1647">
        <v>0</v>
      </c>
      <c r="I168" s="1646">
        <v>0</v>
      </c>
      <c r="J168" s="1646">
        <v>0</v>
      </c>
      <c r="K168" s="1647">
        <v>0</v>
      </c>
    </row>
    <row r="169" spans="1:11" ht="12.75" customHeight="1" thickTop="1" thickBot="1" x14ac:dyDescent="0.25">
      <c r="A169" s="2269" t="s">
        <v>395</v>
      </c>
      <c r="B169" s="2270"/>
      <c r="C169" s="1648">
        <f t="shared" ref="C169:K169" si="6">SUM(C132,C141,C145,C146:C150,C155,C156:C167,C168)</f>
        <v>175448</v>
      </c>
      <c r="D169" s="1648">
        <f t="shared" si="6"/>
        <v>50000</v>
      </c>
      <c r="E169" s="1648">
        <f t="shared" si="6"/>
        <v>0</v>
      </c>
      <c r="F169" s="1648">
        <f t="shared" si="6"/>
        <v>339682</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1390116</v>
      </c>
      <c r="D170" s="1631">
        <f t="shared" si="7"/>
        <v>50000</v>
      </c>
      <c r="E170" s="1631">
        <f t="shared" si="7"/>
        <v>0</v>
      </c>
      <c r="F170" s="1631">
        <f t="shared" si="7"/>
        <v>339682</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71" t="s">
        <v>1472</v>
      </c>
      <c r="B172" s="2272"/>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75" t="s">
        <v>1643</v>
      </c>
      <c r="B175" s="2276"/>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79" t="s">
        <v>1642</v>
      </c>
      <c r="B176" s="2280"/>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77" t="s">
        <v>779</v>
      </c>
      <c r="B181" s="2278"/>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73" t="s">
        <v>1777</v>
      </c>
      <c r="B182" s="2274"/>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78572</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5101</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83673</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112232</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112232</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13000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13000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0</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140885</v>
      </c>
      <c r="D213" s="1565">
        <v>0</v>
      </c>
      <c r="E213" s="1567"/>
      <c r="F213" s="1565">
        <v>0</v>
      </c>
      <c r="G213" s="1565">
        <v>0</v>
      </c>
      <c r="H213" s="1567"/>
      <c r="I213" s="1567"/>
      <c r="J213" s="1567"/>
      <c r="K213" s="1567"/>
    </row>
    <row r="214" spans="1:11" ht="12.75" customHeight="1" x14ac:dyDescent="0.2">
      <c r="A214" s="427" t="s">
        <v>1044</v>
      </c>
      <c r="B214" s="429">
        <v>4625</v>
      </c>
      <c r="C214" s="1622">
        <v>218888</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359773</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14844</v>
      </c>
      <c r="D220" s="1565">
        <v>0</v>
      </c>
      <c r="E220" s="1567"/>
      <c r="F220" s="1567"/>
      <c r="G220" s="1565">
        <v>0</v>
      </c>
      <c r="H220" s="1567"/>
      <c r="I220" s="1567"/>
      <c r="J220" s="1567"/>
      <c r="K220" s="1567"/>
    </row>
    <row r="221" spans="1:11" ht="12.75" customHeight="1" thickBot="1" x14ac:dyDescent="0.25">
      <c r="A221" s="1408" t="s">
        <v>1075</v>
      </c>
      <c r="B221" s="1409"/>
      <c r="C221" s="1623">
        <f>SUM(C219:C220)</f>
        <v>14844</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21721</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3571</v>
      </c>
      <c r="D263" s="1641">
        <v>0</v>
      </c>
      <c r="E263" s="1567"/>
      <c r="F263" s="1641">
        <v>0</v>
      </c>
      <c r="G263" s="1641">
        <v>0</v>
      </c>
      <c r="H263" s="1567"/>
      <c r="I263" s="1567"/>
      <c r="J263" s="1567"/>
      <c r="K263" s="1567"/>
    </row>
    <row r="264" spans="1:11" ht="12.75" customHeight="1" thickTop="1" thickBot="1" x14ac:dyDescent="0.25">
      <c r="A264" s="427" t="s">
        <v>374</v>
      </c>
      <c r="B264" s="429">
        <v>4992</v>
      </c>
      <c r="C264" s="1640">
        <v>24846</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18075</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651735</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651735</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9374701</v>
      </c>
      <c r="D268" s="1631">
        <f t="shared" si="12"/>
        <v>1254494</v>
      </c>
      <c r="E268" s="1631">
        <f t="shared" si="12"/>
        <v>2664015</v>
      </c>
      <c r="F268" s="1631">
        <f t="shared" si="12"/>
        <v>505619</v>
      </c>
      <c r="G268" s="1631">
        <f t="shared" si="12"/>
        <v>314432</v>
      </c>
      <c r="H268" s="1631">
        <f t="shared" si="12"/>
        <v>3216</v>
      </c>
      <c r="I268" s="1631">
        <f t="shared" si="12"/>
        <v>0</v>
      </c>
      <c r="J268" s="1631">
        <f t="shared" si="12"/>
        <v>79786</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8" activePane="bottomLeft" state="frozen"/>
      <selection activeCell="C44" sqref="C4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9"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3"/>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89" t="s">
        <v>294</v>
      </c>
      <c r="B3" s="2290"/>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2624528</v>
      </c>
      <c r="D5" s="1565">
        <v>511307</v>
      </c>
      <c r="E5" s="1565">
        <v>2710</v>
      </c>
      <c r="F5" s="1565">
        <v>98035</v>
      </c>
      <c r="G5" s="1565">
        <v>0</v>
      </c>
      <c r="H5" s="1565">
        <v>0</v>
      </c>
      <c r="I5" s="1566">
        <v>0</v>
      </c>
      <c r="J5" s="1566">
        <v>0</v>
      </c>
      <c r="K5" s="1662">
        <f>SUM(C5:J5)</f>
        <v>3236580</v>
      </c>
      <c r="L5" s="1565">
        <v>3287975</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374822</v>
      </c>
      <c r="D8" s="1565">
        <v>109633</v>
      </c>
      <c r="E8" s="1565">
        <v>284981</v>
      </c>
      <c r="F8" s="1565">
        <v>7484</v>
      </c>
      <c r="G8" s="1565">
        <v>0</v>
      </c>
      <c r="H8" s="1565">
        <v>2168</v>
      </c>
      <c r="I8" s="1566">
        <v>0</v>
      </c>
      <c r="J8" s="1566">
        <v>0</v>
      </c>
      <c r="K8" s="1662">
        <f t="shared" si="0"/>
        <v>779088</v>
      </c>
      <c r="L8" s="1565">
        <v>824340</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30635</v>
      </c>
      <c r="D10" s="1565">
        <v>13398</v>
      </c>
      <c r="E10" s="1565">
        <v>8800</v>
      </c>
      <c r="F10" s="1565">
        <v>500</v>
      </c>
      <c r="G10" s="1565">
        <v>0</v>
      </c>
      <c r="H10" s="1565">
        <v>0</v>
      </c>
      <c r="I10" s="1566">
        <v>0</v>
      </c>
      <c r="J10" s="1566">
        <v>0</v>
      </c>
      <c r="K10" s="1662">
        <f t="shared" si="0"/>
        <v>53333</v>
      </c>
      <c r="L10" s="1565">
        <v>63710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665824</v>
      </c>
      <c r="D13" s="1565">
        <v>132935</v>
      </c>
      <c r="E13" s="1565">
        <v>9730</v>
      </c>
      <c r="F13" s="1565">
        <v>47215</v>
      </c>
      <c r="G13" s="1565">
        <v>11882</v>
      </c>
      <c r="H13" s="1565">
        <v>0</v>
      </c>
      <c r="I13" s="1566">
        <v>7073</v>
      </c>
      <c r="J13" s="1566">
        <v>0</v>
      </c>
      <c r="K13" s="1662">
        <f t="shared" si="0"/>
        <v>874659</v>
      </c>
      <c r="L13" s="1565">
        <v>902385</v>
      </c>
    </row>
    <row r="14" spans="1:14" x14ac:dyDescent="0.2">
      <c r="A14" s="1267" t="s">
        <v>956</v>
      </c>
      <c r="B14" s="503">
        <v>1500</v>
      </c>
      <c r="C14" s="1565">
        <v>472093</v>
      </c>
      <c r="D14" s="1565">
        <v>24499</v>
      </c>
      <c r="E14" s="1565">
        <v>80270</v>
      </c>
      <c r="F14" s="1565">
        <v>102554</v>
      </c>
      <c r="G14" s="1565">
        <v>7625</v>
      </c>
      <c r="H14" s="1565">
        <v>0</v>
      </c>
      <c r="I14" s="1566">
        <v>23717</v>
      </c>
      <c r="J14" s="1566">
        <v>0</v>
      </c>
      <c r="K14" s="1662">
        <f t="shared" si="0"/>
        <v>710758</v>
      </c>
      <c r="L14" s="1565">
        <v>770045</v>
      </c>
    </row>
    <row r="15" spans="1:14" x14ac:dyDescent="0.2">
      <c r="A15" s="1267" t="s">
        <v>957</v>
      </c>
      <c r="B15" s="503">
        <v>1600</v>
      </c>
      <c r="C15" s="1565">
        <v>12812</v>
      </c>
      <c r="D15" s="1565">
        <v>670</v>
      </c>
      <c r="E15" s="1565">
        <v>0</v>
      </c>
      <c r="F15" s="1565">
        <v>0</v>
      </c>
      <c r="G15" s="1565">
        <v>0</v>
      </c>
      <c r="H15" s="1565">
        <v>0</v>
      </c>
      <c r="I15" s="1566">
        <v>0</v>
      </c>
      <c r="J15" s="1566">
        <v>0</v>
      </c>
      <c r="K15" s="1662">
        <f t="shared" si="0"/>
        <v>13482</v>
      </c>
      <c r="L15" s="1565">
        <v>34100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124578</v>
      </c>
      <c r="D17" s="1566">
        <v>7889</v>
      </c>
      <c r="E17" s="1566">
        <v>147</v>
      </c>
      <c r="F17" s="1566">
        <v>3526</v>
      </c>
      <c r="G17" s="1566">
        <v>0</v>
      </c>
      <c r="H17" s="1566">
        <v>0</v>
      </c>
      <c r="I17" s="1566">
        <v>0</v>
      </c>
      <c r="J17" s="1566">
        <v>0</v>
      </c>
      <c r="K17" s="1662">
        <f t="shared" si="0"/>
        <v>136140</v>
      </c>
      <c r="L17" s="1565">
        <v>155612</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524725</v>
      </c>
      <c r="I22" s="1663"/>
      <c r="J22" s="1573"/>
      <c r="K22" s="1662">
        <f t="shared" si="0"/>
        <v>524725</v>
      </c>
      <c r="L22" s="1569">
        <v>580000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4305292</v>
      </c>
      <c r="D33" s="1664">
        <f t="shared" ref="D33:L33" si="1">SUM(D5:D32)</f>
        <v>800331</v>
      </c>
      <c r="E33" s="1664">
        <f t="shared" si="1"/>
        <v>386638</v>
      </c>
      <c r="F33" s="1664">
        <f t="shared" si="1"/>
        <v>259314</v>
      </c>
      <c r="G33" s="1664">
        <f t="shared" si="1"/>
        <v>19507</v>
      </c>
      <c r="H33" s="1664">
        <f t="shared" si="1"/>
        <v>526893</v>
      </c>
      <c r="I33" s="1664">
        <f t="shared" si="1"/>
        <v>30790</v>
      </c>
      <c r="J33" s="1664">
        <f t="shared" si="1"/>
        <v>0</v>
      </c>
      <c r="K33" s="1664">
        <f t="shared" si="1"/>
        <v>6328765</v>
      </c>
      <c r="L33" s="1664">
        <f t="shared" si="1"/>
        <v>6618167</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36152</v>
      </c>
      <c r="D36" s="1577">
        <v>15564</v>
      </c>
      <c r="E36" s="1577">
        <v>0</v>
      </c>
      <c r="F36" s="1577">
        <v>0</v>
      </c>
      <c r="G36" s="1577">
        <v>0</v>
      </c>
      <c r="H36" s="1577">
        <v>0</v>
      </c>
      <c r="I36" s="1566">
        <v>0</v>
      </c>
      <c r="J36" s="1566">
        <v>0</v>
      </c>
      <c r="K36" s="1662">
        <f t="shared" ref="K36:K41" si="2">SUM(C36:J36)</f>
        <v>51716</v>
      </c>
      <c r="L36" s="1565">
        <v>51895</v>
      </c>
    </row>
    <row r="37" spans="1:14" x14ac:dyDescent="0.2">
      <c r="A37" s="1267" t="s">
        <v>1080</v>
      </c>
      <c r="B37" s="503">
        <v>2120</v>
      </c>
      <c r="C37" s="1565">
        <v>385410</v>
      </c>
      <c r="D37" s="1565">
        <v>66931</v>
      </c>
      <c r="E37" s="1565">
        <v>2380</v>
      </c>
      <c r="F37" s="1565">
        <v>4384</v>
      </c>
      <c r="G37" s="1565">
        <v>0</v>
      </c>
      <c r="H37" s="1565">
        <v>394</v>
      </c>
      <c r="I37" s="1566">
        <v>0</v>
      </c>
      <c r="J37" s="1566">
        <v>0</v>
      </c>
      <c r="K37" s="1662">
        <f t="shared" si="2"/>
        <v>459499</v>
      </c>
      <c r="L37" s="1565">
        <v>473860</v>
      </c>
    </row>
    <row r="38" spans="1:14" x14ac:dyDescent="0.2">
      <c r="A38" s="1267" t="s">
        <v>196</v>
      </c>
      <c r="B38" s="503">
        <v>2130</v>
      </c>
      <c r="C38" s="1565">
        <v>61047</v>
      </c>
      <c r="D38" s="1565">
        <v>23638</v>
      </c>
      <c r="E38" s="1565">
        <v>54</v>
      </c>
      <c r="F38" s="1565">
        <v>4077</v>
      </c>
      <c r="G38" s="1565">
        <v>0</v>
      </c>
      <c r="H38" s="1565">
        <v>0</v>
      </c>
      <c r="I38" s="1566">
        <v>0</v>
      </c>
      <c r="J38" s="1566">
        <v>0</v>
      </c>
      <c r="K38" s="1662">
        <f t="shared" si="2"/>
        <v>88816</v>
      </c>
      <c r="L38" s="1565">
        <v>90965</v>
      </c>
    </row>
    <row r="39" spans="1:14" x14ac:dyDescent="0.2">
      <c r="A39" s="1267" t="s">
        <v>197</v>
      </c>
      <c r="B39" s="503">
        <v>2140</v>
      </c>
      <c r="C39" s="1565">
        <v>81203</v>
      </c>
      <c r="D39" s="1565">
        <v>10798</v>
      </c>
      <c r="E39" s="1565">
        <v>0</v>
      </c>
      <c r="F39" s="1565">
        <v>2278</v>
      </c>
      <c r="G39" s="1565">
        <v>0</v>
      </c>
      <c r="H39" s="1565">
        <v>0</v>
      </c>
      <c r="I39" s="1566">
        <v>0</v>
      </c>
      <c r="J39" s="1566">
        <v>0</v>
      </c>
      <c r="K39" s="1662">
        <f t="shared" si="2"/>
        <v>94279</v>
      </c>
      <c r="L39" s="1565">
        <v>95140</v>
      </c>
    </row>
    <row r="40" spans="1:14" x14ac:dyDescent="0.2">
      <c r="A40" s="1267" t="s">
        <v>198</v>
      </c>
      <c r="B40" s="503">
        <v>2150</v>
      </c>
      <c r="C40" s="1565">
        <v>0</v>
      </c>
      <c r="D40" s="1565">
        <v>0</v>
      </c>
      <c r="E40" s="1565">
        <v>0</v>
      </c>
      <c r="F40" s="1565">
        <v>0</v>
      </c>
      <c r="G40" s="1565">
        <v>0</v>
      </c>
      <c r="H40" s="1565">
        <v>0</v>
      </c>
      <c r="I40" s="1566">
        <v>0</v>
      </c>
      <c r="J40" s="1566">
        <v>0</v>
      </c>
      <c r="K40" s="1662">
        <f t="shared" si="2"/>
        <v>0</v>
      </c>
      <c r="L40" s="1565">
        <v>0</v>
      </c>
    </row>
    <row r="41" spans="1:14" x14ac:dyDescent="0.2">
      <c r="A41" s="1267" t="s">
        <v>1647</v>
      </c>
      <c r="B41" s="503">
        <v>2190</v>
      </c>
      <c r="C41" s="1565">
        <v>16218</v>
      </c>
      <c r="D41" s="1565">
        <v>1283</v>
      </c>
      <c r="E41" s="1565">
        <v>0</v>
      </c>
      <c r="F41" s="1565">
        <v>344</v>
      </c>
      <c r="G41" s="1565">
        <v>0</v>
      </c>
      <c r="H41" s="1565">
        <v>0</v>
      </c>
      <c r="I41" s="1566">
        <v>0</v>
      </c>
      <c r="J41" s="1566">
        <v>0</v>
      </c>
      <c r="K41" s="1662">
        <f t="shared" si="2"/>
        <v>17845</v>
      </c>
      <c r="L41" s="1565">
        <v>18302</v>
      </c>
    </row>
    <row r="42" spans="1:14" ht="12.75" customHeight="1" thickBot="1" x14ac:dyDescent="0.25">
      <c r="A42" s="1373" t="s">
        <v>556</v>
      </c>
      <c r="B42" s="1374" t="s">
        <v>710</v>
      </c>
      <c r="C42" s="1664">
        <f>SUM(C36:C41)</f>
        <v>580030</v>
      </c>
      <c r="D42" s="1664">
        <f t="shared" ref="D42:L42" si="3">SUM(D36:D41)</f>
        <v>118214</v>
      </c>
      <c r="E42" s="1664">
        <f t="shared" si="3"/>
        <v>2434</v>
      </c>
      <c r="F42" s="1664">
        <f t="shared" si="3"/>
        <v>11083</v>
      </c>
      <c r="G42" s="1664">
        <f t="shared" si="3"/>
        <v>0</v>
      </c>
      <c r="H42" s="1664">
        <f t="shared" si="3"/>
        <v>394</v>
      </c>
      <c r="I42" s="1664">
        <f t="shared" si="3"/>
        <v>0</v>
      </c>
      <c r="J42" s="1664">
        <f t="shared" si="3"/>
        <v>0</v>
      </c>
      <c r="K42" s="1664">
        <f t="shared" si="3"/>
        <v>712155</v>
      </c>
      <c r="L42" s="1664">
        <f t="shared" si="3"/>
        <v>730162</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7941</v>
      </c>
      <c r="D44" s="1577">
        <v>147</v>
      </c>
      <c r="E44" s="1577">
        <v>50922</v>
      </c>
      <c r="F44" s="1577">
        <v>0</v>
      </c>
      <c r="G44" s="1577">
        <v>0</v>
      </c>
      <c r="H44" s="1577">
        <v>0</v>
      </c>
      <c r="I44" s="1566">
        <v>0</v>
      </c>
      <c r="J44" s="1566">
        <v>0</v>
      </c>
      <c r="K44" s="1668">
        <f>SUM(C44:J44)</f>
        <v>59010</v>
      </c>
      <c r="L44" s="1577">
        <v>79180</v>
      </c>
    </row>
    <row r="45" spans="1:14" x14ac:dyDescent="0.2">
      <c r="A45" s="1267" t="s">
        <v>809</v>
      </c>
      <c r="B45" s="503">
        <v>2220</v>
      </c>
      <c r="C45" s="1565">
        <v>244608</v>
      </c>
      <c r="D45" s="1565">
        <v>30417</v>
      </c>
      <c r="E45" s="1565">
        <v>9921</v>
      </c>
      <c r="F45" s="1565">
        <v>185297</v>
      </c>
      <c r="G45" s="1565">
        <v>19059</v>
      </c>
      <c r="H45" s="1565">
        <v>0</v>
      </c>
      <c r="I45" s="1566">
        <v>19019</v>
      </c>
      <c r="J45" s="1566">
        <v>0</v>
      </c>
      <c r="K45" s="1668">
        <f>SUM(C45:J45)</f>
        <v>508321</v>
      </c>
      <c r="L45" s="1565">
        <v>674535</v>
      </c>
    </row>
    <row r="46" spans="1:14" x14ac:dyDescent="0.2">
      <c r="A46" s="1267" t="s">
        <v>810</v>
      </c>
      <c r="B46" s="503">
        <v>2230</v>
      </c>
      <c r="C46" s="1565">
        <v>0</v>
      </c>
      <c r="D46" s="1565">
        <v>0</v>
      </c>
      <c r="E46" s="1565">
        <v>0</v>
      </c>
      <c r="F46" s="1565">
        <v>31603</v>
      </c>
      <c r="G46" s="1565">
        <v>0</v>
      </c>
      <c r="H46" s="1565">
        <v>0</v>
      </c>
      <c r="I46" s="1566">
        <v>0</v>
      </c>
      <c r="J46" s="1566">
        <v>0</v>
      </c>
      <c r="K46" s="1668">
        <f>SUM(C46:J46)</f>
        <v>31603</v>
      </c>
      <c r="L46" s="1565">
        <v>43000</v>
      </c>
    </row>
    <row r="47" spans="1:14" ht="12.75" customHeight="1" thickBot="1" x14ac:dyDescent="0.25">
      <c r="A47" s="1373" t="s">
        <v>557</v>
      </c>
      <c r="B47" s="1374" t="s">
        <v>32</v>
      </c>
      <c r="C47" s="1664">
        <f>SUM(C44:C46)</f>
        <v>252549</v>
      </c>
      <c r="D47" s="1664">
        <f t="shared" ref="D47:K47" si="4">SUM(D44:D46)</f>
        <v>30564</v>
      </c>
      <c r="E47" s="1664">
        <f t="shared" si="4"/>
        <v>60843</v>
      </c>
      <c r="F47" s="1664">
        <f t="shared" si="4"/>
        <v>216900</v>
      </c>
      <c r="G47" s="1664">
        <f t="shared" si="4"/>
        <v>19059</v>
      </c>
      <c r="H47" s="1664">
        <f t="shared" si="4"/>
        <v>0</v>
      </c>
      <c r="I47" s="1664">
        <f t="shared" si="4"/>
        <v>19019</v>
      </c>
      <c r="J47" s="1664">
        <f t="shared" si="4"/>
        <v>0</v>
      </c>
      <c r="K47" s="1664">
        <f t="shared" si="4"/>
        <v>598934</v>
      </c>
      <c r="L47" s="1664">
        <f>SUM(L44:L46)</f>
        <v>796715</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58291</v>
      </c>
      <c r="D49" s="1577">
        <v>21863</v>
      </c>
      <c r="E49" s="1577">
        <v>45798</v>
      </c>
      <c r="F49" s="1577">
        <v>20786</v>
      </c>
      <c r="G49" s="1577">
        <v>0</v>
      </c>
      <c r="H49" s="1577">
        <v>5284</v>
      </c>
      <c r="I49" s="1566">
        <v>0</v>
      </c>
      <c r="J49" s="1566">
        <v>0</v>
      </c>
      <c r="K49" s="1668">
        <f>SUM(C49:J49)</f>
        <v>152022</v>
      </c>
      <c r="L49" s="1577">
        <v>169045</v>
      </c>
    </row>
    <row r="50" spans="1:14" x14ac:dyDescent="0.2">
      <c r="A50" s="1267" t="s">
        <v>812</v>
      </c>
      <c r="B50" s="503">
        <v>2320</v>
      </c>
      <c r="C50" s="1565">
        <v>93058</v>
      </c>
      <c r="D50" s="1565">
        <v>22261</v>
      </c>
      <c r="E50" s="1565">
        <v>179</v>
      </c>
      <c r="F50" s="1565">
        <v>491</v>
      </c>
      <c r="G50" s="1565">
        <v>0</v>
      </c>
      <c r="H50" s="1565">
        <v>1601</v>
      </c>
      <c r="I50" s="1566">
        <v>0</v>
      </c>
      <c r="J50" s="1566">
        <v>0</v>
      </c>
      <c r="K50" s="1668">
        <f>SUM(C50:J50)</f>
        <v>117590</v>
      </c>
      <c r="L50" s="1565">
        <v>120150</v>
      </c>
    </row>
    <row r="51" spans="1:14" x14ac:dyDescent="0.2">
      <c r="A51" s="1267" t="s">
        <v>42</v>
      </c>
      <c r="B51" s="503">
        <v>2330</v>
      </c>
      <c r="C51" s="1565">
        <v>95351</v>
      </c>
      <c r="D51" s="1565">
        <v>30791</v>
      </c>
      <c r="E51" s="1565">
        <v>894</v>
      </c>
      <c r="F51" s="1565">
        <v>0</v>
      </c>
      <c r="G51" s="1565">
        <v>0</v>
      </c>
      <c r="H51" s="1565">
        <v>0</v>
      </c>
      <c r="I51" s="1566">
        <v>0</v>
      </c>
      <c r="J51" s="1566">
        <v>0</v>
      </c>
      <c r="K51" s="1668">
        <f>SUM(C51:J51)</f>
        <v>127036</v>
      </c>
      <c r="L51" s="1565">
        <v>124950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246700</v>
      </c>
      <c r="D53" s="1664">
        <f t="shared" ref="D53:L53" si="5">SUM(D49:D52)</f>
        <v>74915</v>
      </c>
      <c r="E53" s="1664">
        <f t="shared" si="5"/>
        <v>46871</v>
      </c>
      <c r="F53" s="1664">
        <f t="shared" si="5"/>
        <v>21277</v>
      </c>
      <c r="G53" s="1664">
        <f t="shared" si="5"/>
        <v>0</v>
      </c>
      <c r="H53" s="1664">
        <f t="shared" si="5"/>
        <v>6885</v>
      </c>
      <c r="I53" s="1664">
        <f t="shared" si="5"/>
        <v>0</v>
      </c>
      <c r="J53" s="1664">
        <f t="shared" si="5"/>
        <v>0</v>
      </c>
      <c r="K53" s="1664">
        <f t="shared" si="5"/>
        <v>396648</v>
      </c>
      <c r="L53" s="1664">
        <f t="shared" si="5"/>
        <v>414145</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296073</v>
      </c>
      <c r="D55" s="1577">
        <v>113670</v>
      </c>
      <c r="E55" s="1577">
        <v>9071</v>
      </c>
      <c r="F55" s="1577">
        <v>1377</v>
      </c>
      <c r="G55" s="1577">
        <v>0</v>
      </c>
      <c r="H55" s="1577">
        <v>894</v>
      </c>
      <c r="I55" s="1566">
        <v>778</v>
      </c>
      <c r="J55" s="1566">
        <v>0</v>
      </c>
      <c r="K55" s="1668">
        <f>SUM(C55:J55)</f>
        <v>421863</v>
      </c>
      <c r="L55" s="1577">
        <v>425960</v>
      </c>
    </row>
    <row r="56" spans="1:14" ht="12.75" customHeight="1" x14ac:dyDescent="0.2">
      <c r="A56" s="1271" t="s">
        <v>373</v>
      </c>
      <c r="B56" s="512">
        <v>2490</v>
      </c>
      <c r="C56" s="1565">
        <v>22996</v>
      </c>
      <c r="D56" s="1565">
        <v>324</v>
      </c>
      <c r="E56" s="1565">
        <v>0</v>
      </c>
      <c r="F56" s="1565">
        <v>0</v>
      </c>
      <c r="G56" s="1565">
        <v>0</v>
      </c>
      <c r="H56" s="1565">
        <v>0</v>
      </c>
      <c r="I56" s="1566">
        <v>0</v>
      </c>
      <c r="J56" s="1566">
        <v>0</v>
      </c>
      <c r="K56" s="1668">
        <f>SUM(C56:J56)</f>
        <v>23320</v>
      </c>
      <c r="L56" s="1565">
        <v>24370</v>
      </c>
    </row>
    <row r="57" spans="1:14" s="321" customFormat="1" ht="12.75" customHeight="1" thickBot="1" x14ac:dyDescent="0.25">
      <c r="A57" s="1373" t="s">
        <v>261</v>
      </c>
      <c r="B57" s="1375" t="s">
        <v>34</v>
      </c>
      <c r="C57" s="1669">
        <f>SUM(C55:C56)</f>
        <v>319069</v>
      </c>
      <c r="D57" s="1669">
        <f t="shared" ref="D57:K57" si="6">SUM(D55:D56)</f>
        <v>113994</v>
      </c>
      <c r="E57" s="1669">
        <f t="shared" si="6"/>
        <v>9071</v>
      </c>
      <c r="F57" s="1669">
        <f t="shared" si="6"/>
        <v>1377</v>
      </c>
      <c r="G57" s="1669">
        <f t="shared" si="6"/>
        <v>0</v>
      </c>
      <c r="H57" s="1669">
        <f t="shared" si="6"/>
        <v>894</v>
      </c>
      <c r="I57" s="1669">
        <f t="shared" si="6"/>
        <v>778</v>
      </c>
      <c r="J57" s="1669">
        <f t="shared" si="6"/>
        <v>0</v>
      </c>
      <c r="K57" s="1669">
        <f t="shared" si="6"/>
        <v>445183</v>
      </c>
      <c r="L57" s="1664">
        <f>SUM(L55:L56)</f>
        <v>450330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79538</v>
      </c>
      <c r="D59" s="1577">
        <v>19451</v>
      </c>
      <c r="E59" s="1577">
        <v>1284</v>
      </c>
      <c r="F59" s="1577">
        <v>684</v>
      </c>
      <c r="G59" s="1577">
        <v>0</v>
      </c>
      <c r="H59" s="1577">
        <v>0</v>
      </c>
      <c r="I59" s="1566">
        <v>0</v>
      </c>
      <c r="J59" s="1566">
        <v>0</v>
      </c>
      <c r="K59" s="1668">
        <f t="shared" ref="K59:K64" si="7">SUM(C59:J59)</f>
        <v>100957</v>
      </c>
      <c r="L59" s="1577">
        <v>97870</v>
      </c>
      <c r="M59" s="501"/>
      <c r="N59" s="501"/>
    </row>
    <row r="60" spans="1:14" s="321" customFormat="1" x14ac:dyDescent="0.2">
      <c r="A60" s="1267" t="s">
        <v>460</v>
      </c>
      <c r="B60" s="503">
        <v>2520</v>
      </c>
      <c r="C60" s="1565">
        <v>124685</v>
      </c>
      <c r="D60" s="1565">
        <v>10629</v>
      </c>
      <c r="E60" s="1565">
        <v>26649</v>
      </c>
      <c r="F60" s="1565">
        <v>776</v>
      </c>
      <c r="G60" s="1565">
        <v>0</v>
      </c>
      <c r="H60" s="1565">
        <v>0</v>
      </c>
      <c r="I60" s="1566">
        <v>0</v>
      </c>
      <c r="J60" s="1566">
        <v>0</v>
      </c>
      <c r="K60" s="1668">
        <f t="shared" si="7"/>
        <v>162739</v>
      </c>
      <c r="L60" s="1565">
        <v>158240</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90451</v>
      </c>
      <c r="D63" s="1565">
        <v>10404</v>
      </c>
      <c r="E63" s="1565">
        <v>3004</v>
      </c>
      <c r="F63" s="1565">
        <v>181851</v>
      </c>
      <c r="G63" s="1565">
        <v>0</v>
      </c>
      <c r="H63" s="1565">
        <v>767</v>
      </c>
      <c r="I63" s="1566">
        <v>5242</v>
      </c>
      <c r="J63" s="1566">
        <v>0</v>
      </c>
      <c r="K63" s="1668">
        <f t="shared" si="7"/>
        <v>291719</v>
      </c>
      <c r="L63" s="1565">
        <v>316495</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294674</v>
      </c>
      <c r="D65" s="1664">
        <f t="shared" ref="D65:L65" si="8">SUM(D59:D64)</f>
        <v>40484</v>
      </c>
      <c r="E65" s="1664">
        <f t="shared" si="8"/>
        <v>30937</v>
      </c>
      <c r="F65" s="1664">
        <f t="shared" si="8"/>
        <v>183311</v>
      </c>
      <c r="G65" s="1664">
        <f t="shared" si="8"/>
        <v>0</v>
      </c>
      <c r="H65" s="1664">
        <f t="shared" si="8"/>
        <v>767</v>
      </c>
      <c r="I65" s="1664">
        <f t="shared" si="8"/>
        <v>5242</v>
      </c>
      <c r="J65" s="1664">
        <f t="shared" si="8"/>
        <v>0</v>
      </c>
      <c r="K65" s="1664">
        <f t="shared" si="8"/>
        <v>555415</v>
      </c>
      <c r="L65" s="1664">
        <f t="shared" si="8"/>
        <v>572605</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25948</v>
      </c>
      <c r="F71" s="1565">
        <v>463</v>
      </c>
      <c r="G71" s="1565">
        <v>0</v>
      </c>
      <c r="H71" s="1565">
        <v>0</v>
      </c>
      <c r="I71" s="1566">
        <v>0</v>
      </c>
      <c r="J71" s="1566">
        <v>0</v>
      </c>
      <c r="K71" s="1668">
        <f>SUM(C71:J71)</f>
        <v>26411</v>
      </c>
      <c r="L71" s="1565">
        <v>27500</v>
      </c>
      <c r="M71" s="501"/>
      <c r="N71" s="501"/>
    </row>
    <row r="72" spans="1:14" s="321" customFormat="1" ht="12.75" customHeight="1" thickBot="1" x14ac:dyDescent="0.25">
      <c r="A72" s="1373" t="s">
        <v>37</v>
      </c>
      <c r="B72" s="1376" t="s">
        <v>36</v>
      </c>
      <c r="C72" s="1664">
        <f>SUM(C67:C71)</f>
        <v>0</v>
      </c>
      <c r="D72" s="1664">
        <f t="shared" ref="D72:K72" si="9">SUM(D67:D71)</f>
        <v>0</v>
      </c>
      <c r="E72" s="1664">
        <f t="shared" si="9"/>
        <v>25948</v>
      </c>
      <c r="F72" s="1664">
        <f t="shared" si="9"/>
        <v>463</v>
      </c>
      <c r="G72" s="1664">
        <f t="shared" si="9"/>
        <v>0</v>
      </c>
      <c r="H72" s="1664">
        <f t="shared" si="9"/>
        <v>0</v>
      </c>
      <c r="I72" s="1664">
        <f t="shared" si="9"/>
        <v>0</v>
      </c>
      <c r="J72" s="1664">
        <f t="shared" si="9"/>
        <v>0</v>
      </c>
      <c r="K72" s="1664">
        <f t="shared" si="9"/>
        <v>26411</v>
      </c>
      <c r="L72" s="1664">
        <f>SUM(L67:L71)</f>
        <v>27500</v>
      </c>
      <c r="M72" s="501"/>
      <c r="N72" s="501"/>
    </row>
    <row r="73" spans="1:14" s="321" customFormat="1" ht="14.25" thickTop="1" thickBot="1" x14ac:dyDescent="0.25">
      <c r="A73" s="1273" t="s">
        <v>972</v>
      </c>
      <c r="B73" s="515" t="s">
        <v>570</v>
      </c>
      <c r="C73" s="1639">
        <v>0</v>
      </c>
      <c r="D73" s="1639">
        <v>0</v>
      </c>
      <c r="E73" s="1639">
        <v>0</v>
      </c>
      <c r="F73" s="1639">
        <v>713</v>
      </c>
      <c r="G73" s="1639">
        <v>0</v>
      </c>
      <c r="H73" s="1639">
        <v>0</v>
      </c>
      <c r="I73" s="1617">
        <v>0</v>
      </c>
      <c r="J73" s="1617">
        <v>0</v>
      </c>
      <c r="K73" s="1664">
        <f>SUM(C73:J73)</f>
        <v>713</v>
      </c>
      <c r="L73" s="1641">
        <v>800</v>
      </c>
      <c r="M73" s="501"/>
      <c r="N73" s="501"/>
    </row>
    <row r="74" spans="1:14" ht="12.75" customHeight="1" thickTop="1" thickBot="1" x14ac:dyDescent="0.25">
      <c r="A74" s="1373" t="s">
        <v>805</v>
      </c>
      <c r="B74" s="1377">
        <v>2000</v>
      </c>
      <c r="C74" s="1671">
        <f>SUM(C42,C47,C53,C57,C65,C72,C73)</f>
        <v>1693022</v>
      </c>
      <c r="D74" s="1671">
        <f t="shared" ref="D74:K74" si="10">SUM(D42,D47,D53,D57,D65,D72,D73)</f>
        <v>378171</v>
      </c>
      <c r="E74" s="1671">
        <f t="shared" si="10"/>
        <v>176104</v>
      </c>
      <c r="F74" s="1671">
        <f t="shared" si="10"/>
        <v>435124</v>
      </c>
      <c r="G74" s="1671">
        <f t="shared" si="10"/>
        <v>19059</v>
      </c>
      <c r="H74" s="1671">
        <f t="shared" si="10"/>
        <v>8940</v>
      </c>
      <c r="I74" s="1671">
        <f t="shared" si="10"/>
        <v>25039</v>
      </c>
      <c r="J74" s="1671">
        <f t="shared" si="10"/>
        <v>0</v>
      </c>
      <c r="K74" s="1671">
        <f t="shared" si="10"/>
        <v>2735459</v>
      </c>
      <c r="L74" s="1671">
        <f>SUM(L42,L47,L53,L57,L65,L72,L73)</f>
        <v>2992257</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1289</v>
      </c>
      <c r="F79" s="1663"/>
      <c r="G79" s="1663"/>
      <c r="H79" s="1565">
        <v>0</v>
      </c>
      <c r="I79" s="1573"/>
      <c r="J79" s="1573"/>
      <c r="K79" s="1662">
        <f t="shared" si="11"/>
        <v>1289</v>
      </c>
      <c r="L79" s="1565">
        <v>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19696</v>
      </c>
      <c r="F83" s="1663"/>
      <c r="G83" s="1663"/>
      <c r="H83" s="1565">
        <v>0</v>
      </c>
      <c r="I83" s="1573"/>
      <c r="J83" s="1573"/>
      <c r="K83" s="1662">
        <f t="shared" si="11"/>
        <v>19696</v>
      </c>
      <c r="L83" s="1565">
        <v>26500</v>
      </c>
    </row>
    <row r="84" spans="1:12" ht="13.5" thickBot="1" x14ac:dyDescent="0.25">
      <c r="A84" s="1373" t="s">
        <v>1465</v>
      </c>
      <c r="B84" s="1378">
        <v>4100</v>
      </c>
      <c r="C84" s="1663"/>
      <c r="D84" s="1663"/>
      <c r="E84" s="1664">
        <f>SUM(E78:E83)</f>
        <v>20985</v>
      </c>
      <c r="F84" s="1663"/>
      <c r="G84" s="1663"/>
      <c r="H84" s="1664">
        <f>SUM(H78:H83)</f>
        <v>0</v>
      </c>
      <c r="I84" s="1573"/>
      <c r="J84" s="1573"/>
      <c r="K84" s="1664">
        <f>SUM(K78:K83)</f>
        <v>20985</v>
      </c>
      <c r="L84" s="1664">
        <f>SUM(L78:L83)</f>
        <v>26500</v>
      </c>
    </row>
    <row r="85" spans="1:12" ht="12.75" customHeight="1" thickTop="1" thickBot="1" x14ac:dyDescent="0.25">
      <c r="A85" s="1274" t="s">
        <v>253</v>
      </c>
      <c r="B85" s="517">
        <v>4210</v>
      </c>
      <c r="C85" s="1663"/>
      <c r="D85" s="1663"/>
      <c r="E85" s="1673"/>
      <c r="F85" s="1663"/>
      <c r="G85" s="1663"/>
      <c r="H85" s="1620">
        <v>400</v>
      </c>
      <c r="I85" s="1573"/>
      <c r="J85" s="1573"/>
      <c r="K85" s="1671">
        <f>H85</f>
        <v>400</v>
      </c>
      <c r="L85" s="1616">
        <v>1000</v>
      </c>
    </row>
    <row r="86" spans="1:12" ht="12.75" customHeight="1" thickTop="1" thickBot="1" x14ac:dyDescent="0.25">
      <c r="A86" s="1275" t="s">
        <v>693</v>
      </c>
      <c r="B86" s="518">
        <v>4220</v>
      </c>
      <c r="C86" s="1663"/>
      <c r="D86" s="1663"/>
      <c r="E86" s="1674"/>
      <c r="F86" s="1663"/>
      <c r="G86" s="1663"/>
      <c r="H86" s="1566">
        <v>65195</v>
      </c>
      <c r="I86" s="1573"/>
      <c r="J86" s="1573"/>
      <c r="K86" s="1671">
        <f t="shared" ref="K86:K98" si="12">H86</f>
        <v>65195</v>
      </c>
      <c r="L86" s="1616">
        <v>79000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3080</v>
      </c>
      <c r="I91" s="1573"/>
      <c r="J91" s="1573"/>
      <c r="K91" s="1671">
        <f t="shared" si="12"/>
        <v>3080</v>
      </c>
      <c r="L91" s="1616">
        <v>10000</v>
      </c>
    </row>
    <row r="92" spans="1:12" ht="14.25" thickTop="1" thickBot="1" x14ac:dyDescent="0.25">
      <c r="A92" s="1379" t="s">
        <v>1540</v>
      </c>
      <c r="B92" s="1378">
        <v>4200</v>
      </c>
      <c r="C92" s="1663"/>
      <c r="D92" s="1663"/>
      <c r="E92" s="1674"/>
      <c r="F92" s="1663"/>
      <c r="G92" s="1663"/>
      <c r="H92" s="1664">
        <f>SUM(H85:H91)</f>
        <v>68675</v>
      </c>
      <c r="I92" s="1573"/>
      <c r="J92" s="1573"/>
      <c r="K92" s="1671">
        <f t="shared" si="12"/>
        <v>68675</v>
      </c>
      <c r="L92" s="1664">
        <f>SUM(L85:L91)</f>
        <v>90000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20985</v>
      </c>
      <c r="F102" s="1663"/>
      <c r="G102" s="1663"/>
      <c r="H102" s="1671">
        <f>SUM(H84,H92,H100,H101)</f>
        <v>68675</v>
      </c>
      <c r="I102" s="1573"/>
      <c r="J102" s="1573"/>
      <c r="K102" s="1671">
        <f>SUM(K84,K92,K100,K101)</f>
        <v>89660</v>
      </c>
      <c r="L102" s="1671">
        <f>SUM(L84,L92,L100,L101)</f>
        <v>116500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5998314</v>
      </c>
      <c r="D114" s="1664">
        <f t="shared" ref="D114:K114" si="13">SUM(D33,D74,D75,D102,D112,D113)</f>
        <v>1178502</v>
      </c>
      <c r="E114" s="1664">
        <f t="shared" si="13"/>
        <v>583727</v>
      </c>
      <c r="F114" s="1664">
        <f t="shared" si="13"/>
        <v>694438</v>
      </c>
      <c r="G114" s="1664">
        <f t="shared" si="13"/>
        <v>38566</v>
      </c>
      <c r="H114" s="1664">
        <f>SUM(H33,H74,H75,H102,H112,H113)</f>
        <v>604508</v>
      </c>
      <c r="I114" s="1664">
        <f t="shared" si="13"/>
        <v>55829</v>
      </c>
      <c r="J114" s="1664">
        <f t="shared" si="13"/>
        <v>0</v>
      </c>
      <c r="K114" s="1664">
        <f t="shared" si="13"/>
        <v>9153884</v>
      </c>
      <c r="L114" s="1664">
        <f>SUM(L33,L74,L75,L102,L112,L113)</f>
        <v>9726924</v>
      </c>
    </row>
    <row r="115" spans="1:14" ht="13.5" thickTop="1" x14ac:dyDescent="0.2">
      <c r="A115" s="2281" t="s">
        <v>988</v>
      </c>
      <c r="B115" s="2282"/>
      <c r="C115" s="1665"/>
      <c r="D115" s="1665"/>
      <c r="E115" s="1665"/>
      <c r="F115" s="1665"/>
      <c r="G115" s="1665"/>
      <c r="H115" s="1665"/>
      <c r="I115" s="1665"/>
      <c r="J115" s="1665"/>
      <c r="K115" s="1679">
        <f>'Revenues 9-14'!C268-'Expenditures 15-22'!K114</f>
        <v>220817</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86" t="s">
        <v>293</v>
      </c>
      <c r="B117" s="2287"/>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314745</v>
      </c>
      <c r="D124" s="1565">
        <v>67117</v>
      </c>
      <c r="E124" s="1565">
        <v>231156</v>
      </c>
      <c r="F124" s="1565">
        <v>432295</v>
      </c>
      <c r="G124" s="1565">
        <v>74222</v>
      </c>
      <c r="H124" s="1565">
        <v>0</v>
      </c>
      <c r="I124" s="1566">
        <v>54582</v>
      </c>
      <c r="J124" s="1566">
        <v>0</v>
      </c>
      <c r="K124" s="1664">
        <f>SUM(C124:J124)</f>
        <v>1174117</v>
      </c>
      <c r="L124" s="1565">
        <v>1309260</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314745</v>
      </c>
      <c r="D127" s="1664">
        <f t="shared" ref="D127:L127" si="14">SUM(D122:D126)</f>
        <v>67117</v>
      </c>
      <c r="E127" s="1664">
        <f t="shared" si="14"/>
        <v>231156</v>
      </c>
      <c r="F127" s="1664">
        <f t="shared" si="14"/>
        <v>432295</v>
      </c>
      <c r="G127" s="1664">
        <f t="shared" si="14"/>
        <v>74222</v>
      </c>
      <c r="H127" s="1664">
        <f t="shared" si="14"/>
        <v>0</v>
      </c>
      <c r="I127" s="1664">
        <f t="shared" si="14"/>
        <v>54582</v>
      </c>
      <c r="J127" s="1664">
        <f t="shared" si="14"/>
        <v>0</v>
      </c>
      <c r="K127" s="1664">
        <f t="shared" si="14"/>
        <v>1174117</v>
      </c>
      <c r="L127" s="1664">
        <f t="shared" si="14"/>
        <v>1309260</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314745</v>
      </c>
      <c r="D129" s="1671">
        <f t="shared" ref="D129:L129" si="15">SUM(D120,D127,D128)</f>
        <v>67117</v>
      </c>
      <c r="E129" s="1671">
        <f t="shared" si="15"/>
        <v>231156</v>
      </c>
      <c r="F129" s="1671">
        <f t="shared" si="15"/>
        <v>432295</v>
      </c>
      <c r="G129" s="1671">
        <f t="shared" si="15"/>
        <v>74222</v>
      </c>
      <c r="H129" s="1671">
        <f t="shared" si="15"/>
        <v>0</v>
      </c>
      <c r="I129" s="1671">
        <f t="shared" si="15"/>
        <v>54582</v>
      </c>
      <c r="J129" s="1671">
        <f t="shared" si="15"/>
        <v>0</v>
      </c>
      <c r="K129" s="1671">
        <f t="shared" si="15"/>
        <v>1174117</v>
      </c>
      <c r="L129" s="1671">
        <f t="shared" si="15"/>
        <v>1309260</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98" t="s">
        <v>616</v>
      </c>
      <c r="B151" s="2278"/>
      <c r="C151" s="1664">
        <f>SUM(C129,C130,C139,C149,C150)</f>
        <v>314745</v>
      </c>
      <c r="D151" s="1664">
        <f t="shared" ref="D151:K151" si="16">SUM(D129,D130,D139,D149,D150)</f>
        <v>67117</v>
      </c>
      <c r="E151" s="1664">
        <f t="shared" si="16"/>
        <v>231156</v>
      </c>
      <c r="F151" s="1664">
        <f t="shared" si="16"/>
        <v>432295</v>
      </c>
      <c r="G151" s="1664">
        <f t="shared" si="16"/>
        <v>74222</v>
      </c>
      <c r="H151" s="1664">
        <f t="shared" si="16"/>
        <v>0</v>
      </c>
      <c r="I151" s="1664">
        <f t="shared" si="16"/>
        <v>54582</v>
      </c>
      <c r="J151" s="1664">
        <f t="shared" si="16"/>
        <v>0</v>
      </c>
      <c r="K151" s="1664">
        <f t="shared" si="16"/>
        <v>1174117</v>
      </c>
      <c r="L151" s="1664">
        <f>SUM(L129,L130,L139,L149,L150)</f>
        <v>1309260</v>
      </c>
    </row>
    <row r="152" spans="1:14" ht="12.75" customHeight="1" thickTop="1" x14ac:dyDescent="0.2">
      <c r="A152" s="2301" t="s">
        <v>1167</v>
      </c>
      <c r="B152" s="2302"/>
      <c r="C152" s="1665"/>
      <c r="D152" s="1665"/>
      <c r="E152" s="1665"/>
      <c r="F152" s="1665"/>
      <c r="G152" s="1665"/>
      <c r="H152" s="1665"/>
      <c r="I152" s="1665"/>
      <c r="J152" s="1663"/>
      <c r="K152" s="1679">
        <f>'Revenues 9-14'!D268-'Expenditures 15-22'!K151</f>
        <v>80377</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86" t="s">
        <v>617</v>
      </c>
      <c r="B154" s="2288"/>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2224890</v>
      </c>
      <c r="I169" s="1663"/>
      <c r="J169" s="1663"/>
      <c r="K169" s="1662">
        <f>SUM(C169:H169)</f>
        <v>2224890</v>
      </c>
      <c r="L169" s="1685">
        <v>2224890</v>
      </c>
    </row>
    <row r="170" spans="1:14" ht="33.75" customHeight="1" x14ac:dyDescent="0.2">
      <c r="A170" s="543" t="s">
        <v>1648</v>
      </c>
      <c r="B170" s="545" t="s">
        <v>31</v>
      </c>
      <c r="C170" s="1663"/>
      <c r="D170" s="1663"/>
      <c r="E170" s="1663"/>
      <c r="F170" s="1663"/>
      <c r="G170" s="1663"/>
      <c r="H170" s="1636">
        <v>555110</v>
      </c>
      <c r="I170" s="1663"/>
      <c r="J170" s="1663"/>
      <c r="K170" s="1662">
        <f>SUM(C170:J170)</f>
        <v>555110</v>
      </c>
      <c r="L170" s="1636">
        <v>555110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2780000</v>
      </c>
      <c r="I172" s="1674"/>
      <c r="J172" s="1663"/>
      <c r="K172" s="1671">
        <f>SUM(K168,K169,K170,K171)</f>
        <v>2780000</v>
      </c>
      <c r="L172" s="1671">
        <f>SUM(L168,L169,L170,L171)</f>
        <v>2780000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2780000</v>
      </c>
      <c r="I174" s="1674"/>
      <c r="J174" s="1663"/>
      <c r="K174" s="1671">
        <f>SUM(K160,K172,K173)</f>
        <v>2780000</v>
      </c>
      <c r="L174" s="1671">
        <f>SUM(L160,L172,L173)</f>
        <v>2780000</v>
      </c>
    </row>
    <row r="175" spans="1:14" ht="13.5" thickTop="1" x14ac:dyDescent="0.2">
      <c r="A175" s="2281" t="s">
        <v>988</v>
      </c>
      <c r="B175" s="2282"/>
      <c r="C175" s="1663"/>
      <c r="D175" s="1663"/>
      <c r="E175" s="1663"/>
      <c r="F175" s="1663"/>
      <c r="G175" s="1663"/>
      <c r="H175" s="1665"/>
      <c r="I175" s="1663"/>
      <c r="J175" s="1663"/>
      <c r="K175" s="1679">
        <f>'Revenues 9-14'!E268-'Expenditures 15-22'!K174</f>
        <v>-115985</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319713</v>
      </c>
      <c r="D182" s="1565">
        <v>30364</v>
      </c>
      <c r="E182" s="1565">
        <v>148408</v>
      </c>
      <c r="F182" s="1565">
        <v>71586</v>
      </c>
      <c r="G182" s="1565">
        <v>58886</v>
      </c>
      <c r="H182" s="1565">
        <v>0</v>
      </c>
      <c r="I182" s="1566">
        <v>4869</v>
      </c>
      <c r="J182" s="1566">
        <v>0</v>
      </c>
      <c r="K182" s="1662">
        <f>SUM(C182:J182)</f>
        <v>633826</v>
      </c>
      <c r="L182" s="1565">
        <v>686387</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319713</v>
      </c>
      <c r="D184" s="1671">
        <f t="shared" ref="D184:J184" si="17">SUM(D180,D182,D183)</f>
        <v>30364</v>
      </c>
      <c r="E184" s="1671">
        <f t="shared" si="17"/>
        <v>148408</v>
      </c>
      <c r="F184" s="1671">
        <f t="shared" si="17"/>
        <v>71586</v>
      </c>
      <c r="G184" s="1671">
        <f t="shared" si="17"/>
        <v>58886</v>
      </c>
      <c r="H184" s="1671">
        <f t="shared" si="17"/>
        <v>0</v>
      </c>
      <c r="I184" s="1671">
        <f t="shared" si="17"/>
        <v>4869</v>
      </c>
      <c r="J184" s="1671">
        <f t="shared" si="17"/>
        <v>0</v>
      </c>
      <c r="K184" s="1671">
        <f>SUM(K180,K182,K183)</f>
        <v>633826</v>
      </c>
      <c r="L184" s="1671">
        <f>SUM(L180, L182:L183)</f>
        <v>686387</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1000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1000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1000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319713</v>
      </c>
      <c r="D210" s="1664">
        <f>SUM(D184,D185)</f>
        <v>30364</v>
      </c>
      <c r="E210" s="1664">
        <f>SUM(E184,E185,E196)</f>
        <v>148408</v>
      </c>
      <c r="F210" s="1664">
        <f>SUM(F184,F185)</f>
        <v>71586</v>
      </c>
      <c r="G210" s="1664">
        <f>SUM(G184,G185)</f>
        <v>58886</v>
      </c>
      <c r="H210" s="1664">
        <f>SUM(H184,H185,H196,H208,H209)</f>
        <v>0</v>
      </c>
      <c r="I210" s="1664">
        <f>SUM(I184,I185)</f>
        <v>4869</v>
      </c>
      <c r="J210" s="1664">
        <f>SUM(J184,J185)</f>
        <v>0</v>
      </c>
      <c r="K210" s="1662">
        <f>SUM(K184,K185,K196,K208,K209)</f>
        <v>633826</v>
      </c>
      <c r="L210" s="1664">
        <f>SUM(L184,L185,L196,L208,L209)</f>
        <v>687387</v>
      </c>
    </row>
    <row r="211" spans="1:14" ht="13.5" thickTop="1" x14ac:dyDescent="0.2">
      <c r="A211" s="2281" t="s">
        <v>988</v>
      </c>
      <c r="B211" s="2282"/>
      <c r="C211" s="1665"/>
      <c r="D211" s="1665"/>
      <c r="E211" s="1665"/>
      <c r="F211" s="1665"/>
      <c r="G211" s="1665"/>
      <c r="H211" s="1665"/>
      <c r="I211" s="1663"/>
      <c r="J211" s="1663"/>
      <c r="K211" s="1679">
        <f>'Revenues 9-14'!F268-'Expenditures 15-22'!K210</f>
        <v>-128207</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303" t="s">
        <v>958</v>
      </c>
      <c r="B213" s="2304"/>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40155</v>
      </c>
      <c r="E215" s="1663"/>
      <c r="F215" s="1663"/>
      <c r="G215" s="1663"/>
      <c r="H215" s="1663"/>
      <c r="I215" s="1663"/>
      <c r="J215" s="1663"/>
      <c r="K215" s="1662">
        <f>D215</f>
        <v>40155</v>
      </c>
      <c r="L215" s="1565">
        <v>42300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15194</v>
      </c>
      <c r="E217" s="1663"/>
      <c r="F217" s="1663"/>
      <c r="G217" s="1663"/>
      <c r="H217" s="1663"/>
      <c r="I217" s="1663"/>
      <c r="J217" s="1663"/>
      <c r="K217" s="1662">
        <f t="shared" si="19"/>
        <v>15194</v>
      </c>
      <c r="L217" s="1565">
        <v>17440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2718</v>
      </c>
      <c r="E219" s="1663"/>
      <c r="F219" s="1663"/>
      <c r="G219" s="1663"/>
      <c r="H219" s="1663"/>
      <c r="I219" s="1663"/>
      <c r="J219" s="1663"/>
      <c r="K219" s="1662">
        <f t="shared" si="19"/>
        <v>2718</v>
      </c>
      <c r="L219" s="1565">
        <v>5490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7617</v>
      </c>
      <c r="E222" s="1663"/>
      <c r="F222" s="1663"/>
      <c r="G222" s="1663"/>
      <c r="H222" s="1663"/>
      <c r="I222" s="1663"/>
      <c r="J222" s="1663"/>
      <c r="K222" s="1662">
        <f t="shared" si="19"/>
        <v>7617</v>
      </c>
      <c r="L222" s="1565">
        <v>8000</v>
      </c>
    </row>
    <row r="223" spans="1:14" x14ac:dyDescent="0.2">
      <c r="A223" s="1267" t="s">
        <v>956</v>
      </c>
      <c r="B223" s="503">
        <v>1500</v>
      </c>
      <c r="C223" s="1663"/>
      <c r="D223" s="1565">
        <v>16828</v>
      </c>
      <c r="E223" s="1663"/>
      <c r="F223" s="1663"/>
      <c r="G223" s="1663"/>
      <c r="H223" s="1663"/>
      <c r="I223" s="1663"/>
      <c r="J223" s="1663"/>
      <c r="K223" s="1662">
        <f t="shared" si="19"/>
        <v>16828</v>
      </c>
      <c r="L223" s="1565">
        <v>19290</v>
      </c>
    </row>
    <row r="224" spans="1:14" x14ac:dyDescent="0.2">
      <c r="A224" s="1267" t="s">
        <v>957</v>
      </c>
      <c r="B224" s="503">
        <v>1600</v>
      </c>
      <c r="C224" s="1663"/>
      <c r="D224" s="1565">
        <v>225</v>
      </c>
      <c r="E224" s="1663"/>
      <c r="F224" s="1663"/>
      <c r="G224" s="1663"/>
      <c r="H224" s="1663"/>
      <c r="I224" s="1663"/>
      <c r="J224" s="1663"/>
      <c r="K224" s="1662">
        <f t="shared" si="19"/>
        <v>225</v>
      </c>
      <c r="L224" s="1565">
        <v>500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1064</v>
      </c>
      <c r="E226" s="1663"/>
      <c r="F226" s="1663"/>
      <c r="G226" s="1663"/>
      <c r="H226" s="1663"/>
      <c r="I226" s="1663"/>
      <c r="J226" s="1663"/>
      <c r="K226" s="1662">
        <f t="shared" si="19"/>
        <v>1064</v>
      </c>
      <c r="L226" s="1565">
        <v>1870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83801</v>
      </c>
      <c r="E229" s="1663"/>
      <c r="F229" s="1663"/>
      <c r="G229" s="1663"/>
      <c r="H229" s="1663"/>
      <c r="I229" s="1663"/>
      <c r="J229" s="1663"/>
      <c r="K229" s="1664">
        <f>SUM(K215:K228)</f>
        <v>83801</v>
      </c>
      <c r="L229" s="1664">
        <f>SUM(L215:L228)</f>
        <v>94890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5893</v>
      </c>
      <c r="E232" s="1663"/>
      <c r="F232" s="1663"/>
      <c r="G232" s="1663"/>
      <c r="H232" s="1663"/>
      <c r="I232" s="1663"/>
      <c r="J232" s="1663"/>
      <c r="K232" s="1662">
        <f t="shared" ref="K232:K237" si="20">D232</f>
        <v>5893</v>
      </c>
      <c r="L232" s="1565">
        <v>6100</v>
      </c>
    </row>
    <row r="233" spans="1:12" x14ac:dyDescent="0.2">
      <c r="A233" s="1267" t="s">
        <v>1080</v>
      </c>
      <c r="B233" s="503">
        <v>2120</v>
      </c>
      <c r="C233" s="1663"/>
      <c r="D233" s="1565">
        <v>11068</v>
      </c>
      <c r="E233" s="1663"/>
      <c r="F233" s="1663"/>
      <c r="G233" s="1663"/>
      <c r="H233" s="1663"/>
      <c r="I233" s="1663"/>
      <c r="J233" s="1663"/>
      <c r="K233" s="1662">
        <f t="shared" si="20"/>
        <v>11068</v>
      </c>
      <c r="L233" s="1565">
        <v>11280</v>
      </c>
    </row>
    <row r="234" spans="1:12" x14ac:dyDescent="0.2">
      <c r="A234" s="1267" t="s">
        <v>196</v>
      </c>
      <c r="B234" s="503">
        <v>2130</v>
      </c>
      <c r="C234" s="1663"/>
      <c r="D234" s="1565">
        <v>853</v>
      </c>
      <c r="E234" s="1663"/>
      <c r="F234" s="1663"/>
      <c r="G234" s="1663"/>
      <c r="H234" s="1663"/>
      <c r="I234" s="1663"/>
      <c r="J234" s="1663"/>
      <c r="K234" s="1662">
        <f t="shared" si="20"/>
        <v>853</v>
      </c>
      <c r="L234" s="1565">
        <v>870</v>
      </c>
    </row>
    <row r="235" spans="1:12" x14ac:dyDescent="0.2">
      <c r="A235" s="1267" t="s">
        <v>197</v>
      </c>
      <c r="B235" s="503">
        <v>2140</v>
      </c>
      <c r="C235" s="1663"/>
      <c r="D235" s="1565">
        <v>1173</v>
      </c>
      <c r="E235" s="1663"/>
      <c r="F235" s="1663"/>
      <c r="G235" s="1663"/>
      <c r="H235" s="1663"/>
      <c r="I235" s="1663"/>
      <c r="J235" s="1663"/>
      <c r="K235" s="1662">
        <f t="shared" si="20"/>
        <v>1173</v>
      </c>
      <c r="L235" s="1565">
        <v>1200</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2872</v>
      </c>
      <c r="E237" s="1663"/>
      <c r="F237" s="1663"/>
      <c r="G237" s="1663"/>
      <c r="H237" s="1663"/>
      <c r="I237" s="1663"/>
      <c r="J237" s="1663"/>
      <c r="K237" s="1662">
        <f t="shared" si="20"/>
        <v>2872</v>
      </c>
      <c r="L237" s="1565">
        <v>2960</v>
      </c>
    </row>
    <row r="238" spans="1:12" ht="12.75" customHeight="1" thickBot="1" x14ac:dyDescent="0.25">
      <c r="A238" s="1373" t="s">
        <v>556</v>
      </c>
      <c r="B238" s="1376" t="s">
        <v>710</v>
      </c>
      <c r="C238" s="1663"/>
      <c r="D238" s="1664">
        <f>SUM(D232:D237)</f>
        <v>21859</v>
      </c>
      <c r="E238" s="1663"/>
      <c r="F238" s="1663"/>
      <c r="G238" s="1663"/>
      <c r="H238" s="1663"/>
      <c r="I238" s="1663"/>
      <c r="J238" s="1663"/>
      <c r="K238" s="1664">
        <f>SUM(K232:K237)</f>
        <v>21859</v>
      </c>
      <c r="L238" s="1664">
        <f>SUM(L232:L237)</f>
        <v>22410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200</v>
      </c>
      <c r="E240" s="1663"/>
      <c r="F240" s="1663"/>
      <c r="G240" s="1663"/>
      <c r="H240" s="1663"/>
      <c r="I240" s="1663"/>
      <c r="J240" s="1663"/>
      <c r="K240" s="1668">
        <f>D240</f>
        <v>200</v>
      </c>
      <c r="L240" s="1577">
        <v>520</v>
      </c>
    </row>
    <row r="241" spans="1:12" x14ac:dyDescent="0.2">
      <c r="A241" s="1267" t="s">
        <v>809</v>
      </c>
      <c r="B241" s="503">
        <v>2220</v>
      </c>
      <c r="C241" s="1663"/>
      <c r="D241" s="1565">
        <v>25982</v>
      </c>
      <c r="E241" s="1663"/>
      <c r="F241" s="1663"/>
      <c r="G241" s="1663"/>
      <c r="H241" s="1663"/>
      <c r="I241" s="1663"/>
      <c r="J241" s="1663"/>
      <c r="K241" s="1668">
        <f>D241</f>
        <v>25982</v>
      </c>
      <c r="L241" s="1565">
        <v>27180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26182</v>
      </c>
      <c r="E243" s="1663"/>
      <c r="F243" s="1663"/>
      <c r="G243" s="1663"/>
      <c r="H243" s="1663"/>
      <c r="I243" s="1663"/>
      <c r="J243" s="1663"/>
      <c r="K243" s="1664">
        <f>SUM(K240:K242)</f>
        <v>26182</v>
      </c>
      <c r="L243" s="1664">
        <f>SUM(L240:L242)</f>
        <v>27700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9758</v>
      </c>
      <c r="E245" s="1663"/>
      <c r="F245" s="1663"/>
      <c r="G245" s="1663"/>
      <c r="H245" s="1663"/>
      <c r="I245" s="1663"/>
      <c r="J245" s="1663"/>
      <c r="K245" s="1668">
        <f>D245</f>
        <v>9758</v>
      </c>
      <c r="L245" s="1577">
        <v>9670</v>
      </c>
    </row>
    <row r="246" spans="1:12" x14ac:dyDescent="0.2">
      <c r="A246" s="1267" t="s">
        <v>812</v>
      </c>
      <c r="B246" s="503">
        <v>2320</v>
      </c>
      <c r="C246" s="1663"/>
      <c r="D246" s="1565">
        <v>3366</v>
      </c>
      <c r="E246" s="1663"/>
      <c r="F246" s="1663"/>
      <c r="G246" s="1663"/>
      <c r="H246" s="1663"/>
      <c r="I246" s="1663"/>
      <c r="J246" s="1663"/>
      <c r="K246" s="1668">
        <f t="shared" ref="K246:K256" si="21">D246</f>
        <v>3366</v>
      </c>
      <c r="L246" s="1565">
        <v>3390</v>
      </c>
    </row>
    <row r="247" spans="1:12" x14ac:dyDescent="0.2">
      <c r="A247" s="1267" t="s">
        <v>813</v>
      </c>
      <c r="B247" s="503">
        <v>2330</v>
      </c>
      <c r="C247" s="1663"/>
      <c r="D247" s="1565">
        <v>1380</v>
      </c>
      <c r="E247" s="1663"/>
      <c r="F247" s="1663"/>
      <c r="G247" s="1663"/>
      <c r="H247" s="1663"/>
      <c r="I247" s="1663"/>
      <c r="J247" s="1663"/>
      <c r="K247" s="1668">
        <f t="shared" si="21"/>
        <v>1380</v>
      </c>
      <c r="L247" s="1565">
        <v>1400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14504</v>
      </c>
      <c r="E257" s="1663"/>
      <c r="F257" s="1663"/>
      <c r="G257" s="1663"/>
      <c r="H257" s="1663"/>
      <c r="I257" s="1663"/>
      <c r="J257" s="1663"/>
      <c r="K257" s="1664">
        <f>SUM(K245:K256)</f>
        <v>14504</v>
      </c>
      <c r="L257" s="1664">
        <f>SUM(L245:L256)</f>
        <v>14460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7866</v>
      </c>
      <c r="E259" s="1663"/>
      <c r="F259" s="1663"/>
      <c r="G259" s="1663"/>
      <c r="H259" s="1663"/>
      <c r="I259" s="1663"/>
      <c r="J259" s="1663"/>
      <c r="K259" s="1668">
        <f>D259</f>
        <v>7866</v>
      </c>
      <c r="L259" s="1577">
        <v>7950</v>
      </c>
    </row>
    <row r="260" spans="1:14" s="493" customFormat="1" x14ac:dyDescent="0.2">
      <c r="A260" s="1285" t="s">
        <v>1778</v>
      </c>
      <c r="B260" s="512">
        <v>2490</v>
      </c>
      <c r="C260" s="1663"/>
      <c r="D260" s="1565">
        <v>321</v>
      </c>
      <c r="E260" s="1663"/>
      <c r="F260" s="1663"/>
      <c r="G260" s="1663"/>
      <c r="H260" s="1663"/>
      <c r="I260" s="1663"/>
      <c r="J260" s="1663"/>
      <c r="K260" s="1668">
        <f>D260</f>
        <v>321</v>
      </c>
      <c r="L260" s="1565">
        <v>350</v>
      </c>
      <c r="M260" s="205"/>
      <c r="N260" s="205"/>
    </row>
    <row r="261" spans="1:14" ht="12.75" customHeight="1" thickBot="1" x14ac:dyDescent="0.25">
      <c r="A261" s="1387" t="s">
        <v>261</v>
      </c>
      <c r="B261" s="1392" t="s">
        <v>34</v>
      </c>
      <c r="C261" s="1663"/>
      <c r="D261" s="1664">
        <f>SUM(D259:D260)</f>
        <v>8187</v>
      </c>
      <c r="E261" s="1663"/>
      <c r="F261" s="1663"/>
      <c r="G261" s="1663"/>
      <c r="H261" s="1663"/>
      <c r="I261" s="1663"/>
      <c r="J261" s="1663"/>
      <c r="K261" s="1664">
        <f>SUM(K259:K260)</f>
        <v>8187</v>
      </c>
      <c r="L261" s="1664">
        <f>SUM(L259:L260)</f>
        <v>8300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1140</v>
      </c>
      <c r="E263" s="1663"/>
      <c r="F263" s="1663"/>
      <c r="G263" s="1663"/>
      <c r="H263" s="1663"/>
      <c r="I263" s="1663"/>
      <c r="J263" s="1663"/>
      <c r="K263" s="1668">
        <f>D263</f>
        <v>1140</v>
      </c>
      <c r="L263" s="1577">
        <v>1145</v>
      </c>
    </row>
    <row r="264" spans="1:14" x14ac:dyDescent="0.2">
      <c r="A264" s="1267" t="s">
        <v>460</v>
      </c>
      <c r="B264" s="559">
        <v>2520</v>
      </c>
      <c r="C264" s="1663"/>
      <c r="D264" s="1565">
        <v>21514</v>
      </c>
      <c r="E264" s="1663"/>
      <c r="F264" s="1663"/>
      <c r="G264" s="1663"/>
      <c r="H264" s="1663"/>
      <c r="I264" s="1663"/>
      <c r="J264" s="1663"/>
      <c r="K264" s="1668">
        <f t="shared" ref="K264:K269" si="22">D264</f>
        <v>21514</v>
      </c>
      <c r="L264" s="1565">
        <v>21325</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51050</v>
      </c>
      <c r="E266" s="1663"/>
      <c r="F266" s="1663"/>
      <c r="G266" s="1663"/>
      <c r="H266" s="1663"/>
      <c r="I266" s="1663"/>
      <c r="J266" s="1663"/>
      <c r="K266" s="1668">
        <f t="shared" si="22"/>
        <v>51050</v>
      </c>
      <c r="L266" s="1565">
        <v>54300</v>
      </c>
    </row>
    <row r="267" spans="1:14" x14ac:dyDescent="0.2">
      <c r="A267" s="1267" t="s">
        <v>946</v>
      </c>
      <c r="B267" s="503">
        <v>2550</v>
      </c>
      <c r="C267" s="1663"/>
      <c r="D267" s="1565">
        <v>49344</v>
      </c>
      <c r="E267" s="1663"/>
      <c r="F267" s="1663"/>
      <c r="G267" s="1663"/>
      <c r="H267" s="1663"/>
      <c r="I267" s="1663"/>
      <c r="J267" s="1663"/>
      <c r="K267" s="1668">
        <f t="shared" si="22"/>
        <v>49344</v>
      </c>
      <c r="L267" s="1565">
        <v>53650</v>
      </c>
    </row>
    <row r="268" spans="1:14" x14ac:dyDescent="0.2">
      <c r="A268" s="1267" t="s">
        <v>100</v>
      </c>
      <c r="B268" s="503">
        <v>2560</v>
      </c>
      <c r="C268" s="1663"/>
      <c r="D268" s="1565">
        <v>15426</v>
      </c>
      <c r="E268" s="1663"/>
      <c r="F268" s="1663"/>
      <c r="G268" s="1663"/>
      <c r="H268" s="1663"/>
      <c r="I268" s="1663"/>
      <c r="J268" s="1663"/>
      <c r="K268" s="1668">
        <f t="shared" si="22"/>
        <v>15426</v>
      </c>
      <c r="L268" s="1565">
        <v>16600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138474</v>
      </c>
      <c r="E270" s="1663"/>
      <c r="F270" s="1663"/>
      <c r="G270" s="1663"/>
      <c r="H270" s="1663"/>
      <c r="I270" s="1663"/>
      <c r="J270" s="1663"/>
      <c r="K270" s="1664">
        <f>SUM(K263:K269)</f>
        <v>138474</v>
      </c>
      <c r="L270" s="1664">
        <f>SUM(L263:L269)</f>
        <v>147020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209206</v>
      </c>
      <c r="E279" s="1663"/>
      <c r="F279" s="1663"/>
      <c r="G279" s="1663"/>
      <c r="H279" s="1663"/>
      <c r="I279" s="1663"/>
      <c r="J279" s="1663"/>
      <c r="K279" s="1671">
        <f>SUM(K238,K243,K257,K261,K270,K277,K278)</f>
        <v>209206</v>
      </c>
      <c r="L279" s="1671">
        <f>SUM(L238,L243,L257,L261,L270,L277,L278)</f>
        <v>219890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99" t="s">
        <v>502</v>
      </c>
      <c r="B295" s="2300"/>
      <c r="C295" s="1663"/>
      <c r="D295" s="1664">
        <f>SUM(D229,D279,D280,D285)</f>
        <v>293007</v>
      </c>
      <c r="E295" s="1663"/>
      <c r="F295" s="1663"/>
      <c r="G295" s="1663"/>
      <c r="H295" s="1664">
        <f>H293</f>
        <v>0</v>
      </c>
      <c r="I295" s="1663"/>
      <c r="J295" s="1663"/>
      <c r="K295" s="1664">
        <f>SUM(K229,K279,K280,K285,K293,K294)</f>
        <v>293007</v>
      </c>
      <c r="L295" s="1664">
        <f>SUM(L229,L279,L280,L285,L293,L294)</f>
        <v>314780</v>
      </c>
    </row>
    <row r="296" spans="1:14" ht="13.5" thickTop="1" x14ac:dyDescent="0.2">
      <c r="A296" s="2281" t="s">
        <v>988</v>
      </c>
      <c r="B296" s="2282"/>
      <c r="C296" s="1663"/>
      <c r="D296" s="1665"/>
      <c r="E296" s="1663"/>
      <c r="F296" s="1663"/>
      <c r="G296" s="1663"/>
      <c r="H296" s="1697"/>
      <c r="I296" s="1663"/>
      <c r="J296" s="1663"/>
      <c r="K296" s="1679">
        <f>'Revenues 9-14'!G268-'Expenditures 15-22'!K295</f>
        <v>21425</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91" t="s">
        <v>142</v>
      </c>
      <c r="B298" s="2285"/>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0</v>
      </c>
      <c r="H301" s="1565">
        <v>0</v>
      </c>
      <c r="I301" s="1566">
        <v>0</v>
      </c>
      <c r="J301" s="1566">
        <v>0</v>
      </c>
      <c r="K301" s="1662">
        <f>SUM(C301:J301)</f>
        <v>0</v>
      </c>
      <c r="L301" s="1566">
        <v>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96" t="s">
        <v>275</v>
      </c>
      <c r="B312" s="2297"/>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9"/>
      <c r="N312" s="539"/>
    </row>
    <row r="313" spans="1:14" ht="13.5" thickTop="1" x14ac:dyDescent="0.2">
      <c r="A313" s="2292" t="s">
        <v>988</v>
      </c>
      <c r="B313" s="2293"/>
      <c r="C313" s="1667"/>
      <c r="D313" s="1667"/>
      <c r="E313" s="1667"/>
      <c r="F313" s="1667"/>
      <c r="G313" s="1667"/>
      <c r="H313" s="1667"/>
      <c r="I313" s="1667"/>
      <c r="J313" s="1667"/>
      <c r="K313" s="1686">
        <f>'Revenues 9-14'!H268-'Expenditures 15-22'!K312</f>
        <v>3216</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305" t="s">
        <v>148</v>
      </c>
      <c r="B315" s="2306"/>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307" t="s">
        <v>891</v>
      </c>
      <c r="B317" s="2306"/>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103217</v>
      </c>
      <c r="F322" s="1566">
        <v>0</v>
      </c>
      <c r="G322" s="1566">
        <v>0</v>
      </c>
      <c r="H322" s="1566">
        <v>0</v>
      </c>
      <c r="I322" s="1566">
        <v>0</v>
      </c>
      <c r="J322" s="1566">
        <v>0</v>
      </c>
      <c r="K322" s="1662">
        <f t="shared" si="24"/>
        <v>103217</v>
      </c>
      <c r="L322" s="1566">
        <v>104000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103217</v>
      </c>
      <c r="F330" s="1664">
        <f t="shared" si="25"/>
        <v>0</v>
      </c>
      <c r="G330" s="1664">
        <f t="shared" si="25"/>
        <v>0</v>
      </c>
      <c r="H330" s="1664">
        <f t="shared" si="25"/>
        <v>0</v>
      </c>
      <c r="I330" s="1664">
        <f t="shared" si="25"/>
        <v>0</v>
      </c>
      <c r="J330" s="1664">
        <f t="shared" si="25"/>
        <v>0</v>
      </c>
      <c r="K330" s="1664">
        <f>SUM(K319:K329)</f>
        <v>103217</v>
      </c>
      <c r="L330" s="1664">
        <f>SUM(L319:L329)</f>
        <v>104000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103217</v>
      </c>
      <c r="F342" s="1664">
        <f>SUM(F330)</f>
        <v>0</v>
      </c>
      <c r="G342" s="1664">
        <f>SUM(G330)</f>
        <v>0</v>
      </c>
      <c r="H342" s="1664">
        <f>SUM(H330,H334,H340)</f>
        <v>0</v>
      </c>
      <c r="I342" s="1664">
        <f>SUM(I330)</f>
        <v>0</v>
      </c>
      <c r="J342" s="1664">
        <f>SUM(J330)</f>
        <v>0</v>
      </c>
      <c r="K342" s="1664">
        <f>SUM(K330,K334,K340)</f>
        <v>103217</v>
      </c>
      <c r="L342" s="1671">
        <f>SUM(L330,L334,L340,L341)</f>
        <v>104000</v>
      </c>
    </row>
    <row r="343" spans="1:14" ht="12.75" customHeight="1" thickTop="1" x14ac:dyDescent="0.2">
      <c r="A343" s="2294" t="s">
        <v>988</v>
      </c>
      <c r="B343" s="2295"/>
      <c r="C343" s="1663"/>
      <c r="D343" s="1663"/>
      <c r="E343" s="1663"/>
      <c r="F343" s="1663"/>
      <c r="G343" s="1663"/>
      <c r="H343" s="1663"/>
      <c r="I343" s="1663"/>
      <c r="J343" s="1663"/>
      <c r="K343" s="1679">
        <f>'Revenues 9-14'!J268-'Expenditures 15-22'!K342</f>
        <v>-23431</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84" t="s">
        <v>959</v>
      </c>
      <c r="B345" s="2285"/>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81" t="s">
        <v>988</v>
      </c>
      <c r="B368" s="2282"/>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terms/"/>
    <ds:schemaRef ds:uri="http://www.w3.org/XML/1998/namespace"/>
    <ds:schemaRef ds:uri="http://schemas.microsoft.com/sharepoint/v3"/>
    <ds:schemaRef ds:uri="4d435f69-8686-490b-bd6d-b153bf22ab50"/>
    <ds:schemaRef ds:uri="http://purl.org/dc/dcmitype/"/>
    <ds:schemaRef ds:uri="http://schemas.microsoft.com/office/2006/metadata/properties"/>
    <ds:schemaRef ds:uri="http://schemas.microsoft.com/office/infopath/2007/PartnerControls"/>
    <ds:schemaRef ds:uri="http://schemas.openxmlformats.org/package/2006/metadata/core-propertie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2020-09-18T20:50:40Z</cp:lastPrinted>
  <dcterms:created xsi:type="dcterms:W3CDTF">2003-10-29T19:06:34Z</dcterms:created>
  <dcterms:modified xsi:type="dcterms:W3CDTF">2020-09-23T14:45:51Z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1050.25a</vt:lpwstr>
  </property>
</Properties>
</file>