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A1C8326-87C8-45FF-802F-12B18166DF6A}" xr6:coauthVersionLast="36" xr6:coauthVersionMax="36" xr10:uidLastSave="{00000000-0000-0000-0000-000000000000}"/>
  <bookViews>
    <workbookView xWindow="-105" yWindow="-105" windowWidth="23250" windowHeight="12570" tabRatio="88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SEFA'!$B$1:$M$76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82" i="29" l="1"/>
  <c r="D182" i="29"/>
  <c r="C182" i="29"/>
  <c r="C32" i="3"/>
  <c r="C4" i="3" l="1"/>
  <c r="C84" i="5" l="1"/>
  <c r="C20" i="5"/>
  <c r="D38" i="3" l="1"/>
  <c r="D32" i="3"/>
  <c r="C33" i="173"/>
  <c r="K52" i="179"/>
  <c r="J52" i="179"/>
  <c r="I52" i="179"/>
  <c r="H52" i="179"/>
  <c r="G51" i="179"/>
  <c r="G52" i="179" s="1"/>
  <c r="F52" i="179"/>
  <c r="E52" i="179"/>
  <c r="K48" i="179"/>
  <c r="J48" i="179"/>
  <c r="I48" i="179"/>
  <c r="I53" i="179" s="1"/>
  <c r="H48" i="179"/>
  <c r="F48" i="179"/>
  <c r="E48" i="179"/>
  <c r="G47" i="179"/>
  <c r="L47" i="179" s="1"/>
  <c r="G46" i="179"/>
  <c r="L46" i="179" s="1"/>
  <c r="G45" i="179"/>
  <c r="L45" i="179" s="1"/>
  <c r="G44" i="179"/>
  <c r="L44" i="179" s="1"/>
  <c r="G43" i="179"/>
  <c r="L43" i="179" s="1"/>
  <c r="G42" i="179"/>
  <c r="L42" i="179" s="1"/>
  <c r="G41" i="179"/>
  <c r="L41" i="179" s="1"/>
  <c r="G40" i="179"/>
  <c r="L40" i="179" s="1"/>
  <c r="G39" i="179"/>
  <c r="L39" i="179" s="1"/>
  <c r="G38" i="179"/>
  <c r="L38" i="179" s="1"/>
  <c r="G37" i="179"/>
  <c r="L37" i="179" s="1"/>
  <c r="K31" i="179"/>
  <c r="K32" i="179" s="1"/>
  <c r="J31" i="179"/>
  <c r="J32" i="179" s="1"/>
  <c r="I31" i="179"/>
  <c r="I32" i="179" s="1"/>
  <c r="G38" i="174" s="1"/>
  <c r="H31" i="179"/>
  <c r="H32" i="179" s="1"/>
  <c r="F31" i="179"/>
  <c r="F32" i="179" s="1"/>
  <c r="E31" i="179"/>
  <c r="E32" i="179" s="1"/>
  <c r="G30" i="179"/>
  <c r="G29" i="179"/>
  <c r="G28" i="179"/>
  <c r="L28" i="179" s="1"/>
  <c r="G27" i="179"/>
  <c r="G31" i="179" s="1"/>
  <c r="G32" i="179" s="1"/>
  <c r="K21" i="179"/>
  <c r="K22" i="179" s="1"/>
  <c r="J21" i="179"/>
  <c r="J22" i="179" s="1"/>
  <c r="I21" i="179"/>
  <c r="I22" i="179" s="1"/>
  <c r="H21" i="179"/>
  <c r="H22" i="179" s="1"/>
  <c r="G20" i="179"/>
  <c r="G19" i="179"/>
  <c r="G18" i="179"/>
  <c r="L18" i="179" s="1"/>
  <c r="G17" i="179"/>
  <c r="G16" i="179"/>
  <c r="G15" i="179"/>
  <c r="L15" i="179" s="1"/>
  <c r="G14" i="179"/>
  <c r="F21" i="179"/>
  <c r="F22" i="179" s="1"/>
  <c r="E21" i="179"/>
  <c r="E22" i="179" s="1"/>
  <c r="H5" i="12"/>
  <c r="H14" i="12" s="1"/>
  <c r="H53" i="179" l="1"/>
  <c r="F53" i="179"/>
  <c r="J53" i="179"/>
  <c r="J55" i="179" s="1"/>
  <c r="F55" i="179"/>
  <c r="D35" i="171" s="1"/>
  <c r="L48" i="179"/>
  <c r="E53" i="179"/>
  <c r="L51" i="179"/>
  <c r="L52" i="179" s="1"/>
  <c r="G21" i="179"/>
  <c r="G22" i="179" s="1"/>
  <c r="K53" i="179"/>
  <c r="K55" i="179" s="1"/>
  <c r="E55" i="179"/>
  <c r="H55" i="179"/>
  <c r="I55" i="179"/>
  <c r="D45" i="174" s="1"/>
  <c r="G48" i="179"/>
  <c r="G53" i="179" s="1"/>
  <c r="G55" i="179" l="1"/>
  <c r="L53" i="179"/>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57" i="179" l="1"/>
  <c r="L30" i="179"/>
  <c r="L29" i="179"/>
  <c r="L27" i="179"/>
  <c r="L31" i="179" s="1"/>
  <c r="L32" i="179" s="1"/>
  <c r="L22" i="179"/>
  <c r="L20" i="179"/>
  <c r="L19" i="179"/>
  <c r="L17" i="179"/>
  <c r="L16" i="179"/>
  <c r="L14" i="179"/>
  <c r="L21" i="179" l="1"/>
  <c r="L55" i="179"/>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K12" i="1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J34" i="8" s="1"/>
  <c r="I35" i="8"/>
  <c r="J35" i="8" s="1"/>
  <c r="I36" i="8"/>
  <c r="J36" i="8" s="1"/>
  <c r="I37" i="8"/>
  <c r="J37"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L22" i="37"/>
  <c r="H28" i="118" l="1"/>
  <c r="B6289" i="106"/>
  <c r="D6289" i="106" s="1"/>
  <c r="B7078" i="106"/>
  <c r="D7078" i="106" s="1"/>
  <c r="F64" i="34"/>
  <c r="D36" i="108"/>
  <c r="B1274" i="106"/>
  <c r="D1274" i="106" s="1"/>
  <c r="F36" i="108"/>
  <c r="G26" i="108"/>
  <c r="H15" i="184"/>
  <c r="J49" i="8"/>
  <c r="B4172" i="106" s="1"/>
  <c r="D4172" i="106" s="1"/>
  <c r="F50" i="34"/>
  <c r="C342" i="29"/>
  <c r="B7216" i="106" s="1"/>
  <c r="D7216" i="106" s="1"/>
  <c r="J129" i="29"/>
  <c r="B7038" i="106" s="1"/>
  <c r="D7038" i="106" s="1"/>
  <c r="C129" i="29"/>
  <c r="C151" i="29" s="1"/>
  <c r="B1226" i="106" s="1"/>
  <c r="D1226" i="106" s="1"/>
  <c r="F70" i="34"/>
  <c r="H76" i="4"/>
  <c r="B3298" i="106" s="1"/>
  <c r="D3298" i="106" s="1"/>
  <c r="G30" i="108"/>
  <c r="F72" i="34"/>
  <c r="F71" i="34"/>
  <c r="G14" i="4"/>
  <c r="B2609" i="106" s="1"/>
  <c r="D2609" i="106" s="1"/>
  <c r="H342" i="29"/>
  <c r="C352" i="29"/>
  <c r="B3621" i="106" s="1"/>
  <c r="D3621" i="106" s="1"/>
  <c r="J210" i="29"/>
  <c r="B7072" i="106" s="1"/>
  <c r="D7072" i="106" s="1"/>
  <c r="I210" i="29"/>
  <c r="B7071" i="106" s="1"/>
  <c r="D7071" i="106" s="1"/>
  <c r="H365" i="29"/>
  <c r="B7242" i="106" s="1"/>
  <c r="D7242" i="106" s="1"/>
  <c r="B2053" i="106"/>
  <c r="D2053" i="106" s="1"/>
  <c r="M19" i="3"/>
  <c r="B276" i="106" s="1"/>
  <c r="D276" i="106" s="1"/>
  <c r="B7162" i="106"/>
  <c r="D7162" i="106" s="1"/>
  <c r="E61" i="184"/>
  <c r="N61" i="184" s="1"/>
  <c r="D24" i="37"/>
  <c r="B4270" i="106" s="1"/>
  <c r="D4270" i="106" s="1"/>
  <c r="F36" i="34"/>
  <c r="B7828" i="106" s="1"/>
  <c r="D7828" i="106" s="1"/>
  <c r="B7153" i="106"/>
  <c r="D7153" i="106" s="1"/>
  <c r="E60" i="184"/>
  <c r="N60" i="184" s="1"/>
  <c r="B2052" i="106"/>
  <c r="D2052" i="106" s="1"/>
  <c r="M18" i="3"/>
  <c r="B275" i="106" s="1"/>
  <c r="D275" i="106" s="1"/>
  <c r="D31" i="108"/>
  <c r="E16" i="184"/>
  <c r="H16" i="184" s="1"/>
  <c r="G33" i="108"/>
  <c r="E17" i="184"/>
  <c r="H17" i="184" s="1"/>
  <c r="B7696" i="106"/>
  <c r="D7696" i="106" s="1"/>
  <c r="E66" i="184"/>
  <c r="N66" i="184" s="1"/>
  <c r="B7135" i="106"/>
  <c r="D7135" i="106" s="1"/>
  <c r="E58" i="184"/>
  <c r="N58" i="184" s="1"/>
  <c r="I129" i="29"/>
  <c r="B7037" i="106" s="1"/>
  <c r="D7037" i="106" s="1"/>
  <c r="B7171" i="106"/>
  <c r="D7171" i="106" s="1"/>
  <c r="E62" i="184"/>
  <c r="N62" i="184" s="1"/>
  <c r="B2895" i="106"/>
  <c r="D2895" i="106" s="1"/>
  <c r="L33" i="3"/>
  <c r="B7705" i="106"/>
  <c r="D7705" i="106" s="1"/>
  <c r="E67" i="184"/>
  <c r="N67" i="184" s="1"/>
  <c r="D69" i="36"/>
  <c r="B7189" i="106"/>
  <c r="D7189" i="106" s="1"/>
  <c r="E64" i="184"/>
  <c r="N64" i="184" s="1"/>
  <c r="F77" i="4"/>
  <c r="B3255" i="106" s="1"/>
  <c r="D3255" i="106" s="1"/>
  <c r="H12" i="184"/>
  <c r="H33" i="118"/>
  <c r="B7198" i="106"/>
  <c r="D7198" i="106" s="1"/>
  <c r="E65" i="184"/>
  <c r="N65" i="184" s="1"/>
  <c r="B7126" i="106"/>
  <c r="D7126" i="106" s="1"/>
  <c r="E57" i="184"/>
  <c r="F37" i="34"/>
  <c r="B7829" i="106" s="1"/>
  <c r="D7829" i="106" s="1"/>
  <c r="F34" i="34"/>
  <c r="B7826" i="106" s="1"/>
  <c r="D7826" i="106" s="1"/>
  <c r="B7180" i="106"/>
  <c r="D7180" i="106" s="1"/>
  <c r="E63" i="184"/>
  <c r="N63" i="184" s="1"/>
  <c r="D68" i="3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L16" i="11"/>
  <c r="B2061" i="106" s="1"/>
  <c r="D2061"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225" i="106" l="1"/>
  <c r="D1225" i="106" s="1"/>
  <c r="H77" i="4"/>
  <c r="B3299" i="106" s="1"/>
  <c r="D3299" i="106" s="1"/>
  <c r="B5527" i="106"/>
  <c r="D5527" i="106" s="1"/>
  <c r="I7" i="4"/>
  <c r="B4444" i="106" s="1"/>
  <c r="D4444" i="106" s="1"/>
  <c r="C367" i="29"/>
  <c r="B3622" i="106" s="1"/>
  <c r="D3622" i="106" s="1"/>
  <c r="B1266" i="106"/>
  <c r="D1266" i="106" s="1"/>
  <c r="H19" i="184"/>
  <c r="L20" i="184" s="1"/>
  <c r="B1328" i="106"/>
  <c r="D1328" i="106" s="1"/>
  <c r="B7215" i="106"/>
  <c r="D7215" i="106" s="1"/>
  <c r="L114" i="29"/>
  <c r="B1381" i="106"/>
  <c r="D1381" i="106" s="1"/>
  <c r="I151" i="29"/>
  <c r="F59" i="34" s="1"/>
  <c r="F66" i="34"/>
  <c r="K365" i="29"/>
  <c r="K16" i="4" s="1"/>
  <c r="G170" i="5"/>
  <c r="B5778" i="106" s="1"/>
  <c r="D5778" i="106" s="1"/>
  <c r="K77" i="4"/>
  <c r="B3587" i="106" s="1"/>
  <c r="D3587" i="106" s="1"/>
  <c r="D44" i="36"/>
  <c r="B7220" i="106"/>
  <c r="D7220" i="106" s="1"/>
  <c r="F75" i="34"/>
  <c r="B7886" i="106" s="1"/>
  <c r="D7886" i="106" s="1"/>
  <c r="E19" i="184"/>
  <c r="B2914" i="106"/>
  <c r="D2914" i="106" s="1"/>
  <c r="L34" i="3"/>
  <c r="B3459" i="106"/>
  <c r="D3459" i="106" s="1"/>
  <c r="M20" i="3"/>
  <c r="B2864" i="106" s="1"/>
  <c r="D2864" i="106" s="1"/>
  <c r="F41" i="108"/>
  <c r="G43" i="108" s="1"/>
  <c r="N57" i="184"/>
  <c r="N68" i="184" s="1"/>
  <c r="E68" i="184"/>
  <c r="B7222" i="106"/>
  <c r="D7222" i="106" s="1"/>
  <c r="F76" i="34"/>
  <c r="B7887" i="106" s="1"/>
  <c r="D7887" i="106" s="1"/>
  <c r="B2057" i="106"/>
  <c r="D2057" i="106" s="1"/>
  <c r="M17" i="3"/>
  <c r="B274" i="106" s="1"/>
  <c r="D274" i="106" s="1"/>
  <c r="E367" i="29"/>
  <c r="B3636" i="106" s="1"/>
  <c r="D3636" i="106" s="1"/>
  <c r="B3635" i="106"/>
  <c r="D3635" i="106" s="1"/>
  <c r="K342" i="29"/>
  <c r="F13" i="34" s="1"/>
  <c r="B7235" i="106"/>
  <c r="D7235" i="106" s="1"/>
  <c r="B2056" i="106"/>
  <c r="D2056" i="106" s="1"/>
  <c r="M16" i="3"/>
  <c r="B6216" i="106"/>
  <c r="D6216" i="106" s="1"/>
  <c r="N23" i="3"/>
  <c r="B284" i="106" s="1"/>
  <c r="D284"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K367" i="29"/>
  <c r="B3678" i="106" s="1"/>
  <c r="D3678" i="106" s="1"/>
  <c r="B7224" i="106"/>
  <c r="D7224" i="106" s="1"/>
  <c r="B7051" i="106"/>
  <c r="D7051" i="106" s="1"/>
  <c r="G6" i="4"/>
  <c r="B2604" i="106" s="1"/>
  <c r="D2604" i="106" s="1"/>
  <c r="B1145" i="106"/>
  <c r="D1145" i="106" s="1"/>
  <c r="B2916" i="106"/>
  <c r="D2916" i="106" s="1"/>
  <c r="L41" i="3"/>
  <c r="M23" i="3"/>
  <c r="B273" i="106"/>
  <c r="D273"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20" i="4"/>
  <c r="B6230" i="106" s="1"/>
  <c r="D6230" i="106" s="1"/>
  <c r="B6227" i="106"/>
  <c r="D6227" i="106" s="1"/>
  <c r="F8" i="4"/>
  <c r="B2595" i="106" s="1"/>
  <c r="D2595" i="106" s="1"/>
  <c r="B279" i="106"/>
  <c r="D279" i="106" s="1"/>
  <c r="M40" i="3"/>
  <c r="B6223" i="106"/>
  <c r="D6223" i="106" s="1"/>
  <c r="B2917" i="106"/>
  <c r="D2917" i="106" s="1"/>
  <c r="D53" i="36"/>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K20" i="4" l="1"/>
  <c r="K78" i="4" s="1"/>
  <c r="K19" i="4"/>
  <c r="B4144" i="106" s="1"/>
  <c r="D4144" i="106" s="1"/>
  <c r="B280" i="106"/>
  <c r="D280" i="106" s="1"/>
  <c r="M41" i="3"/>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D78" i="4"/>
  <c r="B3239" i="106" s="1"/>
  <c r="D3239" i="106" s="1"/>
  <c r="B281" i="106"/>
  <c r="D281" i="106" s="1"/>
  <c r="D54" i="3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B1644" i="106"/>
  <c r="D1644" i="106" s="1"/>
  <c r="C11" i="14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<sst xmlns="http://schemas.openxmlformats.org/spreadsheetml/2006/main" count="5381" uniqueCount="2181">
  <si>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</si>
  <si>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</si>
  <si>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</si>
  <si>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</si>
  <si>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</si>
  <si>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</si>
  <si>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</si>
  <si>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</si>
  <si>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</si>
  <si>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</si>
  <si>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</si>
  <si>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</si>
  <si>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</si>
  <si>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</si>
  <si>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</si>
  <si>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</si>
  <si>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</si>
  <si>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</si>
  <si>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</si>
  <si>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</si>
  <si>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</si>
  <si>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</si>
  <si>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</si>
  <si>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</si>
  <si>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</si>
  <si>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</si>
  <si>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</si>
  <si>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</si>
  <si>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</si>
  <si>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</si>
  <si>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</si>
  <si>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</si>
  <si>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</si>
  <si>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</si>
  <si>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</si>
  <si>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</si>
  <si>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</si>
  <si>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</si>
  <si>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</si>
  <si>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</si>
  <si>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</si>
  <si>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</si>
  <si>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</si>
  <si>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</si>
  <si>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</si>
  <si>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</si>
  <si>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</si>
  <si>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</si>
  <si>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</si>
  <si>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</si>
  <si>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</si>
  <si>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</si>
  <si>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</si>
  <si>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</si>
  <si>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</si>
  <si>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</si>
  <si>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</si>
  <si>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</si>
  <si>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</si>
  <si>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</si>
  <si>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</si>
  <si>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</si>
  <si>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</si>
  <si>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</si>
  <si>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</si>
  <si>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</si>
  <si>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</si>
  <si>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</si>
  <si>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</si>
  <si>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</si>
  <si>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</si>
  <si>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</si>
  <si>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</si>
  <si>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</si>
  <si>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</si>
  <si>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</si>
  <si>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</si>
  <si>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</si>
  <si>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</si>
  <si>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</si>
  <si>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</si>
  <si>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</si>
  <si>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</si>
  <si>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</si>
  <si>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</si>
  <si>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</si>
  <si>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</si>
  <si>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</si>
  <si>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</si>
  <si>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</si>
  <si>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</si>
  <si>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</si>
  <si>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</si>
  <si>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</si>
  <si>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</si>
  <si>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</si>
  <si>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</si>
  <si>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</si>
  <si>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</si>
  <si>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</si>
  <si>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</si>
  <si>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</si>
  <si>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</si>
  <si>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</si>
  <si>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</si>
  <si>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</si>
  <si>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</si>
  <si>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</si>
  <si>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</si>
  <si>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</si>
  <si>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</si>
  <si>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</si>
  <si>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</si>
  <si>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</si>
  <si>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</si>
  <si>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</si>
  <si>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</si>
  <si>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</si>
  <si>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</si>
  <si>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</si>
  <si>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</si>
  <si>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</si>
  <si>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</si>
  <si>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</si>
  <si>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</si>
  <si>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</si>
  <si>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</si>
  <si>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</si>
  <si>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</si>
  <si>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</si>
  <si>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</si>
  <si>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</si>
  <si>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</si>
  <si>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</si>
  <si>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</si>
  <si>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</si>
  <si>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</si>
  <si>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</si>
  <si>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</si>
  <si>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</si>
  <si>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</si>
  <si>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</si>
  <si>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</si>
  <si>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</si>
  <si>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</si>
  <si>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</si>
  <si>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</si>
  <si>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</si>
  <si>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</si>
  <si>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</si>
  <si>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</si>
  <si>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</si>
  <si>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</si>
  <si>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</si>
  <si>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</si>
  <si>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</si>
  <si>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</si>
  <si>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</si>
  <si>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</si>
  <si>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</si>
  <si>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</si>
  <si>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</si>
  <si>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</si>
  <si>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</si>
  <si>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</si>
  <si>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</si>
  <si>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</si>
  <si>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</si>
  <si>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</si>
  <si>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</si>
  <si>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</si>
  <si>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</si>
  <si>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</si>
  <si>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</si>
  <si>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</si>
  <si>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</si>
  <si>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</si>
  <si>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</si>
  <si>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</si>
  <si>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</si>
  <si>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</si>
  <si>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</si>
  <si>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</si>
  <si>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</si>
  <si>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</si>
  <si>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</si>
  <si>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</si>
  <si>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</si>
  <si>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</si>
  <si>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</si>
  <si>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</si>
  <si>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</si>
  <si>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</si>
  <si>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</si>
  <si>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</si>
  <si>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</si>
  <si>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</si>
  <si>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</si>
  <si>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</si>
  <si>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</si>
  <si>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</si>
  <si>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</si>
  <si>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</si>
  <si>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</si>
  <si>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</si>
  <si>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</si>
  <si>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</si>
  <si>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</si>
  <si>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</si>
  <si>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</si>
  <si>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</si>
  <si>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</si>
  <si>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</si>
  <si>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</si>
  <si>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</si>
  <si>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</si>
  <si>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</si>
  <si>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</si>
  <si>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</si>
  <si>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</si>
  <si>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</si>
  <si>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</si>
  <si>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</si>
  <si>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</si>
  <si>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</si>
  <si>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</si>
  <si>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</si>
  <si>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</si>
  <si>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</si>
  <si>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</si>
  <si>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</si>
  <si>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</si>
  <si>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</si>
  <si>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</si>
  <si>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</si>
  <si>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</si>
  <si>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</si>
  <si>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</si>
  <si>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</si>
  <si>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</si>
  <si>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</si>
  <si>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</si>
  <si>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</si>
  <si>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</si>
  <si>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</si>
  <si>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</si>
  <si>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</si>
  <si>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</si>
  <si>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</si>
  <si>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</si>
  <si>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</si>
  <si>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</si>
  <si>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</si>
  <si>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</si>
  <si>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</si>
  <si>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</si>
  <si>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</si>
  <si>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</si>
  <si>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</si>
  <si>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</si>
  <si>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</si>
  <si>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</si>
  <si>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</si>
  <si>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</si>
  <si>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</si>
  <si>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</si>
  <si>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</si>
  <si>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</si>
  <si>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</si>
  <si>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</si>
  <si>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</si>
  <si>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</si>
  <si>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</si>
  <si>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</si>
  <si>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</si>
  <si>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</si>
  <si>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</si>
  <si>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</si>
  <si>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</si>
  <si>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</si>
  <si>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</si>
  <si>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</si>
  <si>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</si>
  <si>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</si>
  <si>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</si>
  <si>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</si>
  <si>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</si>
  <si>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</si>
  <si>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</si>
  <si>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</si>
  <si>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</si>
  <si>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</si>
  <si>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</si>
  <si>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</si>
  <si>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</si>
  <si>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</si>
  <si>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</si>
  <si>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</si>
  <si>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</si>
  <si>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</si>
  <si>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</si>
  <si>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</si>
  <si>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</si>
  <si>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</si>
  <si>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</si>
  <si>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</si>
  <si>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</si>
  <si>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</si>
  <si>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</si>
  <si>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</si>
  <si>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</si>
  <si>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</si>
  <si>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</si>
  <si>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</si>
  <si>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</si>
  <si>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</si>
  <si>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</si>
  <si>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</si>
  <si>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</si>
  <si>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</si>
  <si>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</si>
  <si>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</si>
  <si>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</si>
  <si>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</si>
  <si>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</si>
  <si>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</si>
  <si>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</si>
  <si>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</si>
  <si>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</si>
  <si>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</si>
  <si>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</si>
  <si>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</si>
  <si>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</si>
  <si>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</si>
  <si>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</si>
  <si>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</si>
  <si>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</si>
  <si>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</si>
  <si>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</si>
  <si>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</si>
  <si>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</si>
  <si>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</si>
  <si>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</si>
  <si>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</si>
  <si>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</si>
  <si>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</si>
  <si>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</si>
  <si>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</si>
  <si>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</si>
  <si>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</si>
  <si>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</si>
  <si>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</si>
  <si>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</si>
  <si>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</si>
  <si>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</si>
  <si>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</si>
  <si>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</si>
  <si>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</si>
  <si>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</si>
  <si>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</si>
  <si>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</si>
  <si>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</si>
  <si>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</si>
  <si>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</si>
  <si>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</si>
  <si>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</si>
  <si>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</si>
  <si>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</si>
  <si>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</si>
  <si>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</si>
  <si>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</si>
  <si>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</si>
  <si>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</si>
  <si>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</si>
  <si>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</si>
  <si>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</si>
  <si>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</si>
  <si>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</si>
  <si>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</si>
  <si>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</si>
  <si>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</si>
  <si>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</si>
  <si>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</si>
  <si>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</si>
  <si>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</si>
  <si>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</si>
  <si>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</si>
  <si>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</si>
  <si>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</si>
  <si>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</si>
  <si>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</si>
  <si>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</si>
  <si>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</si>
  <si>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</si>
  <si>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</si>
  <si>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</si>
  <si>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</si>
  <si>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</si>
  <si>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</si>
  <si>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</si>
  <si>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</si>
  <si>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</si>
  <si>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</si>
  <si>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</si>
  <si>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</si>
  <si>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</si>
  <si>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</si>
  <si>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</si>
  <si>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</si>
  <si>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</si>
  <si>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</si>
  <si>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</si>
  <si>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</si>
  <si>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</si>
  <si>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</si>
  <si>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</si>
  <si>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</si>
  <si>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</si>
  <si>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</si>
  <si>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</si>
  <si>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</si>
  <si>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</si>
  <si>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</si>
  <si>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</si>
  <si>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</si>
  <si>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</si>
  <si>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</si>
  <si>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</si>
  <si>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</si>
  <si>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</si>
  <si>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</si>
  <si>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</si>
  <si>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</si>
  <si>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</si>
  <si>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</si>
  <si>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</si>
  <si>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</si>
  <si>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</si>
  <si>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</si>
  <si>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</si>
  <si>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</si>
  <si>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</si>
  <si>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</si>
  <si>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</si>
  <si>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</si>
  <si>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</si>
  <si>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</si>
  <si>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</si>
  <si>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</si>
  <si>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</si>
  <si>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</si>
  <si>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</si>
  <si>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</si>
  <si>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</si>
  <si>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</si>
  <si>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</si>
  <si>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</si>
  <si>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</si>
  <si>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</si>
  <si>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</si>
  <si>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</si>
  <si>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</si>
  <si>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</si>
  <si>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</si>
  <si>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</si>
  <si>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</si>
  <si>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</si>
  <si>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</si>
  <si>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</si>
  <si>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</si>
  <si>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</si>
  <si>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</si>
  <si>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</si>
  <si>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</si>
  <si>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</si>
  <si>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</si>
  <si>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</si>
  <si>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</si>
  <si>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</si>
  <si>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</si>
  <si>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</si>
  <si>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</si>
  <si>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</si>
  <si>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</si>
  <si>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</si>
  <si>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</si>
  <si>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</si>
  <si>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</si>
  <si>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</si>
  <si>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</si>
  <si>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</si>
  <si>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</si>
  <si>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</si>
  <si>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</si>
  <si>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</si>
  <si>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</si>
  <si>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</si>
  <si>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</si>
  <si>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</si>
  <si>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</si>
  <si>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</si>
  <si>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</si>
  <si>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</si>
  <si>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</si>
  <si>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</si>
  <si>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</si>
  <si>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</si>
  <si>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</si>
  <si>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</si>
  <si>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</si>
  <si>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</si>
  <si>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</si>
  <si>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</si>
  <si>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</si>
  <si>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</si>
  <si>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</si>
  <si>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</si>
  <si>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</si>
  <si>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</si>
  <si>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</si>
  <si>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</si>
  <si>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</si>
  <si>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</si>
  <si>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</si>
  <si>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</si>
  <si>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</si>
  <si>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</si>
  <si>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</si>
  <si>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</si>
  <si>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</si>
  <si>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</si>
  <si>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</si>
  <si>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</si>
  <si>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</si>
  <si>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</si>
  <si>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</si>
  <si>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</si>
  <si>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</si>
  <si>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</si>
  <si>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</si>
  <si>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</si>
  <si>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</si>
  <si>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</si>
  <si>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</si>
  <si>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</si>
  <si>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</si>
  <si>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</si>
  <si>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</si>
  <si>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</si>
  <si>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</si>
  <si>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</si>
  <si>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</si>
  <si>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</si>
  <si>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</si>
  <si>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</si>
  <si>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</si>
  <si>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</si>
  <si>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</si>
  <si>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</si>
  <si>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</si>
  <si>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</si>
  <si>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</si>
  <si>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</si>
  <si>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</si>
  <si>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</si>
  <si>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</si>
  <si>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</si>
  <si>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</si>
  <si>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</si>
  <si>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</si>
  <si>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</si>
  <si>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</si>
  <si>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</si>
  <si>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</si>
  <si>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</si>
  <si>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</si>
  <si>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</si>
  <si>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</si>
  <si>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</si>
  <si>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</si>
  <si>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</si>
  <si>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</si>
  <si>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</si>
  <si>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</si>
  <si>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</si>
  <si>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</si>
  <si>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</si>
  <si>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</si>
  <si>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</si>
  <si>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</si>
  <si>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</si>
  <si>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</si>
  <si>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</si>
  <si>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</si>
  <si>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</si>
  <si>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</si>
  <si>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</si>
  <si>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</si>
  <si>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</si>
  <si>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</si>
  <si>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</si>
  <si>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</si>
  <si>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</si>
  <si>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</si>
  <si>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</si>
  <si>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</si>
  <si>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</si>
  <si>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</si>
  <si>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</si>
  <si>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</si>
  <si>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</si>
  <si>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</si>
  <si>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</si>
  <si>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</si>
  <si>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</si>
  <si>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</si>
  <si>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</si>
  <si>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</si>
  <si>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</si>
  <si>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</si>
  <si>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</si>
  <si>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</si>
  <si>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</si>
  <si>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</si>
  <si>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</si>
  <si>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</si>
  <si>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</si>
  <si>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</si>
  <si>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</si>
  <si>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</si>
  <si>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</si>
  <si>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</si>
  <si>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</si>
  <si>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</si>
  <si>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</si>
  <si>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</si>
  <si>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</si>
  <si>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</si>
  <si>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</si>
  <si>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</si>
  <si>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</si>
  <si>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</si>
  <si>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</si>
  <si>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</si>
  <si>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</si>
  <si>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</si>
  <si>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</si>
  <si>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</si>
  <si>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</si>
  <si>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</si>
  <si>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</si>
  <si>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</si>
  <si>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</si>
  <si>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</si>
  <si>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</si>
  <si>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</si>
  <si>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</si>
  <si>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</si>
  <si>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</si>
  <si>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</si>
  <si>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</si>
  <si>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</si>
  <si>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</si>
  <si>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</si>
  <si>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</si>
  <si>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</si>
  <si>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</si>
  <si>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</si>
  <si>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</si>
  <si>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</si>
  <si>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</si>
  <si>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</si>
  <si>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</si>
  <si>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</si>
  <si>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</si>
  <si>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</si>
  <si>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</si>
  <si>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</si>
  <si>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</si>
  <si>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</si>
  <si>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</si>
  <si>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</si>
  <si>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</si>
  <si>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</si>
  <si>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</si>
  <si>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</si>
  <si>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</si>
  <si>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</si>
  <si>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</si>
  <si>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</si>
  <si>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</si>
  <si>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</si>
  <si>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</si>
  <si>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</si>
  <si>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</si>
  <si>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</si>
  <si>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</si>
  <si>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</si>
  <si>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</si>
  <si>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</si>
  <si>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</si>
  <si>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</si>
  <si>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</si>
  <si>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</si>
  <si>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</si>
  <si>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</si>
  <si>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</si>
  <si>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</si>
  <si>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</si>
  <si>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</si>
  <si>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</si>
  <si>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</si>
  <si>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</si>
  <si>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</si>
  <si>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</si>
  <si>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</si>
  <si>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</si>
  <si>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</si>
  <si>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</si>
  <si>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</si>
  <si>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</si>
  <si>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</si>
  <si>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</si>
  <si>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</si>
  <si>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</si>
  <si>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</si>
  <si>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</si>
  <si>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</si>
  <si>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</si>
  <si>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</si>
  <si>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</si>
  <si>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</si>
  <si>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</si>
  <si>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</si>
  <si>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</si>
  <si>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</si>
  <si>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</si>
  <si>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</si>
  <si>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</si>
  <si>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</si>
  <si>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</si>
  <si>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</si>
  <si>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</si>
  <si>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</si>
  <si>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</si>
  <si>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</si>
  <si>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</si>
  <si>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</si>
  <si>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</si>
  <si>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</si>
  <si>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</si>
  <si>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</si>
  <si>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</si>
  <si>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</si>
  <si>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</si>
  <si>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</si>
  <si>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</si>
  <si>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</si>
  <si>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</si>
  <si>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</si>
  <si>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</si>
  <si>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</si>
  <si>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</si>
  <si>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</si>
  <si>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</si>
  <si>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</si>
  <si>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</si>
  <si>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</si>
  <si>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</si>
  <si>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</si>
  <si>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</si>
  <si>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</si>
  <si>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</si>
  <si>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</si>
  <si>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</si>
  <si>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</si>
  <si>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</si>
  <si>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</si>
  <si>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</si>
  <si>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</si>
  <si>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</si>
  <si>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</si>
  <si>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</si>
  <si>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</si>
  <si>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</si>
  <si>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</si>
  <si>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</si>
  <si>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</si>
  <si>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</si>
  <si>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</si>
  <si>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</si>
  <si>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</si>
  <si>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</si>
  <si>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</si>
  <si>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</si>
  <si>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</si>
  <si>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</si>
  <si>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</si>
  <si>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</si>
  <si>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</si>
  <si>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</si>
  <si>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</si>
  <si>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</si>
  <si>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</si>
  <si>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</si>
  <si>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</si>
  <si>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</si>
  <si>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</si>
  <si>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</si>
  <si>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</si>
  <si>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</si>
  <si>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</si>
  <si>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</si>
  <si>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</si>
  <si>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</si>
  <si>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</si>
  <si>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</si>
  <si>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</si>
  <si>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</si>
  <si>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</si>
  <si>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</si>
  <si>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</si>
  <si>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</si>
  <si>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</si>
  <si>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</si>
  <si>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</si>
  <si>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</si>
  <si>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</si>
  <si>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</si>
  <si>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</si>
  <si>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</si>
  <si>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</si>
  <si>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</si>
  <si>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</si>
  <si>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</si>
  <si>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</si>
  <si>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</si>
  <si>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</si>
  <si>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</si>
  <si>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</si>
  <si>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</si>
  <si>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</si>
  <si>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</si>
  <si>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</si>
  <si>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</si>
  <si>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</si>
  <si>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</si>
  <si>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</si>
  <si>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</si>
  <si>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</si>
  <si>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</si>
  <si>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</si>
  <si>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</si>
  <si>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</si>
  <si>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</si>
  <si>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</si>
  <si>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</si>
  <si>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</si>
  <si>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</si>
  <si>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</si>
  <si>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</si>
  <si>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</si>
  <si>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</si>
  <si>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</si>
  <si>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</si>
  <si>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</si>
  <si>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</si>
  <si>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</si>
  <si>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</si>
  <si>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</si>
  <si>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</si>
  <si>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</si>
  <si>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</si>
  <si>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</si>
  <si>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</si>
  <si>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</si>
  <si>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</si>
  <si>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</si>
  <si>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</si>
  <si>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</si>
  <si>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</si>
  <si>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</si>
  <si>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</si>
  <si>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</si>
  <si>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</si>
  <si>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</si>
  <si>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</si>
  <si>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</si>
  <si>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</si>
  <si>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</si>
  <si>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</si>
  <si>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</si>
  <si>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</si>
  <si>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</si>
  <si>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</si>
  <si>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</si>
  <si>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</si>
  <si>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</si>
  <si>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</si>
  <si>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</si>
  <si>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</si>
  <si>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</si>
  <si>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</si>
  <si>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</si>
  <si>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</si>
  <si>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</si>
  <si>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</si>
  <si>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</si>
  <si>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</si>
  <si>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</si>
  <si>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</si>
  <si>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</si>
  <si>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</si>
  <si>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</si>
  <si>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</si>
  <si>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</si>
  <si>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</si>
  <si>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</si>
  <si>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</si>
  <si>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</si>
  <si>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</si>
  <si>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</si>
  <si>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</si>
  <si>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</si>
  <si>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</si>
  <si>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</si>
  <si>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</si>
  <si>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</si>
  <si>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</si>
  <si>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</si>
  <si>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</si>
  <si>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</si>
  <si>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</si>
  <si>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</si>
  <si>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</si>
  <si>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</si>
  <si>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</si>
  <si>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</si>
  <si>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</si>
  <si>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</si>
  <si>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</si>
  <si>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</si>
  <si>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</si>
  <si>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</si>
  <si>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</si>
  <si>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</si>
  <si>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</si>
  <si>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</si>
  <si>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</si>
  <si>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</si>
  <si>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</si>
  <si>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</si>
  <si>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</si>
  <si>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</si>
  <si>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</si>
  <si>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</si>
  <si>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</si>
  <si>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</si>
  <si>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</si>
  <si>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</si>
  <si>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</si>
  <si>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</si>
  <si>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</si>
  <si>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</si>
  <si>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</si>
  <si>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</si>
  <si>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</si>
  <si>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</si>
  <si>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</si>
  <si>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</si>
  <si>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</si>
  <si>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</si>
  <si>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</si>
  <si>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</si>
  <si>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</si>
  <si>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</si>
  <si>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</si>
  <si>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</si>
  <si>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</si>
  <si>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</si>
  <si>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</si>
  <si>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</si>
  <si>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</si>
  <si>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</si>
  <si>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</si>
  <si>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</si>
  <si>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</si>
  <si>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</si>
  <si>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</si>
  <si>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</si>
  <si>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</si>
  <si>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</si>
  <si>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</si>
  <si>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</si>
  <si>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</si>
  <si>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</si>
  <si>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</si>
  <si>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</si>
  <si>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</si>
  <si>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</si>
  <si>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</si>
  <si>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</si>
  <si>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</si>
  <si>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</si>
  <si>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</si>
  <si>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</si>
  <si>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</si>
  <si>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</si>
  <si>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</si>
  <si>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</si>
  <si>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</si>
  <si>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</si>
  <si>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</si>
  <si>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</si>
  <si>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</si>
  <si>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</si>
  <si>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</si>
  <si>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</si>
  <si>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</si>
  <si>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</si>
  <si>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</si>
  <si>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</si>
  <si>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</si>
  <si>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</si>
  <si>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</si>
  <si>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</si>
  <si>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</si>
  <si>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</si>
  <si>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</si>
  <si>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</si>
  <si>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</si>
  <si>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</si>
  <si>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</si>
  <si>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</si>
  <si>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</si>
  <si>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</si>
  <si>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</si>
  <si>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</si>
  <si>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</si>
  <si>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</si>
  <si>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</si>
  <si>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</si>
  <si>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</si>
  <si>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</si>
  <si>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</si>
  <si>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</si>
  <si>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</si>
  <si>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</si>
  <si>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</si>
  <si>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</si>
  <si>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</si>
  <si>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</si>
  <si>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</si>
  <si>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</si>
  <si>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</si>
  <si>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</si>
  <si>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</si>
  <si>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</si>
  <si>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</si>
  <si>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</si>
  <si>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</si>
  <si>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</si>
  <si>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</si>
  <si>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</si>
  <si>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</si>
  <si>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</si>
  <si>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</si>
  <si>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</si>
  <si>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</si>
  <si>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</si>
  <si>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</si>
  <si>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</si>
  <si>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</si>
  <si>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</si>
  <si>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</si>
  <si>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</si>
  <si>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</si>
  <si>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</si>
  <si>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</si>
  <si>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</si>
  <si>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</si>
  <si>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</si>
  <si>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</si>
  <si>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</si>
  <si>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</si>
  <si>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</si>
  <si>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</si>
  <si>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</si>
  <si>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</si>
  <si>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</si>
  <si>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</si>
  <si>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</si>
  <si>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</si>
  <si>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</si>
  <si>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</si>
  <si>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</si>
  <si>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</si>
  <si>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</si>
  <si>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</si>
  <si>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</si>
  <si>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</si>
  <si>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</si>
  <si>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</si>
  <si>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</si>
  <si>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</si>
  <si>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</si>
  <si>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</si>
  <si>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</si>
  <si>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</si>
  <si>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</si>
  <si>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</si>
  <si>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</si>
  <si>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</si>
  <si>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</si>
  <si>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</si>
  <si>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</si>
  <si>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</si>
  <si>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</si>
  <si>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</si>
  <si>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</si>
  <si>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</si>
  <si>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</si>
  <si>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</si>
  <si>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</si>
  <si>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</si>
  <si>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</si>
  <si>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</si>
  <si>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</si>
  <si>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</si>
  <si>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</si>
  <si>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</si>
  <si>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</si>
  <si>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</si>
  <si>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</si>
  <si>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</si>
  <si>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</si>
  <si>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</si>
  <si>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</si>
  <si>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</si>
  <si>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</si>
  <si>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</si>
  <si>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</si>
  <si>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</si>
  <si>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</si>
  <si>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</si>
  <si>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</si>
  <si>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</si>
  <si>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</si>
  <si>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</si>
  <si>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</si>
  <si>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</si>
  <si>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</si>
  <si>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</si>
  <si>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</si>
  <si>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</si>
  <si>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</si>
  <si>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</si>
  <si>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</si>
  <si>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</si>
  <si>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</si>
  <si>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</si>
  <si>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</si>
  <si>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</si>
  <si>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</si>
  <si>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</si>
  <si>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</si>
  <si>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</si>
  <si>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</si>
  <si>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</si>
  <si>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</si>
  <si>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</si>
  <si>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</si>
  <si>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</si>
  <si>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</si>
  <si>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</si>
  <si>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</si>
  <si>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</si>
  <si>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</si>
  <si>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</si>
  <si>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</si>
  <si>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</si>
  <si>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</si>
  <si>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</si>
  <si>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</si>
  <si>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</si>
  <si>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</si>
  <si>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</si>
  <si>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</si>
  <si>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</si>
  <si>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</si>
  <si>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</si>
  <si>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</si>
  <si>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</si>
  <si>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</si>
  <si>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</si>
  <si>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</si>
  <si>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</si>
  <si>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</si>
  <si>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</si>
  <si>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</si>
  <si>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</si>
  <si>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</si>
  <si>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</si>
  <si>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</si>
  <si>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</si>
  <si>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</si>
  <si>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</si>
  <si>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</si>
  <si>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</si>
  <si>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</si>
  <si>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</si>
  <si>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</si>
  <si>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</si>
  <si>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</si>
  <si>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</si>
  <si>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</si>
  <si>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</si>
  <si>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</si>
  <si>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</si>
  <si>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</si>
  <si>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</si>
  <si>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</si>
  <si>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</si>
  <si>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</si>
  <si>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</si>
  <si>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</si>
  <si>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</si>
  <si>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</si>
  <si>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</si>
  <si>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</si>
  <si>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</si>
  <si>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</si>
  <si>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</si>
  <si>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</si>
  <si>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</si>
  <si>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</si>
  <si>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</si>
  <si>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</si>
  <si>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</si>
  <si>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</si>
  <si>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</si>
  <si>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</si>
  <si>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</si>
  <si>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</si>
  <si>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</si>
  <si>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</si>
  <si>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</si>
  <si>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</si>
  <si>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</si>
  <si>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</si>
  <si>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</si>
  <si>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</si>
  <si>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</si>
  <si>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</si>
  <si>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</si>
  <si>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</si>
  <si>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</si>
  <si>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</si>
  <si>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</si>
  <si>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</si>
  <si>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</si>
  <si>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</si>
  <si>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</si>
  <si>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</si>
  <si>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</si>
  <si>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</si>
  <si>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</si>
  <si>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</si>
  <si>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</si>
  <si>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</si>
  <si>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</si>
  <si>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</si>
  <si>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</si>
  <si>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</si>
  <si>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</si>
  <si>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</si>
  <si>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</si>
  <si>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</si>
  <si>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</si>
  <si>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</si>
  <si>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</si>
  <si>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</si>
  <si>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</si>
  <si>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</si>
  <si>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</si>
  <si>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</si>
  <si>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</si>
  <si>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</si>
  <si>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</si>
  <si>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</si>
  <si>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</si>
  <si>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</si>
  <si>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</si>
  <si>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</si>
  <si>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</si>
  <si>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</si>
  <si>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</si>
  <si>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</si>
  <si>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</si>
  <si>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</si>
  <si>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</si>
  <si>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</si>
  <si>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</si>
  <si>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</si>
  <si>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</si>
  <si>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</si>
  <si>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</si>
  <si>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</si>
  <si>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</si>
  <si>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</si>
  <si>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</si>
  <si>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</si>
  <si>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</si>
  <si>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</si>
  <si>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</si>
  <si>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</si>
  <si>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</si>
  <si>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</si>
  <si>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</si>
  <si>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</si>
  <si>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</si>
  <si>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</si>
  <si>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</si>
  <si>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</si>
  <si>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</si>
  <si>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</si>
  <si>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</si>
  <si>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</si>
  <si>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</si>
  <si>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</si>
  <si>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</si>
  <si>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</si>
  <si>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</si>
  <si>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</si>
  <si>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</si>
  <si>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</si>
  <si>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</si>
  <si>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</si>
  <si>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</si>
  <si>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</si>
  <si>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</si>
  <si>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</si>
  <si>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</si>
  <si>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</si>
  <si>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</si>
  <si>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</si>
  <si>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</si>
  <si>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</si>
  <si>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</si>
  <si>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</si>
  <si>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</si>
  <si>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</si>
  <si>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</si>
  <si>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</si>
  <si>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</si>
  <si>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</si>
  <si>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</si>
  <si>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</si>
  <si>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</si>
  <si>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</si>
  <si>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</si>
  <si>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</si>
  <si>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</si>
  <si>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</si>
  <si>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</si>
  <si>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</si>
  <si>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</si>
  <si>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</si>
  <si>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</si>
  <si>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</si>
  <si>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</si>
  <si>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</si>
  <si>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</si>
  <si>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</si>
  <si>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</si>
  <si>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</si>
  <si>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</si>
  <si>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</si>
  <si>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</si>
  <si>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</si>
  <si>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</si>
  <si>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</si>
  <si>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</si>
  <si>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</si>
  <si>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</si>
  <si>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</si>
  <si>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</si>
  <si>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</si>
  <si>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</si>
  <si>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</si>
  <si>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</si>
  <si>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</si>
  <si>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</si>
  <si>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</si>
  <si>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</si>
  <si>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</si>
  <si>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</si>
  <si>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</si>
  <si>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</si>
  <si>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</si>
  <si>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</si>
  <si>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</si>
  <si>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</si>
  <si>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</si>
  <si>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</si>
  <si>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</si>
  <si>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</si>
  <si>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</si>
  <si>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</si>
  <si>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</si>
  <si>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</si>
  <si>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</si>
  <si>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</si>
  <si>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</si>
  <si>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</si>
  <si>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</si>
  <si>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</si>
  <si>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</si>
  <si>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</si>
  <si>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</si>
  <si>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</si>
  <si>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</si>
  <si>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</si>
  <si>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</si>
  <si>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</si>
  <si>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</si>
  <si>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</si>
  <si>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</si>
  <si>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</si>
  <si>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</si>
  <si>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</si>
  <si>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</si>
  <si>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</si>
  <si>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</si>
  <si>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</si>
  <si>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</si>
  <si>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</si>
  <si>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</si>
  <si>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</si>
  <si>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</si>
  <si>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</si>
  <si>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</si>
  <si>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</si>
  <si>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</si>
  <si>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</si>
  <si>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</si>
  <si>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</si>
  <si>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</si>
  <si>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</si>
  <si>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</si>
  <si>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</si>
  <si>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</si>
  <si>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</si>
  <si>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</si>
  <si>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</si>
  <si>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</si>
  <si>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</si>
  <si>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</si>
  <si>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</si>
  <si>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</si>
  <si>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</si>
  <si>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</si>
  <si>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</si>
  <si>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</si>
  <si>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</si>
  <si>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</si>
  <si>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</si>
  <si>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</si>
  <si>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</si>
  <si>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</si>
  <si>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</si>
  <si>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</si>
  <si>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</si>
  <si>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</si>
  <si>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</si>
  <si>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</si>
  <si>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</si>
  <si>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</si>
  <si>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</si>
  <si>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</si>
  <si>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</si>
  <si>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</si>
  <si>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</si>
  <si>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</si>
  <si>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</si>
  <si>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</si>
  <si>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</si>
  <si>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</si>
  <si>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</si>
  <si>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</si>
  <si>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</si>
  <si>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</si>
  <si>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</si>
  <si>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</si>
  <si>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</si>
  <si>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</si>
  <si>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</si>
  <si>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</si>
  <si>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</si>
  <si>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</si>
  <si>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</si>
  <si>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</si>
  <si>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</si>
  <si>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</si>
  <si>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</si>
  <si>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</si>
  <si>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</si>
  <si>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</si>
  <si>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</si>
  <si>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</si>
  <si>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</si>
  <si>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</si>
  <si>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</si>
  <si>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</si>
  <si>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</si>
  <si>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</si>
  <si>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</si>
  <si>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</si>
  <si>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</si>
  <si>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</si>
  <si>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</si>
  <si>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</si>
  <si>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</si>
  <si>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</si>
  <si>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</si>
  <si>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</si>
  <si>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</si>
  <si>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</si>
  <si>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</si>
  <si>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</si>
  <si>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</si>
  <si>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</si>
  <si>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</si>
  <si>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</si>
  <si>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</si>
  <si>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</si>
  <si>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</si>
  <si>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</si>
  <si>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</si>
  <si>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</si>
  <si>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</si>
  <si>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</si>
  <si>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</si>
  <si>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</si>
  <si>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</si>
  <si>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</si>
  <si>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</si>
  <si>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</si>
  <si>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</si>
  <si>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</si>
  <si>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</si>
  <si>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</si>
  <si>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</si>
  <si>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</si>
  <si>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</si>
  <si>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</si>
  <si>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</si>
  <si>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</si>
  <si>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</si>
  <si>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</si>
  <si>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</si>
  <si>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</si>
  <si>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</si>
  <si>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</si>
  <si>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</si>
  <si>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</si>
  <si>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</si>
  <si>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</si>
  <si>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</si>
  <si>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</si>
  <si>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</si>
  <si>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</si>
  <si>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</si>
  <si>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</si>
  <si>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</si>
  <si>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</si>
  <si>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</si>
  <si>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</si>
  <si>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</si>
  <si>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</si>
  <si>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</si>
  <si>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</si>
  <si>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</si>
  <si>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</si>
  <si>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</si>
  <si>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</si>
  <si>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</si>
  <si>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</si>
  <si>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</si>
  <si>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</si>
  <si>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</si>
  <si>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</si>
  <si>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</si>
  <si>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</si>
  <si>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</si>
  <si>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</si>
  <si>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</si>
  <si>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</si>
  <si>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</si>
  <si>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</si>
  <si>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</si>
  <si>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</si>
  <si>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</si>
  <si>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</si>
  <si>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</si>
  <si>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</si>
  <si>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</si>
  <si>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</si>
  <si>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</si>
  <si>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</si>
  <si>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</si>
  <si>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</si>
  <si>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</si>
  <si>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</si>
  <si>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</si>
  <si>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</si>
  <si>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</si>
  <si>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</si>
  <si>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</si>
  <si>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</si>
  <si>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</si>
  <si>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</si>
  <si>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</si>
  <si>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</si>
  <si>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</si>
  <si>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</si>
  <si>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</si>
  <si>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</si>
  <si>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</si>
  <si>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</si>
  <si>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</si>
  <si>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</si>
  <si>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</si>
  <si>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</si>
  <si>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</si>
  <si>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</si>
  <si>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</si>
  <si>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</si>
  <si>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</si>
  <si>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</si>
  <si>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</si>
  <si>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</si>
  <si>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</si>
  <si>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</si>
  <si>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</si>
  <si>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</si>
  <si>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</si>
  <si>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</si>
  <si>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</si>
  <si>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</si>
  <si>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</si>
  <si>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</si>
  <si>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</si>
  <si>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</si>
  <si>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</si>
  <si>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</si>
  <si>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</si>
  <si>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</si>
  <si>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</si>
  <si>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</si>
  <si>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</si>
  <si>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</si>
  <si>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</si>
  <si>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</si>
  <si>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</si>
  <si>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</si>
  <si>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</si>
  <si>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</si>
  <si>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</si>
  <si>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</si>
  <si>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</si>
  <si>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</si>
  <si>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</si>
  <si>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</si>
  <si>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</si>
  <si>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</si>
  <si>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</si>
  <si>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</si>
  <si>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</si>
  <si>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</si>
  <si>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</si>
  <si>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</si>
  <si>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</si>
  <si>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</si>
  <si>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</si>
  <si>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</si>
  <si>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</si>
  <si>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</si>
  <si>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</si>
  <si>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</si>
  <si>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</si>
  <si>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</si>
  <si>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</si>
  <si>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</si>
  <si>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</si>
  <si>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</si>
  <si>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</si>
  <si>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</si>
  <si>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</si>
  <si>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</si>
  <si>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</si>
  <si>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</si>
  <si>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</si>
  <si>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</si>
  <si>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</si>
  <si>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</si>
  <si>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</si>
  <si>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</si>
  <si>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</si>
  <si>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</si>
  <si>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</si>
  <si>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</si>
  <si>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</si>
  <si>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</si>
  <si>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</si>
  <si>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</si>
  <si>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</si>
  <si>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</si>
  <si>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</si>
  <si>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</si>
  <si>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</si>
  <si>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</si>
  <si>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</si>
  <si>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</si>
  <si>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</si>
  <si>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</si>
  <si>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</si>
  <si>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</si>
  <si>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</si>
  <si>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</si>
  <si>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</si>
  <si>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</si>
  <si>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</si>
  <si>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</si>
  <si>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</si>
  <si>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</si>
  <si>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</si>
  <si>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</si>
  <si>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</si>
  <si>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</si>
  <si>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</si>
  <si>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</si>
  <si>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</si>
  <si>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</si>
  <si>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</si>
  <si>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</si>
  <si>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</si>
  <si>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</si>
  <si>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</si>
  <si>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</si>
  <si>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</si>
  <si>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</si>
  <si>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</si>
  <si>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</si>
  <si>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</si>
  <si>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</si>
  <si>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</si>
  <si>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</si>
  <si>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</si>
  <si>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</si>
  <si>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</si>
  <si>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</si>
  <si>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</si>
  <si>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</si>
  <si>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</si>
  <si>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</si>
  <si>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</si>
  <si>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</si>
  <si>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</si>
  <si>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</si>
  <si>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</si>
  <si>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</si>
  <si>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</si>
  <si>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</si>
  <si>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</si>
  <si>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</si>
  <si>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</si>
  <si>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</si>
  <si>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</si>
  <si>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</si>
  <si>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</si>
  <si>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</si>
  <si>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</si>
  <si>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</si>
  <si>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</si>
  <si>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</si>
  <si>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</si>
  <si>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</si>
  <si>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</si>
  <si>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</si>
  <si>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</si>
  <si>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</si>
  <si>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</si>
  <si>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</si>
  <si>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</si>
  <si>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</si>
  <si>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</si>
  <si>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</si>
  <si>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</si>
  <si>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</si>
  <si>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</si>
  <si>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</si>
  <si>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</si>
  <si>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</si>
  <si>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</si>
  <si>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</si>
  <si>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</si>
  <si>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</si>
  <si>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</si>
  <si>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</si>
  <si>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</si>
  <si>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</si>
  <si>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</si>
  <si>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</si>
  <si>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</si>
  <si>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</si>
  <si>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</si>
  <si>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</si>
  <si>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</si>
  <si>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</si>
  <si>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</si>
  <si>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</si>
  <si>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</si>
  <si>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</si>
  <si>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</si>
  <si>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</si>
  <si>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</si>
  <si>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</si>
  <si>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</si>
  <si>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</si>
  <si>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</si>
  <si>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</si>
  <si>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</si>
  <si>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</si>
  <si>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</si>
  <si>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</si>
  <si>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</si>
  <si>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</si>
  <si>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</si>
  <si>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</si>
  <si>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</si>
  <si>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</si>
  <si>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</si>
  <si>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</si>
  <si>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</si>
  <si>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</si>
  <si>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</si>
  <si>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</si>
  <si>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</si>
  <si>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</si>
  <si>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</si>
  <si>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</si>
  <si>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</si>
  <si>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</si>
  <si>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</si>
  <si>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</si>
  <si>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</si>
  <si>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</si>
  <si>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</si>
  <si>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</si>
  <si>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</si>
  <si>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</si>
  <si>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</si>
  <si>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</si>
  <si>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</si>
  <si>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</si>
  <si>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</si>
  <si>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</si>
  <si>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</si>
  <si>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</si>
  <si>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</si>
  <si>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</si>
  <si>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</si>
  <si>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</si>
  <si>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</si>
  <si>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</si>
  <si>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</si>
  <si>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</si>
  <si>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</si>
  <si>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</si>
  <si>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</si>
  <si>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</si>
  <si>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</si>
  <si>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</si>
  <si>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</si>
  <si>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</si>
  <si>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</si>
  <si>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</si>
  <si>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</si>
  <si>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</si>
  <si>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</si>
  <si>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</si>
  <si>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</si>
  <si>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</si>
  <si>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</si>
  <si>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</si>
  <si>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</si>
  <si>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</si>
  <si>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</si>
  <si>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</si>
  <si>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</si>
  <si>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</si>
  <si>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</si>
  <si>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</si>
  <si>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</si>
  <si>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</si>
  <si>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</si>
  <si>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</si>
  <si>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</si>
  <si>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</si>
  <si>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</si>
  <si>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</si>
  <si>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</si>
  <si>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</si>
  <si>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</si>
  <si>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</si>
  <si>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</si>
  <si>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</si>
  <si>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</si>
  <si>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</si>
  <si>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</si>
  <si>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</si>
  <si>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</si>
  <si>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</si>
  <si>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</si>
  <si>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</si>
  <si>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</si>
  <si>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</si>
  <si>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</si>
  <si>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</si>
  <si>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</si>
  <si>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</si>
  <si>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</si>
  <si>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</si>
  <si>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</si>
  <si>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</si>
  <si>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</si>
  <si>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</si>
  <si>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</si>
  <si>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</si>
  <si>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</si>
  <si>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</si>
  <si>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</si>
  <si>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</si>
  <si>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</si>
  <si>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</si>
  <si>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</si>
  <si>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</si>
  <si>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</si>
  <si>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</si>
  <si>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</si>
  <si>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</si>
  <si>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</si>
  <si>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</si>
  <si>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</si>
  <si>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</si>
  <si>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</si>
  <si>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</si>
  <si>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</si>
  <si>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</si>
  <si>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</si>
  <si>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</si>
  <si>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</si>
  <si>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</si>
  <si>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</si>
  <si>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</si>
  <si>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</si>
  <si>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</si>
  <si>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</si>
  <si>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</si>
  <si>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</si>
  <si>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</si>
  <si>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</si>
  <si>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</si>
  <si>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</si>
  <si>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</si>
  <si>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</si>
  <si>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</si>
  <si>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</si>
  <si>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</si>
  <si>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</si>
  <si>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</si>
  <si>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</si>
  <si>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</si>
  <si>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</si>
  <si>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</si>
  <si>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</si>
  <si>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</si>
  <si>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</si>
  <si>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</si>
  <si>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</si>
  <si>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</si>
  <si>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</si>
  <si>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</si>
  <si>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</si>
  <si>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</si>
  <si>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</si>
  <si>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</si>
  <si>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</si>
  <si>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</si>
  <si>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</si>
  <si>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</si>
  <si>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</si>
  <si>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</si>
  <si>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</si>
  <si>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</si>
  <si>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</si>
  <si>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</si>
  <si>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</si>
  <si>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</si>
  <si>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</si>
  <si>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</si>
  <si>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</si>
  <si>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</si>
  <si>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</si>
  <si>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</si>
  <si>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</si>
  <si>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</si>
  <si>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</si>
  <si>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</si>
  <si>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</si>
  <si>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</si>
  <si>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</si>
  <si>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</si>
  <si>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</si>
  <si>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</si>
  <si>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</si>
  <si>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</si>
  <si>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</si>
  <si>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</si>
  <si>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</si>
  <si>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</si>
  <si>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</si>
  <si>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</si>
  <si>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</si>
  <si>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</si>
  <si>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</si>
  <si>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</si>
  <si>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</si>
  <si>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</si>
  <si>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</si>
  <si>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</si>
  <si>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</si>
  <si>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</si>
  <si>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</si>
  <si>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</si>
  <si>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</si>
  <si>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</si>
  <si>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</si>
  <si>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 xml:space="preserve">McHenry       </t>
  </si>
  <si>
    <t xml:space="preserve">2155 Crystal Lake Road       </t>
  </si>
  <si>
    <t xml:space="preserve">Cary       </t>
  </si>
  <si>
    <t>meriann.besonen@cary26.org</t>
  </si>
  <si>
    <t>Lauterbach &amp; Amen, LLP</t>
  </si>
  <si>
    <t>Don Shaw</t>
  </si>
  <si>
    <t>668 N. River Road</t>
  </si>
  <si>
    <t>Naperville</t>
  </si>
  <si>
    <t xml:space="preserve">IL </t>
  </si>
  <si>
    <t>065-037815</t>
  </si>
  <si>
    <t>dshaw@lauterbachamen.com</t>
  </si>
  <si>
    <t>Brian Coleman</t>
  </si>
  <si>
    <t>brian.coleman@cary26.org</t>
  </si>
  <si>
    <t>GO Bonds 2011A</t>
  </si>
  <si>
    <t>GO Bonds 2011C</t>
  </si>
  <si>
    <t>GO Refunding Bonds 2014</t>
  </si>
  <si>
    <t>GO Refunding Bonds 2016A</t>
  </si>
  <si>
    <t>GO Refunding Bonds 2017A</t>
  </si>
  <si>
    <t>GO Refunding Bonds 2017B</t>
  </si>
  <si>
    <t>Debt Certificates, Series 2017C</t>
  </si>
  <si>
    <t>N/A</t>
  </si>
  <si>
    <t>RJB</t>
  </si>
  <si>
    <t>Gallagher/Basset Services, Inc; Educational Benefit Cooperative</t>
  </si>
  <si>
    <t>CenterPoint</t>
  </si>
  <si>
    <t>Organic Life</t>
  </si>
  <si>
    <t>Gallagher/Basset Services, Inc; Arthur J. Gallagher Risk Management Inc; CLIC; AIG</t>
  </si>
  <si>
    <t>PMA</t>
  </si>
  <si>
    <t>Franczek Radelet; Hodges Loizzi Eisenhammer; Robbins Schwartz</t>
  </si>
  <si>
    <t>Comfort Services TJB</t>
  </si>
  <si>
    <t>State of Illinois Joint Purchasing; National Joint Powers Alliance</t>
  </si>
  <si>
    <t>Chain O Lakes Transportatin</t>
  </si>
  <si>
    <t>Cary Park District; Cary Youth Baseball; Cary Jr. Trojans Football; Cary Basketball Assoc</t>
  </si>
  <si>
    <t>Child Nutrition Cluster</t>
  </si>
  <si>
    <t>US Dept of Agriculture</t>
  </si>
  <si>
    <t>Illinois State Board of Education</t>
  </si>
  <si>
    <t>Commodities (Non-Cash)</t>
  </si>
  <si>
    <t>Commodities - DoD F&amp;V (Non-Cash)</t>
  </si>
  <si>
    <t>Total US Department of Agriculture</t>
  </si>
  <si>
    <t>Total Child Nutrition Cluster</t>
  </si>
  <si>
    <t>2019-4220</t>
  </si>
  <si>
    <t>2020-4220</t>
  </si>
  <si>
    <t>2019-4210</t>
  </si>
  <si>
    <t>2020-4210</t>
  </si>
  <si>
    <t>Special Education (IDEA) Cluster</t>
  </si>
  <si>
    <t>Department of Education</t>
  </si>
  <si>
    <t xml:space="preserve">Illinois State Board of Education </t>
  </si>
  <si>
    <t>Special Education - Grants to States (IDEA Flow Through) (M)</t>
  </si>
  <si>
    <t>IDEA Room &amp; Board (M)</t>
  </si>
  <si>
    <t>Special Education - Preschool Grants (IDEA Preschool) (M)</t>
  </si>
  <si>
    <t>Total Department of Education</t>
  </si>
  <si>
    <t>Total Special Education (IDEA) Cluster</t>
  </si>
  <si>
    <t>Other Programs</t>
  </si>
  <si>
    <t>Title I - School Improvement</t>
  </si>
  <si>
    <t>Title IVa - Student Support and Academic Enrichment</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</si>
  <si>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</si>
  <si>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</si>
  <si>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</si>
  <si>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</si>
  <si>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</si>
  <si>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</si>
  <si>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2020-4225</t>
  </si>
  <si>
    <t>2019-4625</t>
  </si>
  <si>
    <t>2019-4620</t>
  </si>
  <si>
    <t>2020-4620</t>
  </si>
  <si>
    <t>2020-4600</t>
  </si>
  <si>
    <t>2019-4300</t>
  </si>
  <si>
    <t>2020-4300</t>
  </si>
  <si>
    <t>2019-4331</t>
  </si>
  <si>
    <t>2020-4331</t>
  </si>
  <si>
    <t>2019-4932</t>
  </si>
  <si>
    <t>2020-4932</t>
  </si>
  <si>
    <t>2019-4909</t>
  </si>
  <si>
    <t>2020-4909</t>
  </si>
  <si>
    <t>2019-4400</t>
  </si>
  <si>
    <t>2020-4400</t>
  </si>
  <si>
    <t>CARES Act</t>
  </si>
  <si>
    <t>84.425D</t>
  </si>
  <si>
    <t>2020-4998</t>
  </si>
  <si>
    <r>
      <t xml:space="preserve">The accompanying Schedule of Expenditures of Federal Awards includes the federal grant activity of </t>
    </r>
    <r>
      <rPr>
        <b/>
        <sz val="9"/>
        <rFont val="Calibri"/>
        <family val="2"/>
        <scheme val="minor"/>
      </rPr>
      <t>Cary CC SD 26</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Basic </t>
    </r>
    <r>
      <rPr>
        <sz val="9"/>
        <rFont val="Calibri"/>
        <family val="2"/>
        <scheme val="minor"/>
      </rPr>
      <t>financial statements.</t>
    </r>
  </si>
  <si>
    <t>Of the federal expenditures presented in the schedule, Cary CC SD 26 provided federal awards to subrecipients as follows:</t>
  </si>
  <si>
    <r>
      <t xml:space="preserve">The following amounts were expended in the form of non-cash assistance by </t>
    </r>
    <r>
      <rPr>
        <b/>
        <sz val="9"/>
        <rFont val="Calibri"/>
        <family val="2"/>
        <scheme val="minor"/>
      </rPr>
      <t>Cary CC SD 26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</si>
  <si>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</si>
  <si>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</si>
  <si>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ED-INSTRUCTION-PURCHASED SERVICES</t>
  </si>
  <si>
    <t>ADELANTE EDUCATIONAL SPECIALISTS GROUP, INC.</t>
  </si>
  <si>
    <t>AMAZON</t>
  </si>
  <si>
    <t>TR-PUPIL TRANSPORTATION-PURCHASED SERVICES</t>
  </si>
  <si>
    <t>AMERICAN FUNDING SOLUTIONS</t>
  </si>
  <si>
    <t>BRIDGES ACADEMY</t>
  </si>
  <si>
    <t>OP-BUSINESS-PURCHASED SERVICES</t>
  </si>
  <si>
    <t xml:space="preserve">CALL ONE </t>
  </si>
  <si>
    <t>ED-INSTRUCTION-SUPPLIES</t>
  </si>
  <si>
    <t>CDW GOVERNMENT INC.</t>
  </si>
  <si>
    <t>OP-BUSINESS-SUPPLIES</t>
  </si>
  <si>
    <t>CENTERPOINT ENERGY SERVICES</t>
  </si>
  <si>
    <t>OP-OP&amp;MAINT PLANT SERVICE - PURCHASED SERVICES</t>
  </si>
  <si>
    <t>CHAMPION ENERGY LLC</t>
  </si>
  <si>
    <t>COMCAST</t>
  </si>
  <si>
    <t>COMFORT SERVICES INC</t>
  </si>
  <si>
    <t>CRYSTALLAKE SCHOOL DISTRICT #47</t>
  </si>
  <si>
    <t>FAMILY GUIDANCE CENTERS</t>
  </si>
  <si>
    <t>ED-OP&amp;MAINT PLANT SERVICE - PURCHASED SERVICES</t>
  </si>
  <si>
    <t>GORDON FLESCH COMPANY, INC.</t>
  </si>
  <si>
    <t>ED-FISCAL SERVICES - PURCHASED SERVICES</t>
  </si>
  <si>
    <t>LAUTERBACH &amp; AMEN, LLP</t>
  </si>
  <si>
    <t>MCGRAW-HILL SCHOOL EDUCATION HOLDINGS LLC</t>
  </si>
  <si>
    <t>NETRIX LLC</t>
  </si>
  <si>
    <t>NEW CONNECTIONS ACADEMY</t>
  </si>
  <si>
    <t>NORTHWEST SUBURBAN SPECIAL EDUCATION ORGANIZATION</t>
  </si>
  <si>
    <t>NORTHWESTERN ILLINOIS ASSOCIATION</t>
  </si>
  <si>
    <t>ED - FOOD SERVICES - PURCHASED SERVICES</t>
  </si>
  <si>
    <t>ORGANIC LIFE</t>
  </si>
  <si>
    <t>PEARSON EDUCATION INC</t>
  </si>
  <si>
    <t>PENTEGRA SYSTEMS</t>
  </si>
  <si>
    <t>TR-PUPIL TRANSPORTATION-SUPPLIES</t>
  </si>
  <si>
    <t>PETROCHOICE</t>
  </si>
  <si>
    <t>RENAISSANCE LEARNING INC</t>
  </si>
  <si>
    <t xml:space="preserve">REVTRAK INC </t>
  </si>
  <si>
    <t>RJB PROPERTIES INC</t>
  </si>
  <si>
    <t>SANTANDER LEASING LLC</t>
  </si>
  <si>
    <t>SPECTRUM CENTER</t>
  </si>
  <si>
    <t>UNIQUE PRODUCTS &amp; SERVICES CORPORATION</t>
  </si>
  <si>
    <t>VERITIV OPERATING COMPANY</t>
  </si>
  <si>
    <t>VILLAGE OF CARY</t>
  </si>
  <si>
    <t>Revenues 9-14: 10-1790: Band Fees $11,723.76</t>
  </si>
  <si>
    <t>Revenues 9-14: 10-1890: Technology Fees $14,840</t>
  </si>
  <si>
    <t>Revenues 9-14: 10-1999: E-Rate $38,162</t>
  </si>
  <si>
    <t>Revenues 9-14: 10-1999: Picture Fees $57,809</t>
  </si>
  <si>
    <t>Revenues 9-14: 10-4998: Emergency Relief Fund $58,870</t>
  </si>
  <si>
    <t>Expenditures 15-22: 30-5400: Admin Service Charges $845</t>
  </si>
  <si>
    <t>Expenditures 15-22: Function 2190: Lunch Supervisor</t>
  </si>
  <si>
    <t>Cary CCSD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</si>
</sst>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3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indent="1"/>
      <protection locked="0"/>
    </xf>
    <xf numFmtId="3" fontId="64"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4"/>
      <protection locked="0"/>
    </xf>
    <xf numFmtId="0" fontId="33" fillId="0" borderId="0" xfId="2" applyAlignment="1" applyProtection="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35502</xdr:colOff>
          <xdr:row>0</xdr:row>
          <xdr:rowOff>95250</xdr:rowOff>
        </xdr:from>
        <xdr:to>
          <xdr:col>1</xdr:col>
          <xdr:colOff>949902</xdr:colOff>
          <xdr:row>4</xdr:row>
          <xdr:rowOff>143741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1578552</xdr:colOff>
          <xdr:row>0</xdr:row>
          <xdr:rowOff>95250</xdr:rowOff>
        </xdr:from>
        <xdr:to>
          <xdr:col>1</xdr:col>
          <xdr:colOff>2492952</xdr:colOff>
          <xdr:row>4</xdr:row>
          <xdr:rowOff>143741</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1559502</xdr:colOff>
          <xdr:row>5</xdr:row>
          <xdr:rowOff>12989</xdr:rowOff>
        </xdr:from>
        <xdr:to>
          <xdr:col>1</xdr:col>
          <xdr:colOff>2473902</xdr:colOff>
          <xdr:row>9</xdr:row>
          <xdr:rowOff>61480</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xdr:row>
          <xdr:rowOff>0</xdr:rowOff>
        </xdr:from>
        <xdr:to>
          <xdr:col>1</xdr:col>
          <xdr:colOff>904875</xdr:colOff>
          <xdr:row>8</xdr:row>
          <xdr:rowOff>28575</xdr:rowOff>
        </xdr:to>
        <xdr:sp macro="" textlink="">
          <xdr:nvSpPr>
            <xdr:cNvPr id="43017" name="Object 9" hidden="1">
              <a:extLst>
                <a:ext uri="{63B3BB69-23CF-44E3-9099-C40C66FF867C}">
                  <a14:compatExt spid="_x0000_s43017"/>
                </a:ext>
                <a:ext uri="{FF2B5EF4-FFF2-40B4-BE49-F238E27FC236}">
                  <a16:creationId xmlns:a16="http://schemas.microsoft.com/office/drawing/2014/main" id="{00000000-0008-0000-1400-000009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8">
        <f>+'AFR20'!E4</f>
        <v>44119</v>
      </c>
      <c r="C1" s="2048"/>
      <c r="D1" s="2049"/>
      <c r="I1" s="2127" t="s">
        <v>402</v>
      </c>
      <c r="J1" s="2128"/>
      <c r="K1" s="2128"/>
      <c r="L1" s="2128"/>
      <c r="M1" s="2128"/>
      <c r="N1" s="2128"/>
      <c r="O1" s="2128"/>
      <c r="P1" s="2128"/>
      <c r="Q1" s="2128"/>
      <c r="R1" s="2128"/>
      <c r="S1" s="2128"/>
    </row>
    <row r="2" spans="1:32" ht="12" customHeight="1" x14ac:dyDescent="0.2">
      <c r="A2" s="1831" t="str">
        <f>"Due to ISBE on "</f>
        <v xml:space="preserve">Due to ISBE on </v>
      </c>
      <c r="B2" s="2050">
        <f>+'AFR20'!F4</f>
        <v>44151</v>
      </c>
      <c r="C2" s="2050"/>
      <c r="D2" s="2051"/>
      <c r="I2" s="2129" t="s">
        <v>2000</v>
      </c>
      <c r="J2" s="2128"/>
      <c r="K2" s="2128"/>
      <c r="L2" s="2128"/>
      <c r="M2" s="2128"/>
      <c r="N2" s="2128"/>
      <c r="O2" s="2128"/>
      <c r="P2" s="2128"/>
      <c r="Q2" s="2128"/>
      <c r="R2" s="2128"/>
      <c r="S2" s="2128"/>
    </row>
    <row r="3" spans="1:32" ht="12" customHeight="1" x14ac:dyDescent="0.2">
      <c r="A3" s="1834" t="str">
        <f>"SD/JA"&amp;MID('AFR20'!E2,3,2)</f>
        <v>SD/JA20</v>
      </c>
      <c r="B3" s="151"/>
      <c r="C3" s="151"/>
      <c r="D3" s="152"/>
      <c r="I3" s="2129" t="s">
        <v>52</v>
      </c>
      <c r="J3" s="2128"/>
      <c r="K3" s="2128"/>
      <c r="L3" s="2128"/>
      <c r="M3" s="2128"/>
      <c r="N3" s="2128"/>
      <c r="O3" s="2128"/>
      <c r="P3" s="2128"/>
      <c r="Q3" s="2128"/>
      <c r="R3" s="2128"/>
      <c r="S3" s="2128"/>
    </row>
    <row r="4" spans="1:32" ht="12" customHeight="1" x14ac:dyDescent="0.2">
      <c r="A4" s="37"/>
      <c r="I4" s="2129" t="s">
        <v>521</v>
      </c>
      <c r="J4" s="2128"/>
      <c r="K4" s="2128"/>
      <c r="L4" s="2128"/>
      <c r="M4" s="2128"/>
      <c r="N4" s="2128"/>
      <c r="O4" s="2128"/>
      <c r="P4" s="2128"/>
      <c r="Q4" s="2128"/>
      <c r="R4" s="2128"/>
      <c r="S4" s="2128"/>
    </row>
    <row r="5" spans="1:32" ht="14.1" customHeight="1" x14ac:dyDescent="0.2">
      <c r="B5" s="101" t="s">
        <v>2048</v>
      </c>
      <c r="C5" s="26" t="s">
        <v>904</v>
      </c>
      <c r="D5" s="81"/>
      <c r="E5" s="81"/>
      <c r="H5" s="38"/>
      <c r="I5" s="2136" t="s">
        <v>675</v>
      </c>
      <c r="J5" s="2081"/>
      <c r="K5" s="2081"/>
      <c r="L5" s="2081"/>
      <c r="M5" s="2081"/>
      <c r="N5" s="2081"/>
      <c r="O5" s="2081"/>
      <c r="P5" s="2081"/>
      <c r="Q5" s="2081"/>
      <c r="R5" s="2081"/>
      <c r="S5" s="2081"/>
      <c r="AF5" s="1827"/>
    </row>
    <row r="6" spans="1:32" ht="14.1" customHeight="1" x14ac:dyDescent="0.2">
      <c r="B6" s="101"/>
      <c r="C6" s="26" t="s">
        <v>905</v>
      </c>
      <c r="D6" s="81"/>
      <c r="E6" s="81"/>
      <c r="I6" s="2135" t="s">
        <v>877</v>
      </c>
      <c r="J6" s="2081"/>
      <c r="K6" s="2081"/>
      <c r="L6" s="2081"/>
      <c r="M6" s="2081"/>
      <c r="N6" s="2081"/>
      <c r="O6" s="2081"/>
      <c r="P6" s="2081"/>
      <c r="Q6" s="2081"/>
      <c r="R6" s="2081"/>
      <c r="S6" s="2081"/>
    </row>
    <row r="7" spans="1:32" ht="12.2" customHeight="1" x14ac:dyDescent="0.2">
      <c r="I7" s="2130" t="str">
        <f>"June 30, "&amp;'AFR20'!E2</f>
        <v>June 30, 2020</v>
      </c>
      <c r="J7" s="2131"/>
      <c r="K7" s="2131"/>
      <c r="L7" s="2131"/>
      <c r="M7" s="2131"/>
      <c r="N7" s="2131"/>
      <c r="O7" s="2131"/>
      <c r="P7" s="2131"/>
      <c r="Q7" s="2131"/>
      <c r="R7" s="2131"/>
      <c r="S7" s="213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2" t="s">
        <v>669</v>
      </c>
      <c r="J9" s="2133"/>
      <c r="K9" s="2133"/>
      <c r="L9" s="2133"/>
      <c r="M9" s="2133"/>
      <c r="N9" s="2133"/>
      <c r="O9" s="2133"/>
      <c r="P9" s="2133"/>
      <c r="Q9" s="2133"/>
      <c r="R9" s="2133"/>
      <c r="S9" s="2134"/>
      <c r="T9" s="2077" t="s">
        <v>530</v>
      </c>
      <c r="U9" s="2078"/>
      <c r="V9" s="2078"/>
      <c r="W9" s="2078"/>
      <c r="X9" s="2078"/>
      <c r="Y9" s="2078"/>
      <c r="Z9" s="2078"/>
      <c r="AA9" s="2079"/>
    </row>
    <row r="10" spans="1:32" ht="13.5" customHeight="1" x14ac:dyDescent="0.2">
      <c r="A10" s="2086" t="s">
        <v>670</v>
      </c>
      <c r="B10" s="2087"/>
      <c r="C10" s="2087"/>
      <c r="D10" s="2087"/>
      <c r="E10" s="2087"/>
      <c r="F10" s="2087"/>
      <c r="G10" s="2087"/>
      <c r="H10" s="2088"/>
      <c r="I10" s="29"/>
      <c r="J10" s="30"/>
      <c r="K10" s="28"/>
      <c r="R10" s="30"/>
      <c r="S10" s="30"/>
      <c r="T10" s="2080"/>
      <c r="U10" s="2081"/>
      <c r="V10" s="2081"/>
      <c r="W10" s="2081"/>
      <c r="X10" s="2081"/>
      <c r="Y10" s="2081"/>
      <c r="Z10" s="2081"/>
      <c r="AA10" s="2082"/>
    </row>
    <row r="11" spans="1:32" ht="14.25" customHeight="1" x14ac:dyDescent="0.2">
      <c r="A11" s="2089" t="s">
        <v>949</v>
      </c>
      <c r="B11" s="2090"/>
      <c r="C11" s="2090"/>
      <c r="D11" s="2090"/>
      <c r="E11" s="2090"/>
      <c r="F11" s="2090"/>
      <c r="G11" s="2090"/>
      <c r="H11" s="2091"/>
      <c r="I11" s="27"/>
      <c r="J11" s="71"/>
      <c r="K11" s="27"/>
      <c r="O11" s="144"/>
      <c r="P11" s="97" t="s">
        <v>199</v>
      </c>
      <c r="Q11" s="30"/>
      <c r="R11" s="28"/>
      <c r="S11" s="27"/>
      <c r="T11" s="2083"/>
      <c r="U11" s="2084"/>
      <c r="V11" s="2084"/>
      <c r="W11" s="2084"/>
      <c r="X11" s="2084"/>
      <c r="Y11" s="2084"/>
      <c r="Z11" s="2084"/>
      <c r="AA11" s="2085"/>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97">
        <v>44063026004</v>
      </c>
      <c r="B13" s="2098"/>
      <c r="C13" s="2098"/>
      <c r="D13" s="2098"/>
      <c r="E13" s="2098"/>
      <c r="F13" s="2098"/>
      <c r="G13" s="2098"/>
      <c r="H13" s="2099"/>
      <c r="I13" s="31"/>
      <c r="J13" s="30"/>
      <c r="K13" s="28"/>
      <c r="L13" s="30"/>
      <c r="M13" s="30"/>
      <c r="N13" s="30"/>
      <c r="O13" s="30"/>
      <c r="P13" s="30"/>
      <c r="Q13" s="30"/>
      <c r="R13" s="30"/>
      <c r="S13" s="30"/>
      <c r="T13" s="2102" t="s">
        <v>2053</v>
      </c>
      <c r="U13" s="2103"/>
      <c r="V13" s="2103"/>
      <c r="W13" s="2103"/>
      <c r="X13" s="2103"/>
      <c r="Y13" s="2104"/>
      <c r="Z13" s="2104"/>
      <c r="AA13" s="210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5" t="s">
        <v>2049</v>
      </c>
      <c r="B15" s="2100"/>
      <c r="C15" s="2100"/>
      <c r="D15" s="2100"/>
      <c r="E15" s="2100"/>
      <c r="F15" s="2100"/>
      <c r="G15" s="2100"/>
      <c r="H15" s="2101"/>
      <c r="T15" s="2063" t="s">
        <v>2054</v>
      </c>
      <c r="U15" s="2064"/>
      <c r="V15" s="2064"/>
      <c r="W15" s="2064"/>
      <c r="X15" s="2064"/>
      <c r="Y15" s="2106"/>
      <c r="Z15" s="2106"/>
      <c r="AA15" s="210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5" t="s">
        <v>2180</v>
      </c>
      <c r="B17" s="2125"/>
      <c r="C17" s="2125"/>
      <c r="D17" s="2125"/>
      <c r="E17" s="2125"/>
      <c r="F17" s="2125"/>
      <c r="G17" s="2125"/>
      <c r="H17" s="2126"/>
      <c r="T17" s="2112" t="s">
        <v>2055</v>
      </c>
      <c r="U17" s="2113"/>
      <c r="V17" s="2113"/>
      <c r="W17" s="2113"/>
      <c r="X17" s="2113"/>
      <c r="Y17" s="2113"/>
      <c r="Z17" s="2113"/>
      <c r="AA17" s="2114"/>
    </row>
    <row r="18" spans="1:27" ht="13.5" customHeight="1" x14ac:dyDescent="0.2">
      <c r="A18" s="82" t="s">
        <v>527</v>
      </c>
      <c r="B18" s="73"/>
      <c r="C18" s="69"/>
      <c r="D18" s="73"/>
      <c r="E18" s="73"/>
      <c r="F18" s="73"/>
      <c r="G18" s="73"/>
      <c r="H18" s="53"/>
      <c r="I18" s="2122" t="s">
        <v>671</v>
      </c>
      <c r="J18" s="2123"/>
      <c r="K18" s="2123"/>
      <c r="L18" s="2123"/>
      <c r="M18" s="2123"/>
      <c r="N18" s="2123"/>
      <c r="O18" s="2123"/>
      <c r="P18" s="2123"/>
      <c r="Q18" s="2123"/>
      <c r="R18" s="2123"/>
      <c r="S18" s="2124"/>
      <c r="T18" s="82" t="s">
        <v>706</v>
      </c>
      <c r="U18" s="48"/>
      <c r="V18" s="69"/>
      <c r="W18" s="47"/>
      <c r="X18" s="82" t="s">
        <v>264</v>
      </c>
      <c r="Y18" s="78"/>
      <c r="Z18" s="154" t="s">
        <v>672</v>
      </c>
      <c r="AA18" s="44"/>
    </row>
    <row r="19" spans="1:27" ht="13.5" customHeight="1" x14ac:dyDescent="0.2">
      <c r="A19" s="2095" t="s">
        <v>2050</v>
      </c>
      <c r="B19" s="2096"/>
      <c r="C19" s="2096"/>
      <c r="D19" s="2096"/>
      <c r="E19" s="2096"/>
      <c r="F19" s="2096"/>
      <c r="G19" s="2096"/>
      <c r="H19" s="2094"/>
      <c r="I19" s="30"/>
      <c r="J19" s="96"/>
      <c r="K19" s="40"/>
      <c r="L19" s="38"/>
      <c r="M19" s="109" t="s">
        <v>312</v>
      </c>
      <c r="P19" s="27"/>
      <c r="Q19" s="27"/>
      <c r="R19" s="27"/>
      <c r="S19" s="31"/>
      <c r="T19" s="2095" t="s">
        <v>2056</v>
      </c>
      <c r="U19" s="2093"/>
      <c r="V19" s="2093"/>
      <c r="W19" s="2094"/>
      <c r="X19" s="2110" t="s">
        <v>2057</v>
      </c>
      <c r="Y19" s="2111"/>
      <c r="Z19" s="2108">
        <v>60563</v>
      </c>
      <c r="AA19" s="210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2" t="s">
        <v>2051</v>
      </c>
      <c r="B21" s="2093"/>
      <c r="C21" s="2093"/>
      <c r="D21" s="2093"/>
      <c r="E21" s="2093"/>
      <c r="F21" s="2093"/>
      <c r="G21" s="2093"/>
      <c r="H21" s="2094"/>
      <c r="I21" s="2118" t="s">
        <v>673</v>
      </c>
      <c r="J21" s="2081"/>
      <c r="K21" s="2081"/>
      <c r="L21" s="2081"/>
      <c r="M21" s="2081"/>
      <c r="N21" s="2081"/>
      <c r="O21" s="2081"/>
      <c r="P21" s="2081"/>
      <c r="Q21" s="2081"/>
      <c r="R21" s="2081"/>
      <c r="S21" s="2082"/>
      <c r="T21" s="2060">
        <v>6303931483</v>
      </c>
      <c r="U21" s="2061"/>
      <c r="V21" s="2061"/>
      <c r="W21" s="2061"/>
      <c r="X21" s="2074">
        <v>6303932516</v>
      </c>
      <c r="Y21" s="2075"/>
      <c r="Z21" s="2075"/>
      <c r="AA21" s="2076"/>
    </row>
    <row r="22" spans="1:27" ht="13.5" customHeight="1" x14ac:dyDescent="0.2">
      <c r="A22" s="84" t="s">
        <v>528</v>
      </c>
      <c r="B22" s="56"/>
      <c r="C22" s="56"/>
      <c r="D22" s="56"/>
      <c r="E22" s="56"/>
      <c r="F22" s="56"/>
      <c r="G22" s="56"/>
      <c r="H22" s="57"/>
      <c r="I22" s="2119" t="s">
        <v>1412</v>
      </c>
      <c r="J22" s="2120"/>
      <c r="K22" s="2120"/>
      <c r="L22" s="2120"/>
      <c r="M22" s="2120"/>
      <c r="N22" s="2120"/>
      <c r="O22" s="2120"/>
      <c r="P22" s="2120"/>
      <c r="Q22" s="2120"/>
      <c r="R22" s="2120"/>
      <c r="S22" s="2121"/>
      <c r="T22" s="82" t="s">
        <v>1499</v>
      </c>
      <c r="U22" s="48"/>
      <c r="V22" s="69"/>
      <c r="W22" s="48"/>
      <c r="X22" s="155" t="s">
        <v>1307</v>
      </c>
      <c r="Z22" s="43"/>
      <c r="AA22" s="44"/>
    </row>
    <row r="23" spans="1:27" ht="13.5" customHeight="1" x14ac:dyDescent="0.2">
      <c r="A23" s="2115" t="s">
        <v>2052</v>
      </c>
      <c r="B23" s="2116"/>
      <c r="C23" s="2116"/>
      <c r="D23" s="2116"/>
      <c r="E23" s="2116"/>
      <c r="F23" s="2116"/>
      <c r="G23" s="2116"/>
      <c r="H23" s="2117"/>
      <c r="T23" s="2055" t="s">
        <v>2058</v>
      </c>
      <c r="U23" s="2056"/>
      <c r="V23" s="2056"/>
      <c r="W23" s="2056"/>
      <c r="X23" s="2071">
        <v>44469</v>
      </c>
      <c r="Y23" s="2072"/>
      <c r="Z23" s="2072"/>
      <c r="AA23" s="2073"/>
    </row>
    <row r="24" spans="1:27" ht="14.1" customHeight="1" x14ac:dyDescent="0.2">
      <c r="A24" s="85" t="s">
        <v>672</v>
      </c>
      <c r="B24" s="46"/>
      <c r="C24" s="46"/>
      <c r="D24" s="46"/>
      <c r="E24" s="46"/>
      <c r="F24" s="46"/>
      <c r="G24" s="46"/>
      <c r="H24" s="58"/>
      <c r="J24" s="2157">
        <f>IF(B5="x",IF(AUDITCHECK!D29="AFR form Incomplete.","",IF(AUDITCHECK!D29="Deficit reduction plan is required.","School District must complete a deficit reduction plan in the 2020-2021 Budget",)),"")</f>
        <v>0</v>
      </c>
      <c r="K24" s="2157"/>
      <c r="L24" s="2157"/>
      <c r="M24" s="2157"/>
      <c r="N24" s="2157"/>
      <c r="O24" s="2157"/>
      <c r="P24" s="2157"/>
      <c r="Q24" s="2157"/>
      <c r="R24" s="2157"/>
      <c r="S24" s="2158"/>
      <c r="T24" s="102" t="s">
        <v>528</v>
      </c>
      <c r="U24" s="103"/>
      <c r="V24" s="103"/>
      <c r="W24" s="103"/>
      <c r="X24" s="104"/>
      <c r="Y24" s="104"/>
      <c r="Z24" s="104"/>
      <c r="AA24" s="105"/>
    </row>
    <row r="25" spans="1:27" ht="14.1" customHeight="1" x14ac:dyDescent="0.2">
      <c r="A25" s="2092">
        <v>60013</v>
      </c>
      <c r="B25" s="2093"/>
      <c r="C25" s="2093"/>
      <c r="D25" s="2093"/>
      <c r="E25" s="2093"/>
      <c r="F25" s="2093"/>
      <c r="G25" s="2093"/>
      <c r="H25" s="2094"/>
      <c r="I25" s="110"/>
      <c r="J25" s="2159"/>
      <c r="K25" s="2159"/>
      <c r="L25" s="2159"/>
      <c r="M25" s="2159"/>
      <c r="N25" s="2159"/>
      <c r="O25" s="2159"/>
      <c r="P25" s="2159"/>
      <c r="Q25" s="2159"/>
      <c r="R25" s="2159"/>
      <c r="S25" s="2160"/>
      <c r="T25" s="2052" t="s">
        <v>2059</v>
      </c>
      <c r="U25" s="2053"/>
      <c r="V25" s="2053"/>
      <c r="W25" s="2053"/>
      <c r="X25" s="2053"/>
      <c r="Y25" s="2053"/>
      <c r="Z25" s="2053"/>
      <c r="AA25" s="205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0" t="s">
        <v>1494</v>
      </c>
      <c r="J27" s="2123"/>
      <c r="K27" s="2123"/>
      <c r="L27" s="2123"/>
      <c r="M27" s="2123"/>
      <c r="N27" s="2123"/>
      <c r="O27" s="2123"/>
      <c r="P27" s="2123"/>
      <c r="Q27" s="2123"/>
      <c r="R27" s="2123"/>
      <c r="S27" s="212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99"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6"/>
      <c r="Q35" s="2093"/>
      <c r="R35" s="209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5" t="s">
        <v>2060</v>
      </c>
      <c r="B38" s="2125"/>
      <c r="C38" s="2125"/>
      <c r="D38" s="2125"/>
      <c r="E38" s="2125"/>
      <c r="F38" s="2093"/>
      <c r="G38" s="2093"/>
      <c r="H38" s="2094"/>
      <c r="I38" s="2144"/>
      <c r="J38" s="2064"/>
      <c r="K38" s="2064"/>
      <c r="L38" s="2064"/>
      <c r="M38" s="2064"/>
      <c r="N38" s="2064"/>
      <c r="O38" s="2064"/>
      <c r="P38" s="2065"/>
      <c r="Q38" s="2065"/>
      <c r="R38" s="2065"/>
      <c r="S38" s="2066"/>
      <c r="T38" s="2063"/>
      <c r="U38" s="2064"/>
      <c r="V38" s="2064"/>
      <c r="W38" s="2064"/>
      <c r="X38" s="2065"/>
      <c r="Y38" s="2065"/>
      <c r="Z38" s="2065"/>
      <c r="AA38" s="2066"/>
    </row>
    <row r="39" spans="1:27" ht="12" customHeight="1" x14ac:dyDescent="0.2">
      <c r="A39" s="2148" t="s">
        <v>528</v>
      </c>
      <c r="B39" s="2149"/>
      <c r="C39" s="69"/>
      <c r="D39" s="66"/>
      <c r="E39" s="66"/>
      <c r="F39" s="76"/>
      <c r="G39" s="66"/>
      <c r="H39" s="53"/>
      <c r="I39" s="2148" t="s">
        <v>528</v>
      </c>
      <c r="J39" s="2149"/>
      <c r="K39" s="2149"/>
      <c r="L39" s="2149"/>
      <c r="M39" s="2149"/>
      <c r="N39" s="64"/>
      <c r="O39" s="69"/>
      <c r="P39" s="69"/>
      <c r="Q39" s="75"/>
      <c r="R39" s="69"/>
      <c r="S39" s="53"/>
      <c r="T39" s="69" t="s">
        <v>528</v>
      </c>
      <c r="U39" s="48"/>
      <c r="V39" s="69"/>
      <c r="W39" s="47"/>
      <c r="X39" s="75"/>
      <c r="Y39" s="43"/>
      <c r="Z39" s="43"/>
      <c r="AA39" s="44"/>
    </row>
    <row r="40" spans="1:27" ht="13.5" customHeight="1" x14ac:dyDescent="0.2">
      <c r="A40" s="2151" t="s">
        <v>2061</v>
      </c>
      <c r="B40" s="2152"/>
      <c r="C40" s="2153"/>
      <c r="D40" s="2153"/>
      <c r="E40" s="2153"/>
      <c r="F40" s="2154"/>
      <c r="G40" s="2154"/>
      <c r="H40" s="2155"/>
      <c r="I40" s="2067"/>
      <c r="J40" s="2069"/>
      <c r="K40" s="2069"/>
      <c r="L40" s="2069"/>
      <c r="M40" s="2069"/>
      <c r="N40" s="2069"/>
      <c r="O40" s="2069"/>
      <c r="P40" s="2069"/>
      <c r="Q40" s="2069"/>
      <c r="R40" s="2069"/>
      <c r="S40" s="2070"/>
      <c r="T40" s="2067"/>
      <c r="U40" s="2068"/>
      <c r="V40" s="2069"/>
      <c r="W40" s="2069"/>
      <c r="X40" s="2069"/>
      <c r="Y40" s="2069"/>
      <c r="Z40" s="2069"/>
      <c r="AA40" s="207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1">
        <v>2243575100</v>
      </c>
      <c r="B42" s="2142"/>
      <c r="C42" s="2143"/>
      <c r="D42" s="2156"/>
      <c r="E42" s="2142"/>
      <c r="F42" s="2142"/>
      <c r="G42" s="2142"/>
      <c r="H42" s="2143"/>
      <c r="I42" s="2062"/>
      <c r="J42" s="2058"/>
      <c r="K42" s="2058"/>
      <c r="L42" s="2058"/>
      <c r="M42" s="2058"/>
      <c r="N42" s="2058"/>
      <c r="O42" s="2059"/>
      <c r="P42" s="2057"/>
      <c r="Q42" s="2058"/>
      <c r="R42" s="2058"/>
      <c r="S42" s="2059"/>
      <c r="T42" s="2062"/>
      <c r="U42" s="2058"/>
      <c r="V42" s="2058"/>
      <c r="W42" s="2059"/>
      <c r="X42" s="2057"/>
      <c r="Y42" s="2058"/>
      <c r="Z42" s="2058"/>
      <c r="AA42" s="205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5"/>
      <c r="B44" s="2146"/>
      <c r="C44" s="2146"/>
      <c r="D44" s="2146"/>
      <c r="E44" s="2146"/>
      <c r="F44" s="2146"/>
      <c r="G44" s="2146"/>
      <c r="H44" s="2147"/>
      <c r="I44" s="2137"/>
      <c r="J44" s="2139"/>
      <c r="K44" s="2139"/>
      <c r="L44" s="2139"/>
      <c r="M44" s="2139"/>
      <c r="N44" s="2139"/>
      <c r="O44" s="2139"/>
      <c r="P44" s="2139"/>
      <c r="Q44" s="2139"/>
      <c r="R44" s="2139"/>
      <c r="S44" s="2140"/>
      <c r="T44" s="2137"/>
      <c r="U44" s="2138"/>
      <c r="V44" s="2138"/>
      <c r="W44" s="2138"/>
      <c r="X44" s="2138"/>
      <c r="Y44" s="2138"/>
      <c r="Z44" s="2139"/>
      <c r="AA44" s="214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14" sqref="B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0"/>
      <c r="B3" s="1294"/>
      <c r="C3" s="1295"/>
      <c r="D3" s="1296" t="s">
        <v>254</v>
      </c>
      <c r="E3" s="1295"/>
      <c r="F3" s="1296" t="s">
        <v>255</v>
      </c>
    </row>
    <row r="4" spans="1:8" ht="13.7" customHeight="1" x14ac:dyDescent="0.2">
      <c r="A4" s="579" t="s">
        <v>1145</v>
      </c>
      <c r="B4" s="1721">
        <f>'Revenues 9-14'!C5</f>
        <v>18092464</v>
      </c>
      <c r="C4" s="1722">
        <v>8247287</v>
      </c>
      <c r="D4" s="1723">
        <f>B4-C4</f>
        <v>9845177</v>
      </c>
      <c r="E4" s="1722">
        <v>18478584</v>
      </c>
      <c r="F4" s="1723">
        <f>E4-C4</f>
        <v>10231297</v>
      </c>
    </row>
    <row r="5" spans="1:8" ht="13.7" customHeight="1" x14ac:dyDescent="0.2">
      <c r="A5" s="579" t="s">
        <v>865</v>
      </c>
      <c r="B5" s="1724">
        <f>'Revenues 9-14'!D5</f>
        <v>1994357</v>
      </c>
      <c r="C5" s="1664">
        <v>935879</v>
      </c>
      <c r="D5" s="1725">
        <f t="shared" ref="D5:D18" si="0">B5-C5</f>
        <v>1058478</v>
      </c>
      <c r="E5" s="1664">
        <v>2096898</v>
      </c>
      <c r="F5" s="1725">
        <f>E5-C5</f>
        <v>1161019</v>
      </c>
    </row>
    <row r="6" spans="1:8" ht="13.7" customHeight="1" x14ac:dyDescent="0.2">
      <c r="A6" s="579" t="s">
        <v>408</v>
      </c>
      <c r="B6" s="1724">
        <f>'Revenues 9-14'!E5</f>
        <v>2713591</v>
      </c>
      <c r="C6" s="1664">
        <v>1232723</v>
      </c>
      <c r="D6" s="1725">
        <f t="shared" si="0"/>
        <v>1480868</v>
      </c>
      <c r="E6" s="1664">
        <v>2765951</v>
      </c>
      <c r="F6" s="1725">
        <f t="shared" ref="F6:F18" si="1">E6-C6</f>
        <v>1533228</v>
      </c>
    </row>
    <row r="7" spans="1:8" ht="13.7" customHeight="1" x14ac:dyDescent="0.2">
      <c r="A7" s="579" t="s">
        <v>154</v>
      </c>
      <c r="B7" s="1724">
        <f>'Revenues 9-14'!F5</f>
        <v>1088800</v>
      </c>
      <c r="C7" s="1664">
        <v>484613</v>
      </c>
      <c r="D7" s="1725">
        <f t="shared" si="0"/>
        <v>604187</v>
      </c>
      <c r="E7" s="1664">
        <v>1085807</v>
      </c>
      <c r="F7" s="1725">
        <f t="shared" si="1"/>
        <v>601194</v>
      </c>
    </row>
    <row r="8" spans="1:8" ht="13.7" customHeight="1" x14ac:dyDescent="0.2">
      <c r="A8" s="579" t="s">
        <v>1169</v>
      </c>
      <c r="B8" s="1724">
        <f>'Revenues 9-14'!G5</f>
        <v>459323</v>
      </c>
      <c r="C8" s="1664">
        <v>168947</v>
      </c>
      <c r="D8" s="1725">
        <f t="shared" si="0"/>
        <v>290376</v>
      </c>
      <c r="E8" s="1664">
        <v>378537</v>
      </c>
      <c r="F8" s="1725">
        <f t="shared" si="1"/>
        <v>209590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269335</v>
      </c>
      <c r="C14" s="1664">
        <v>126711</v>
      </c>
      <c r="D14" s="1725">
        <f t="shared" si="0"/>
        <v>142624</v>
      </c>
      <c r="E14" s="1664">
        <v>283904</v>
      </c>
      <c r="F14" s="1725">
        <f t="shared" si="1"/>
        <v>157193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476747</v>
      </c>
      <c r="C16" s="1664">
        <v>168947</v>
      </c>
      <c r="D16" s="1725">
        <f t="shared" si="0"/>
        <v>307800</v>
      </c>
      <c r="E16" s="1664">
        <v>378537</v>
      </c>
      <c r="F16" s="1725">
        <f t="shared" si="1"/>
        <v>209590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25094617</v>
      </c>
      <c r="C19" s="1726">
        <f>SUM(C4:C18)</f>
        <v>11365107</v>
      </c>
      <c r="D19" s="1726">
        <f>SUM(D4:D18)</f>
        <v>13729510</v>
      </c>
      <c r="E19" s="1726">
        <f>SUM(E4:E18)</f>
        <v>25468218</v>
      </c>
      <c r="F19" s="1726">
        <f>SUM(F4:F18)</f>
        <v>14103111</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3" sqref="J33: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625</v>
      </c>
      <c r="B1" s="2306"/>
      <c r="C1" s="585"/>
    </row>
    <row r="2" spans="1:7" ht="33.75" x14ac:dyDescent="0.2">
      <c r="A2" s="2314" t="s">
        <v>1776</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07"/>
      <c r="D3" s="2308"/>
      <c r="E3" s="2308"/>
      <c r="F3" s="2309"/>
    </row>
    <row r="4" spans="1:7" ht="12.75" customHeight="1" thickBot="1" x14ac:dyDescent="0.25">
      <c r="A4" s="2316" t="s">
        <v>626</v>
      </c>
      <c r="B4" s="2317"/>
      <c r="C4" s="1656"/>
      <c r="D4" s="1656"/>
      <c r="E4" s="1656"/>
      <c r="F4" s="1732">
        <f>SUM(C4+D4)-E4</f>
        <v>0</v>
      </c>
    </row>
    <row r="5" spans="1:7" ht="15.75" customHeight="1" thickTop="1" x14ac:dyDescent="0.2">
      <c r="A5" s="2301" t="s">
        <v>1101</v>
      </c>
      <c r="B5" s="2302"/>
      <c r="C5" s="2310"/>
      <c r="D5" s="2311"/>
      <c r="E5" s="2311"/>
      <c r="F5" s="231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3" t="s">
        <v>1102</v>
      </c>
      <c r="B16" s="2302"/>
      <c r="C16" s="2310"/>
      <c r="D16" s="2311"/>
      <c r="E16" s="2311"/>
      <c r="F16" s="2312"/>
    </row>
    <row r="17" spans="1:11" ht="12.75" customHeight="1" thickBot="1" x14ac:dyDescent="0.25">
      <c r="A17" s="2326" t="s">
        <v>64</v>
      </c>
      <c r="B17" s="2327"/>
      <c r="C17" s="1733"/>
      <c r="D17" s="1664"/>
      <c r="E17" s="1733"/>
      <c r="F17" s="1732">
        <f>SUM(C17+D17)-E17</f>
        <v>0</v>
      </c>
    </row>
    <row r="18" spans="1:11" ht="12.75" customHeight="1" thickTop="1" thickBot="1" x14ac:dyDescent="0.25">
      <c r="A18" s="2326" t="s">
        <v>6</v>
      </c>
      <c r="B18" s="2327"/>
      <c r="C18" s="1733"/>
      <c r="D18" s="1664"/>
      <c r="E18" s="1733"/>
      <c r="F18" s="1732">
        <f>SUM(C18+D18)-E18</f>
        <v>0</v>
      </c>
    </row>
    <row r="19" spans="1:11" ht="12.75" customHeight="1" thickTop="1" thickBot="1" x14ac:dyDescent="0.25">
      <c r="A19" s="2326" t="s">
        <v>385</v>
      </c>
      <c r="B19" s="2327"/>
      <c r="C19" s="1733"/>
      <c r="D19" s="1664"/>
      <c r="E19" s="1733"/>
      <c r="F19" s="1732">
        <f>SUM(C19+D19)-E19</f>
        <v>0</v>
      </c>
    </row>
    <row r="20" spans="1:11" ht="12.75" customHeight="1" thickTop="1" thickBot="1" x14ac:dyDescent="0.25">
      <c r="A20" s="2326" t="s">
        <v>445</v>
      </c>
      <c r="B20" s="2327"/>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28" t="s">
        <v>1103</v>
      </c>
      <c r="B22" s="2302"/>
      <c r="C22" s="2310"/>
      <c r="D22" s="2311"/>
      <c r="E22" s="2311"/>
      <c r="F22" s="2312"/>
    </row>
    <row r="23" spans="1:11" ht="13.5" thickBot="1" x14ac:dyDescent="0.25">
      <c r="A23" s="2316" t="s">
        <v>629</v>
      </c>
      <c r="B23" s="2317"/>
      <c r="C23" s="1656"/>
      <c r="D23" s="1656"/>
      <c r="E23" s="1656"/>
      <c r="F23" s="1732">
        <f>SUM(C23+D23)-E23</f>
        <v>0</v>
      </c>
      <c r="G23" s="473"/>
    </row>
    <row r="24" spans="1:11" ht="15.75" customHeight="1" thickTop="1" x14ac:dyDescent="0.2">
      <c r="A24" s="2328" t="s">
        <v>2003</v>
      </c>
      <c r="B24" s="2302"/>
      <c r="C24" s="2310"/>
      <c r="D24" s="2311"/>
      <c r="E24" s="2311"/>
      <c r="F24" s="2312"/>
    </row>
    <row r="25" spans="1:11" ht="13.5" thickBot="1" x14ac:dyDescent="0.25">
      <c r="A25" s="2316" t="s">
        <v>2004</v>
      </c>
      <c r="B25" s="2317"/>
      <c r="C25" s="1656"/>
      <c r="D25" s="1656"/>
      <c r="E25" s="1656"/>
      <c r="F25" s="1732">
        <f>SUM(C25+D25)-E25</f>
        <v>0</v>
      </c>
      <c r="G25" s="473"/>
    </row>
    <row r="26" spans="1:11" ht="15.75" customHeight="1" thickTop="1" x14ac:dyDescent="0.2">
      <c r="A26" s="2301" t="s">
        <v>652</v>
      </c>
      <c r="B26" s="2302"/>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29" t="s">
        <v>578</v>
      </c>
      <c r="B29" s="230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2062</v>
      </c>
      <c r="B31" s="595">
        <v>40574</v>
      </c>
      <c r="C31" s="1734">
        <v>13400000</v>
      </c>
      <c r="D31" s="1735">
        <v>7</v>
      </c>
      <c r="E31" s="1734">
        <v>1715000</v>
      </c>
      <c r="F31" s="1734"/>
      <c r="G31" s="1734"/>
      <c r="H31" s="1734">
        <v>1715000</v>
      </c>
      <c r="I31" s="1736">
        <f>((E31+F31)-H31)+G31</f>
        <v>0</v>
      </c>
      <c r="J31" s="1734"/>
      <c r="K31" s="596"/>
    </row>
    <row r="32" spans="1:11" ht="12" customHeight="1" x14ac:dyDescent="0.2">
      <c r="A32" s="594" t="s">
        <v>2063</v>
      </c>
      <c r="B32" s="595">
        <v>40574</v>
      </c>
      <c r="C32" s="1734">
        <v>1600000</v>
      </c>
      <c r="D32" s="1735">
        <v>7</v>
      </c>
      <c r="E32" s="1734">
        <v>1600000</v>
      </c>
      <c r="F32" s="1734"/>
      <c r="G32" s="1734"/>
      <c r="H32" s="1734">
        <v>1600000</v>
      </c>
      <c r="I32" s="1736">
        <f>((E32+F32)-H32)+G32</f>
        <v>0</v>
      </c>
      <c r="J32" s="1734"/>
      <c r="K32" s="596"/>
    </row>
    <row r="33" spans="1:11" ht="12" customHeight="1" x14ac:dyDescent="0.2">
      <c r="A33" s="594" t="s">
        <v>2064</v>
      </c>
      <c r="B33" s="595">
        <v>41963</v>
      </c>
      <c r="C33" s="1734">
        <v>7190000</v>
      </c>
      <c r="D33" s="1735">
        <v>3</v>
      </c>
      <c r="E33" s="1734">
        <v>1105000</v>
      </c>
      <c r="F33" s="1734"/>
      <c r="G33" s="1734"/>
      <c r="H33" s="1734">
        <v>790000</v>
      </c>
      <c r="I33" s="1736">
        <f t="shared" ref="I33:I48" si="1">((E33+F33)-H33)+G33</f>
        <v>315000</v>
      </c>
      <c r="J33" s="1734">
        <f>I33</f>
        <v>315000</v>
      </c>
      <c r="K33" s="596"/>
    </row>
    <row r="34" spans="1:11" ht="12" customHeight="1" x14ac:dyDescent="0.2">
      <c r="A34" s="594" t="s">
        <v>2065</v>
      </c>
      <c r="B34" s="595">
        <v>42682</v>
      </c>
      <c r="C34" s="1734">
        <v>9975000</v>
      </c>
      <c r="D34" s="1735">
        <v>3</v>
      </c>
      <c r="E34" s="1734">
        <v>9120000</v>
      </c>
      <c r="F34" s="1734"/>
      <c r="G34" s="1734"/>
      <c r="H34" s="1734">
        <v>5000</v>
      </c>
      <c r="I34" s="1736">
        <f t="shared" si="1"/>
        <v>9115000</v>
      </c>
      <c r="J34" s="1734">
        <f>I34</f>
        <v>9115000</v>
      </c>
      <c r="K34" s="597"/>
    </row>
    <row r="35" spans="1:11" ht="12" customHeight="1" x14ac:dyDescent="0.2">
      <c r="A35" s="594" t="s">
        <v>2066</v>
      </c>
      <c r="B35" s="595">
        <v>42706</v>
      </c>
      <c r="C35" s="1737">
        <v>1050000</v>
      </c>
      <c r="D35" s="1735">
        <v>3</v>
      </c>
      <c r="E35" s="1737">
        <v>680000</v>
      </c>
      <c r="F35" s="1737"/>
      <c r="G35" s="1737"/>
      <c r="H35" s="1737">
        <v>5000</v>
      </c>
      <c r="I35" s="1736">
        <f t="shared" si="1"/>
        <v>675000</v>
      </c>
      <c r="J35" s="1737">
        <f>I35</f>
        <v>675000</v>
      </c>
      <c r="K35" s="597"/>
    </row>
    <row r="36" spans="1:11" ht="12" customHeight="1" x14ac:dyDescent="0.2">
      <c r="A36" s="594" t="s">
        <v>2067</v>
      </c>
      <c r="B36" s="595">
        <v>42740</v>
      </c>
      <c r="C36" s="1734">
        <v>3920000</v>
      </c>
      <c r="D36" s="1735">
        <v>3</v>
      </c>
      <c r="E36" s="1734">
        <v>2195000</v>
      </c>
      <c r="F36" s="1734"/>
      <c r="G36" s="1734"/>
      <c r="H36" s="1734">
        <v>5000</v>
      </c>
      <c r="I36" s="1736">
        <f t="shared" si="1"/>
        <v>2190000</v>
      </c>
      <c r="J36" s="1734">
        <f>I36</f>
        <v>2190000</v>
      </c>
      <c r="K36" s="598"/>
    </row>
    <row r="37" spans="1:11" ht="12" customHeight="1" x14ac:dyDescent="0.2">
      <c r="A37" s="594" t="s">
        <v>2068</v>
      </c>
      <c r="B37" s="595">
        <v>43077</v>
      </c>
      <c r="C37" s="1574">
        <v>3040000</v>
      </c>
      <c r="D37" s="1738">
        <v>7</v>
      </c>
      <c r="E37" s="1574">
        <v>2535000</v>
      </c>
      <c r="F37" s="1574"/>
      <c r="G37" s="1574"/>
      <c r="H37" s="1574">
        <v>505000</v>
      </c>
      <c r="I37" s="1736">
        <f t="shared" si="1"/>
        <v>2030000</v>
      </c>
      <c r="J37" s="1574">
        <f>I37</f>
        <v>2030000</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40175000</v>
      </c>
      <c r="D49" s="1742"/>
      <c r="E49" s="1736">
        <f t="shared" ref="E49:J49" si="2">SUM(E31:E48)</f>
        <v>18950000</v>
      </c>
      <c r="F49" s="1736">
        <f t="shared" si="2"/>
        <v>0</v>
      </c>
      <c r="G49" s="1736">
        <f t="shared" si="2"/>
        <v>0</v>
      </c>
      <c r="H49" s="1736">
        <f t="shared" si="2"/>
        <v>4625000</v>
      </c>
      <c r="I49" s="1736">
        <f t="shared" si="2"/>
        <v>14325000</v>
      </c>
      <c r="J49" s="1736">
        <f t="shared" si="2"/>
        <v>14325000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20" t="s">
        <v>580</v>
      </c>
      <c r="C52" s="2321"/>
      <c r="D52" s="2321"/>
      <c r="E52" s="603" t="s">
        <v>840</v>
      </c>
      <c r="F52" s="2322"/>
      <c r="G52" s="2323"/>
      <c r="H52" s="596"/>
      <c r="I52" s="596"/>
      <c r="J52" s="600"/>
    </row>
    <row r="53" spans="1:11" ht="11.25" customHeight="1" x14ac:dyDescent="0.2">
      <c r="A53" s="604" t="s">
        <v>907</v>
      </c>
      <c r="B53" s="605" t="s">
        <v>945</v>
      </c>
      <c r="C53" s="600"/>
      <c r="D53" s="597"/>
      <c r="E53" s="603" t="s">
        <v>494</v>
      </c>
      <c r="F53" s="2324"/>
      <c r="G53" s="2325"/>
      <c r="H53" s="596"/>
      <c r="I53" s="596"/>
      <c r="J53" s="600"/>
    </row>
    <row r="54" spans="1:11" ht="11.25" customHeight="1" x14ac:dyDescent="0.2">
      <c r="A54" s="606" t="s">
        <v>908</v>
      </c>
      <c r="B54" s="601" t="s">
        <v>946</v>
      </c>
      <c r="C54" s="600"/>
      <c r="D54" s="597"/>
      <c r="E54" s="603" t="s">
        <v>495</v>
      </c>
      <c r="F54" s="2324"/>
      <c r="G54" s="232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6" t="s">
        <v>851</v>
      </c>
      <c r="B1" s="2357"/>
      <c r="C1" s="2357"/>
      <c r="D1" s="2357"/>
      <c r="E1" s="2357"/>
      <c r="F1" s="2357"/>
      <c r="G1" s="2358"/>
      <c r="H1" s="1298"/>
      <c r="I1" s="614"/>
      <c r="J1" s="400"/>
    </row>
    <row r="2" spans="1:11" ht="26.25" x14ac:dyDescent="0.2">
      <c r="A2" s="2333" t="s">
        <v>1658</v>
      </c>
      <c r="B2" s="2334"/>
      <c r="C2" s="2334"/>
      <c r="D2" s="2334"/>
      <c r="E2" s="2335"/>
      <c r="F2" s="615" t="s">
        <v>898</v>
      </c>
      <c r="G2" s="616" t="s">
        <v>1655</v>
      </c>
      <c r="H2" s="616" t="s">
        <v>407</v>
      </c>
      <c r="I2" s="616" t="s">
        <v>1148</v>
      </c>
      <c r="J2" s="616" t="s">
        <v>1786</v>
      </c>
      <c r="K2" s="616" t="s">
        <v>137</v>
      </c>
    </row>
    <row r="3" spans="1:11" x14ac:dyDescent="0.2">
      <c r="A3" s="2336" t="str">
        <f>"Cash Basis Fund Balance as of July 1, "&amp;'AFR20'!E2-1</f>
        <v>Cash Basis Fund Balance as of July 1, 2019</v>
      </c>
      <c r="B3" s="2337"/>
      <c r="C3" s="2337"/>
      <c r="D3" s="2337"/>
      <c r="E3" s="2338"/>
      <c r="F3" s="617"/>
      <c r="G3" s="1744"/>
      <c r="H3" s="1744"/>
      <c r="I3" s="1744"/>
      <c r="J3" s="1745"/>
      <c r="K3" s="1745"/>
    </row>
    <row r="4" spans="1:11" x14ac:dyDescent="0.2">
      <c r="A4" s="2339" t="s">
        <v>366</v>
      </c>
      <c r="B4" s="2340"/>
      <c r="C4" s="2340"/>
      <c r="D4" s="2340"/>
      <c r="E4" s="2321"/>
      <c r="F4" s="620"/>
      <c r="G4" s="1746"/>
      <c r="H4" s="1747"/>
      <c r="I4" s="1746"/>
      <c r="J4" s="1748"/>
      <c r="K4" s="1748"/>
    </row>
    <row r="5" spans="1:11" x14ac:dyDescent="0.2">
      <c r="A5" s="2359" t="s">
        <v>1060</v>
      </c>
      <c r="B5" s="2330"/>
      <c r="C5" s="2330"/>
      <c r="D5" s="2330"/>
      <c r="E5" s="2360"/>
      <c r="F5" s="622" t="s">
        <v>843</v>
      </c>
      <c r="G5" s="1749"/>
      <c r="H5" s="1744">
        <f>'Revenues 9-14'!C7</f>
        <v>269335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9" t="s">
        <v>1787</v>
      </c>
      <c r="B10" s="2330"/>
      <c r="C10" s="2330"/>
      <c r="D10" s="2330"/>
      <c r="E10" s="2361"/>
      <c r="F10" s="633" t="s">
        <v>857</v>
      </c>
      <c r="G10" s="1753"/>
      <c r="H10" s="1754"/>
      <c r="I10" s="1744"/>
      <c r="J10" s="1745"/>
      <c r="K10" s="1745"/>
    </row>
    <row r="11" spans="1:11" x14ac:dyDescent="0.2">
      <c r="A11" s="2359" t="s">
        <v>159</v>
      </c>
      <c r="B11" s="2330"/>
      <c r="C11" s="2330"/>
      <c r="D11" s="2330"/>
      <c r="E11" s="2360"/>
      <c r="F11" s="622" t="s">
        <v>847</v>
      </c>
      <c r="G11" s="1749"/>
      <c r="H11" s="1744"/>
      <c r="I11" s="1744"/>
      <c r="J11" s="1745"/>
      <c r="K11" s="1751"/>
    </row>
    <row r="12" spans="1:11" ht="13.5" thickBot="1" x14ac:dyDescent="0.25">
      <c r="A12" s="2347" t="s">
        <v>899</v>
      </c>
      <c r="B12" s="2348"/>
      <c r="C12" s="2348"/>
      <c r="D12" s="2348"/>
      <c r="E12" s="2349"/>
      <c r="F12" s="1433"/>
      <c r="G12" s="1755">
        <f>SUM(G5:G11)</f>
        <v>0</v>
      </c>
      <c r="H12" s="1755">
        <f>SUM(H5:H11)</f>
        <v>269335</v>
      </c>
      <c r="I12" s="1755">
        <f>SUM(I5:I11)</f>
        <v>0</v>
      </c>
      <c r="J12" s="1755">
        <f>SUM(J5:J11)</f>
        <v>0</v>
      </c>
      <c r="K12" s="1755">
        <f>SUM(K5:K11)</f>
        <v>0</v>
      </c>
    </row>
    <row r="13" spans="1:11" ht="13.5" thickTop="1" x14ac:dyDescent="0.2">
      <c r="A13" s="2341" t="s">
        <v>367</v>
      </c>
      <c r="B13" s="2342"/>
      <c r="C13" s="2342"/>
      <c r="D13" s="2342"/>
      <c r="E13" s="2343"/>
      <c r="F13" s="634"/>
      <c r="G13" s="1756"/>
      <c r="H13" s="1757"/>
      <c r="I13" s="1758"/>
      <c r="J13" s="1758"/>
      <c r="K13" s="1758"/>
    </row>
    <row r="14" spans="1:11" x14ac:dyDescent="0.2">
      <c r="A14" s="2365" t="s">
        <v>453</v>
      </c>
      <c r="B14" s="2365"/>
      <c r="C14" s="2365"/>
      <c r="D14" s="2365"/>
      <c r="E14" s="2366"/>
      <c r="F14" s="635" t="s">
        <v>849</v>
      </c>
      <c r="G14" s="1753"/>
      <c r="H14" s="1744">
        <f>H5</f>
        <v>269335</v>
      </c>
      <c r="I14" s="1749"/>
      <c r="J14" s="1751"/>
      <c r="K14" s="1745"/>
    </row>
    <row r="15" spans="1:11" x14ac:dyDescent="0.2">
      <c r="A15" s="2330" t="s">
        <v>4</v>
      </c>
      <c r="B15" s="2330"/>
      <c r="C15" s="2330"/>
      <c r="D15" s="2330"/>
      <c r="E15" s="2360"/>
      <c r="F15" s="635" t="s">
        <v>850</v>
      </c>
      <c r="G15" s="1749"/>
      <c r="H15" s="1744"/>
      <c r="I15" s="1744"/>
      <c r="J15" s="1745"/>
      <c r="K15" s="1745"/>
    </row>
    <row r="16" spans="1:11" x14ac:dyDescent="0.2">
      <c r="A16" s="2330" t="s">
        <v>295</v>
      </c>
      <c r="B16" s="2330"/>
      <c r="C16" s="2330"/>
      <c r="D16" s="2330"/>
      <c r="E16" s="2360"/>
      <c r="F16" s="635" t="s">
        <v>917</v>
      </c>
      <c r="G16" s="1750"/>
      <c r="H16" s="1746"/>
      <c r="I16" s="1746"/>
      <c r="J16" s="1748"/>
      <c r="K16" s="1748"/>
    </row>
    <row r="17" spans="1:15" x14ac:dyDescent="0.2">
      <c r="A17" s="2354" t="s">
        <v>929</v>
      </c>
      <c r="B17" s="2354"/>
      <c r="C17" s="2354"/>
      <c r="D17" s="2354"/>
      <c r="E17" s="2355"/>
      <c r="F17" s="636"/>
      <c r="G17" s="1759"/>
      <c r="H17" s="1760"/>
      <c r="I17" s="1760"/>
      <c r="J17" s="1761"/>
      <c r="K17" s="1762"/>
    </row>
    <row r="18" spans="1:15" x14ac:dyDescent="0.2">
      <c r="A18" s="2344" t="s">
        <v>365</v>
      </c>
      <c r="B18" s="2345"/>
      <c r="C18" s="2345"/>
      <c r="D18" s="2345"/>
      <c r="E18" s="2346"/>
      <c r="F18" s="635" t="s">
        <v>926</v>
      </c>
      <c r="G18" s="1753"/>
      <c r="H18" s="1753"/>
      <c r="I18" s="1753"/>
      <c r="J18" s="1745"/>
      <c r="K18" s="1763"/>
    </row>
    <row r="19" spans="1:15" ht="21.75" customHeight="1" x14ac:dyDescent="0.2">
      <c r="A19" s="2367" t="s">
        <v>1783</v>
      </c>
      <c r="B19" s="2367"/>
      <c r="C19" s="2367"/>
      <c r="D19" s="2367"/>
      <c r="E19" s="2368"/>
      <c r="F19" s="635" t="s">
        <v>927</v>
      </c>
      <c r="G19" s="1753"/>
      <c r="H19" s="1753"/>
      <c r="I19" s="1753"/>
      <c r="J19" s="1745"/>
      <c r="K19" s="1763"/>
    </row>
    <row r="20" spans="1:15" x14ac:dyDescent="0.2">
      <c r="A20" s="2344" t="s">
        <v>1788</v>
      </c>
      <c r="B20" s="2345"/>
      <c r="C20" s="2345"/>
      <c r="D20" s="2345"/>
      <c r="E20" s="2346"/>
      <c r="F20" s="635" t="s">
        <v>928</v>
      </c>
      <c r="G20" s="1753"/>
      <c r="H20" s="1753"/>
      <c r="I20" s="1753"/>
      <c r="J20" s="1745"/>
      <c r="K20" s="1763"/>
    </row>
    <row r="21" spans="1:15" ht="13.5" thickBot="1" x14ac:dyDescent="0.25">
      <c r="A21" s="2350" t="s">
        <v>633</v>
      </c>
      <c r="B21" s="2350"/>
      <c r="C21" s="2350"/>
      <c r="D21" s="2350"/>
      <c r="E21" s="2350"/>
      <c r="F21" s="1434"/>
      <c r="G21" s="1760"/>
      <c r="H21" s="1764"/>
      <c r="I21" s="1764"/>
      <c r="J21" s="1765">
        <f>SUM(J18:J20)</f>
        <v>0</v>
      </c>
      <c r="K21" s="1761"/>
    </row>
    <row r="22" spans="1:15" ht="13.5" thickTop="1" x14ac:dyDescent="0.2">
      <c r="A22" s="2330" t="s">
        <v>1789</v>
      </c>
      <c r="B22" s="2330"/>
      <c r="C22" s="2330"/>
      <c r="D22" s="2330"/>
      <c r="E22" s="2360"/>
      <c r="F22" s="635" t="s">
        <v>857</v>
      </c>
      <c r="G22" s="1753"/>
      <c r="H22" s="1744"/>
      <c r="I22" s="1744"/>
      <c r="J22" s="1766"/>
      <c r="K22" s="1745"/>
    </row>
    <row r="23" spans="1:15" ht="13.5" thickBot="1" x14ac:dyDescent="0.25">
      <c r="A23" s="2351" t="s">
        <v>900</v>
      </c>
      <c r="B23" s="2350"/>
      <c r="C23" s="2350"/>
      <c r="D23" s="2350"/>
      <c r="E23" s="2350"/>
      <c r="F23" s="1436"/>
      <c r="G23" s="1755">
        <f>SUM(G14:G16,G21,G22)</f>
        <v>0</v>
      </c>
      <c r="H23" s="1755">
        <f>SUM(H14:H16,H21,H22)</f>
        <v>269335</v>
      </c>
      <c r="I23" s="1755">
        <f>SUM(I14:I16,I21,I22)</f>
        <v>0</v>
      </c>
      <c r="J23" s="1755">
        <f>SUM(J14:J16,J21,J22)</f>
        <v>0</v>
      </c>
      <c r="K23" s="1755">
        <f>SUM(K14:K16,K21,K22)</f>
        <v>0</v>
      </c>
      <c r="M23" s="1846"/>
      <c r="N23" s="1846"/>
      <c r="O23" s="1846"/>
    </row>
    <row r="24" spans="1:15" ht="14.25" thickTop="1" thickBot="1" x14ac:dyDescent="0.25">
      <c r="A24" s="2352" t="str">
        <f>"Ending Cash Basis Fund Balance as of June 30, "&amp;'AFR20'!E2</f>
        <v>Ending Cash Basis Fund Balance as of June 30, 2020</v>
      </c>
      <c r="B24" s="2353"/>
      <c r="C24" s="2353"/>
      <c r="D24" s="2353"/>
      <c r="E24" s="235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2"/>
      <c r="I31" s="2363"/>
      <c r="J31" s="2363"/>
      <c r="K31" s="2363"/>
    </row>
    <row r="32" spans="1:15" x14ac:dyDescent="0.2">
      <c r="A32" s="649"/>
      <c r="B32" s="232"/>
      <c r="C32" s="232"/>
      <c r="D32" s="232"/>
      <c r="E32" s="645"/>
      <c r="F32" s="651" t="s">
        <v>537</v>
      </c>
      <c r="G32" s="618"/>
      <c r="H32" s="2364"/>
      <c r="I32" s="2363"/>
      <c r="J32" s="2363"/>
      <c r="K32" s="2363"/>
    </row>
    <row r="33" spans="1:11" ht="1.5" customHeight="1" x14ac:dyDescent="0.2">
      <c r="A33" s="652" t="s">
        <v>1159</v>
      </c>
      <c r="B33" s="341"/>
      <c r="C33" s="341"/>
      <c r="D33" s="341"/>
      <c r="E33" s="341"/>
      <c r="F33" s="341"/>
      <c r="G33" s="653"/>
      <c r="H33" s="2364"/>
      <c r="I33" s="2363"/>
      <c r="J33" s="2363"/>
      <c r="K33" s="2363"/>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0" t="s">
        <v>538</v>
      </c>
      <c r="B41" s="2331"/>
      <c r="C41" s="2331"/>
      <c r="D41" s="2331"/>
      <c r="E41" s="2331"/>
      <c r="F41" s="233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2" sqref="J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1" t="s">
        <v>1872</v>
      </c>
      <c r="B1" s="2372"/>
      <c r="C1" s="2373"/>
      <c r="D1" s="666"/>
      <c r="E1" s="667"/>
      <c r="F1" s="667"/>
      <c r="G1" s="668"/>
      <c r="H1" s="669"/>
      <c r="I1" s="670"/>
      <c r="J1" s="2369"/>
      <c r="K1" s="2370"/>
      <c r="L1" s="237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3546438</v>
      </c>
      <c r="D5" s="1770"/>
      <c r="E5" s="1770"/>
      <c r="F5" s="1765">
        <f>(C5+D5)-E5</f>
        <v>3546438</v>
      </c>
      <c r="G5" s="676"/>
      <c r="H5" s="680"/>
      <c r="I5" s="680"/>
      <c r="J5" s="680"/>
      <c r="K5" s="637"/>
      <c r="L5" s="1442">
        <f>F5-K5</f>
        <v>3546438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52959346</v>
      </c>
      <c r="D8" s="1771"/>
      <c r="E8" s="1771"/>
      <c r="F8" s="1765">
        <f>(C8+D8)-E8</f>
        <v>52959346</v>
      </c>
      <c r="G8" s="681">
        <v>50</v>
      </c>
      <c r="H8" s="619">
        <v>24426433</v>
      </c>
      <c r="I8" s="619">
        <v>1204556</v>
      </c>
      <c r="J8" s="619"/>
      <c r="K8" s="1442">
        <f>(H8+I8)-J8</f>
        <v>25630989</v>
      </c>
      <c r="L8" s="1442">
        <f>F8-K8</f>
        <v>27328357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2258320</v>
      </c>
      <c r="D10" s="1772"/>
      <c r="E10" s="1772"/>
      <c r="F10" s="1773">
        <f>(C10+D10)-E10</f>
        <v>2258320</v>
      </c>
      <c r="G10" s="681">
        <v>20</v>
      </c>
      <c r="H10" s="683">
        <v>1810393</v>
      </c>
      <c r="I10" s="683">
        <v>55651</v>
      </c>
      <c r="J10" s="683"/>
      <c r="K10" s="1442">
        <f>(H10+I10)-J10</f>
        <v>1866044</v>
      </c>
      <c r="L10" s="1442">
        <f>F10-K10</f>
        <v>392276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1072296</v>
      </c>
      <c r="D12" s="1771"/>
      <c r="E12" s="1771"/>
      <c r="F12" s="1765">
        <f>(C12+D12)-E12</f>
        <v>1072296</v>
      </c>
      <c r="G12" s="681">
        <v>10</v>
      </c>
      <c r="H12" s="619">
        <v>511937</v>
      </c>
      <c r="I12" s="619">
        <v>137707</v>
      </c>
      <c r="J12" s="619"/>
      <c r="K12" s="1442">
        <f>(H12+I12)-J12</f>
        <v>649644</v>
      </c>
      <c r="L12" s="1442">
        <f>F12-K12</f>
        <v>422652</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4665461</v>
      </c>
      <c r="D15" s="1771">
        <v>1088711</v>
      </c>
      <c r="E15" s="1771"/>
      <c r="F15" s="1765">
        <f>(C15+D15)-E15</f>
        <v>5754172</v>
      </c>
      <c r="G15" s="685" t="s">
        <v>857</v>
      </c>
      <c r="H15" s="632"/>
      <c r="I15" s="632"/>
      <c r="J15" s="632"/>
      <c r="K15" s="632"/>
      <c r="L15" s="1442">
        <f>F15-K15</f>
        <v>5754172</v>
      </c>
    </row>
    <row r="16" spans="1:14" ht="15" customHeight="1" thickTop="1" thickBot="1" x14ac:dyDescent="0.25">
      <c r="A16" s="1438" t="s">
        <v>638</v>
      </c>
      <c r="B16" s="1439">
        <v>200</v>
      </c>
      <c r="C16" s="1765">
        <f>SUM(C3,C5:C6,C8:C10,C12:C15)</f>
        <v>64501861</v>
      </c>
      <c r="D16" s="1765">
        <f>SUM(D3,D5:D6,D8:D10,D12:D15)</f>
        <v>1088711</v>
      </c>
      <c r="E16" s="1765">
        <f>SUM(E3,E5:E6,E8:E10,E12:E15)</f>
        <v>0</v>
      </c>
      <c r="F16" s="1765">
        <f>SUM(F3,F5:F6,F8:F10,F12:F15)</f>
        <v>65590572</v>
      </c>
      <c r="G16" s="681"/>
      <c r="H16" s="1435">
        <f>SUM(H3,H6,H8:H10,H12:H14,)</f>
        <v>26748763</v>
      </c>
      <c r="I16" s="1435">
        <f>SUM(I3,I6,I8:I10,I12:I14,)</f>
        <v>1397914</v>
      </c>
      <c r="J16" s="1435">
        <f>SUM(J3,J6,J8:J10,J12:J14,)</f>
        <v>0</v>
      </c>
      <c r="K16" s="1435">
        <f>(H16+I16)-J16</f>
        <v>28146677</v>
      </c>
      <c r="L16" s="1435">
        <f>F16-K16</f>
        <v>37443895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479925</v>
      </c>
      <c r="G17" s="676">
        <v>10</v>
      </c>
      <c r="H17" s="621"/>
      <c r="I17" s="1442">
        <f>F17/G17</f>
        <v>47992.5</v>
      </c>
      <c r="J17" s="621"/>
      <c r="K17" s="638"/>
      <c r="L17" s="638"/>
    </row>
    <row r="18" spans="1:12" ht="14.25" thickTop="1" thickBot="1" x14ac:dyDescent="0.25">
      <c r="A18" s="1440" t="s">
        <v>680</v>
      </c>
      <c r="B18" s="1441"/>
      <c r="C18" s="623"/>
      <c r="D18" s="623"/>
      <c r="E18" s="623"/>
      <c r="F18" s="686"/>
      <c r="G18" s="687"/>
      <c r="H18" s="624"/>
      <c r="I18" s="1435">
        <f>SUM(I16,I17)</f>
        <v>1445906.5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5" colorId="8" zoomScale="110" zoomScaleNormal="110" workbookViewId="0">
      <selection activeCell="D174" sqref="D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7" t="str">
        <f>"ESTIMATED OPERATING EXPENSE PER PUPIL (OEPP)/PER CAPITA TUITION CHARGE (PCTC) COMPUTATIONS ("&amp;'AFR20'!E2-1&amp;" - "&amp;'AFR20'!E2&amp;")"</f>
        <v>ESTIMATED OPERATING EXPENSE PER PUPIL (OEPP)/PER CAPITA TUITION CHARGE (PCTC) COMPUTATIONS (2019 - 2020)</v>
      </c>
      <c r="B1" s="2378"/>
      <c r="C1" s="2378"/>
      <c r="D1" s="2378"/>
      <c r="E1" s="2378"/>
      <c r="F1" s="2379"/>
      <c r="G1" s="691"/>
      <c r="I1" s="701"/>
    </row>
    <row r="2" spans="1:9" ht="15" customHeight="1" thickBot="1" x14ac:dyDescent="0.25">
      <c r="A2" s="2380" t="s">
        <v>474</v>
      </c>
      <c r="B2" s="2381"/>
      <c r="C2" s="2381"/>
      <c r="D2" s="2381"/>
      <c r="E2" s="2381"/>
      <c r="F2" s="238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3"/>
      <c r="B5" s="2384"/>
      <c r="C5" s="2384"/>
      <c r="D5" s="2384"/>
      <c r="E5" s="2384"/>
      <c r="F5" s="2384"/>
    </row>
    <row r="6" spans="1:9" ht="13.5" customHeight="1" thickBot="1" x14ac:dyDescent="0.25">
      <c r="A6" s="2374" t="s">
        <v>1095</v>
      </c>
      <c r="B6" s="2375"/>
      <c r="C6" s="2375"/>
      <c r="D6" s="2375"/>
      <c r="E6" s="2375"/>
      <c r="F6" s="237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22953561</v>
      </c>
      <c r="G8" s="701"/>
    </row>
    <row r="9" spans="1:9" x14ac:dyDescent="0.2">
      <c r="A9" s="705" t="s">
        <v>457</v>
      </c>
      <c r="B9" s="706" t="s">
        <v>1845</v>
      </c>
      <c r="C9" s="707"/>
      <c r="D9" s="705" t="s">
        <v>498</v>
      </c>
      <c r="E9" s="704"/>
      <c r="F9" s="1775">
        <f>'Expenditures 15-22'!K151</f>
        <v>2066889</v>
      </c>
      <c r="G9" s="708"/>
    </row>
    <row r="10" spans="1:9" x14ac:dyDescent="0.2">
      <c r="A10" s="705" t="s">
        <v>496</v>
      </c>
      <c r="B10" s="706" t="s">
        <v>1846</v>
      </c>
      <c r="C10" s="707"/>
      <c r="D10" s="705" t="s">
        <v>498</v>
      </c>
      <c r="E10" s="704"/>
      <c r="F10" s="1775">
        <f>'Expenditures 15-22'!K174</f>
        <v>5122755</v>
      </c>
      <c r="G10" s="708"/>
    </row>
    <row r="11" spans="1:9" x14ac:dyDescent="0.2">
      <c r="A11" s="705" t="s">
        <v>458</v>
      </c>
      <c r="B11" s="706" t="s">
        <v>1847</v>
      </c>
      <c r="C11" s="707"/>
      <c r="D11" s="705" t="s">
        <v>498</v>
      </c>
      <c r="E11" s="704"/>
      <c r="F11" s="1775">
        <f>'Expenditures 15-22'!K210</f>
        <v>1505495</v>
      </c>
      <c r="G11" s="708"/>
    </row>
    <row r="12" spans="1:9" x14ac:dyDescent="0.2">
      <c r="A12" s="705" t="s">
        <v>459</v>
      </c>
      <c r="B12" s="706" t="s">
        <v>1848</v>
      </c>
      <c r="C12" s="707"/>
      <c r="D12" s="705" t="s">
        <v>498</v>
      </c>
      <c r="E12" s="704"/>
      <c r="F12" s="1775">
        <f>'Expenditures 15-22'!K295</f>
        <v>800489</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32449189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401097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13684</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108441</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694122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65101</v>
      </c>
      <c r="G52" s="701"/>
    </row>
    <row r="53" spans="1:7" x14ac:dyDescent="0.2">
      <c r="A53" s="705" t="s">
        <v>456</v>
      </c>
      <c r="B53" s="705" t="s">
        <v>1458</v>
      </c>
      <c r="C53" s="724">
        <f>'Expenditures 15-22'!B102</f>
        <v>4000</v>
      </c>
      <c r="D53" s="723" t="str">
        <f>'Expenditures 15-22'!A102</f>
        <v>Total Payments to Other Govt Units</v>
      </c>
      <c r="E53" s="704"/>
      <c r="F53" s="1782">
        <f>'Expenditures 15-22'!K102</f>
        <v>446759</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408404</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41307</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4625000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508</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880</v>
      </c>
      <c r="G71" s="701"/>
    </row>
    <row r="72" spans="1:9" x14ac:dyDescent="0.2">
      <c r="A72" s="705" t="s">
        <v>459</v>
      </c>
      <c r="B72" s="705" t="s">
        <v>1864</v>
      </c>
      <c r="C72" s="721">
        <f>'Expenditures 15-22'!B280</f>
        <v>3000</v>
      </c>
      <c r="D72" s="712" t="s">
        <v>446</v>
      </c>
      <c r="E72" s="704"/>
      <c r="F72" s="1782">
        <f>'Expenditures 15-22'!K280</f>
        <v>390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6805693</v>
      </c>
      <c r="G77" s="701"/>
    </row>
    <row r="78" spans="1:9" s="728" customFormat="1" ht="12" customHeight="1" thickTop="1" thickBot="1" x14ac:dyDescent="0.25">
      <c r="A78" s="1450"/>
      <c r="B78" s="1448"/>
      <c r="C78" s="1445"/>
      <c r="D78" s="1449" t="s">
        <v>2009</v>
      </c>
      <c r="E78" s="1447"/>
      <c r="F78" s="1788">
        <f>(F14-F77)</f>
        <v>25643496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2396.1</v>
      </c>
      <c r="G79" s="733"/>
      <c r="H79" s="705"/>
      <c r="I79" s="705"/>
    </row>
    <row r="80" spans="1:9" s="728" customFormat="1" ht="12" customHeight="1" thickBot="1" x14ac:dyDescent="0.25">
      <c r="A80" s="1452"/>
      <c r="B80" s="1448"/>
      <c r="C80" s="1445"/>
      <c r="D80" s="1449" t="s">
        <v>2010</v>
      </c>
      <c r="E80" s="1447" t="s">
        <v>952</v>
      </c>
      <c r="F80" s="1790">
        <f>IF(F79&gt;0,F78/F79," Complete Line 79")</f>
        <v>10702.181044196821</v>
      </c>
      <c r="G80" s="705"/>
    </row>
    <row r="81" spans="1:7" s="728" customFormat="1" ht="8.25" customHeight="1" thickTop="1" x14ac:dyDescent="0.2">
      <c r="A81" s="734"/>
      <c r="B81" s="705"/>
      <c r="C81" s="707"/>
      <c r="D81" s="735"/>
      <c r="E81" s="704"/>
      <c r="F81" s="1791"/>
      <c r="G81" s="705"/>
    </row>
    <row r="82" spans="1:7" s="728" customFormat="1" ht="12" thickBot="1" x14ac:dyDescent="0.25">
      <c r="A82" s="2374" t="s">
        <v>1096</v>
      </c>
      <c r="B82" s="2375"/>
      <c r="C82" s="2375"/>
      <c r="D82" s="2375"/>
      <c r="E82" s="2375"/>
      <c r="F82" s="237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330980</v>
      </c>
      <c r="G95" s="745"/>
    </row>
    <row r="96" spans="1:7" x14ac:dyDescent="0.2">
      <c r="A96" s="741" t="s">
        <v>139</v>
      </c>
      <c r="B96" s="741" t="s">
        <v>174</v>
      </c>
      <c r="C96" s="743">
        <v>1700</v>
      </c>
      <c r="D96" s="751" t="str">
        <f>'Revenues 9-14'!A82</f>
        <v>Total District/School Activity Income</v>
      </c>
      <c r="E96" s="739"/>
      <c r="F96" s="1793">
        <f>SUM('Revenues 9-14'!C82,'Revenues 9-14'!D82)</f>
        <v>43271</v>
      </c>
      <c r="G96" s="745"/>
    </row>
    <row r="97" spans="1:7" x14ac:dyDescent="0.2">
      <c r="A97" s="741" t="s">
        <v>456</v>
      </c>
      <c r="B97" s="741" t="s">
        <v>175</v>
      </c>
      <c r="C97" s="743">
        <f>'Revenues 9-14'!B84</f>
        <v>1811</v>
      </c>
      <c r="D97" s="744" t="str">
        <f>'Revenues 9-14'!A84</f>
        <v>Rentals - Regular Textbooks</v>
      </c>
      <c r="E97" s="739"/>
      <c r="F97" s="1793">
        <f>'Revenues 9-14'!C84</f>
        <v>343794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14840</v>
      </c>
      <c r="G101" s="745"/>
    </row>
    <row r="102" spans="1:7" x14ac:dyDescent="0.2">
      <c r="A102" s="741" t="s">
        <v>139</v>
      </c>
      <c r="B102" s="741" t="s">
        <v>180</v>
      </c>
      <c r="C102" s="743">
        <f>'Revenues 9-14'!B95</f>
        <v>1910</v>
      </c>
      <c r="D102" s="744" t="str">
        <f>'Revenues 9-14'!A95</f>
        <v>Rentals</v>
      </c>
      <c r="E102" s="739"/>
      <c r="F102" s="1793">
        <f>SUM('Revenues 9-14'!C95:D95)</f>
        <v>241219</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177376</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2548</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533326</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383325</v>
      </c>
      <c r="G126" s="763"/>
    </row>
    <row r="127" spans="1:7" x14ac:dyDescent="0.2">
      <c r="A127" s="760" t="s">
        <v>663</v>
      </c>
      <c r="B127" s="760" t="s">
        <v>1928</v>
      </c>
      <c r="C127" s="765">
        <v>4300</v>
      </c>
      <c r="D127" s="766" t="str">
        <f>'Revenues 9-14'!A204</f>
        <v>Total Title I</v>
      </c>
      <c r="E127" s="739"/>
      <c r="F127" s="1793">
        <f>SUM('Revenues 9-14'!C204,'Revenues 9-14'!D204,'Revenues 9-14'!F204,'Revenues 9-14'!G204)</f>
        <v>391297</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26528</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656632</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101910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38588</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65855</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77977</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81849</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58870</v>
      </c>
      <c r="G171" s="760"/>
    </row>
    <row r="172" spans="1:7" x14ac:dyDescent="0.2">
      <c r="A172" s="1529" t="s">
        <v>5</v>
      </c>
      <c r="B172" s="1530" t="s">
        <v>1882</v>
      </c>
      <c r="C172" s="1531">
        <v>3100</v>
      </c>
      <c r="D172" s="1532" t="s">
        <v>1884</v>
      </c>
      <c r="E172" s="739"/>
      <c r="F172" s="1794">
        <v>1157215.52</v>
      </c>
      <c r="G172" s="760"/>
    </row>
    <row r="173" spans="1:7" x14ac:dyDescent="0.2">
      <c r="A173" s="1529" t="s">
        <v>659</v>
      </c>
      <c r="B173" s="1530" t="s">
        <v>1882</v>
      </c>
      <c r="C173" s="1531">
        <v>3300</v>
      </c>
      <c r="D173" s="1532" t="s">
        <v>1885</v>
      </c>
      <c r="E173" s="739"/>
      <c r="F173" s="1794">
        <v>82526.81</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4809927.3299999991</v>
      </c>
    </row>
    <row r="176" spans="1:7" ht="12" customHeight="1" x14ac:dyDescent="0.2">
      <c r="A176" s="1443"/>
      <c r="B176" s="1453"/>
      <c r="C176" s="1454"/>
      <c r="D176" s="1455" t="s">
        <v>2011</v>
      </c>
      <c r="E176" s="1456"/>
      <c r="F176" s="1793">
        <f>'PCTC-OEPP 27-28'!F78-F175</f>
        <v>20833568.670000002</v>
      </c>
    </row>
    <row r="177" spans="1:9" ht="12" customHeight="1" x14ac:dyDescent="0.2">
      <c r="A177" s="1443"/>
      <c r="B177" s="1453"/>
      <c r="C177" s="1454"/>
      <c r="D177" s="1455" t="s">
        <v>1791</v>
      </c>
      <c r="E177" s="1456"/>
      <c r="F177" s="1793">
        <f>'Cap Outlay Deprec 26'!I18</f>
        <v>1445906.5</v>
      </c>
    </row>
    <row r="178" spans="1:9" ht="12" customHeight="1" x14ac:dyDescent="0.2">
      <c r="A178" s="1443"/>
      <c r="B178" s="1453"/>
      <c r="C178" s="1454"/>
      <c r="D178" s="1455" t="s">
        <v>2012</v>
      </c>
      <c r="E178" s="1456"/>
      <c r="F178" s="1793">
        <f>F176+F177</f>
        <v>22279475.170000002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2396.1</v>
      </c>
      <c r="G179" s="763"/>
      <c r="I179" s="701"/>
    </row>
    <row r="180" spans="1:9" ht="12" customHeight="1" thickBot="1" x14ac:dyDescent="0.25">
      <c r="A180" s="1443"/>
      <c r="B180" s="1457"/>
      <c r="C180" s="1454"/>
      <c r="D180" s="1455" t="s">
        <v>2014</v>
      </c>
      <c r="E180" s="1456" t="s">
        <v>1528</v>
      </c>
      <c r="F180" s="1798">
        <f>F178/F179</f>
        <v>9298.2242686031477</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9" zoomScaleNormal="100" workbookViewId="0">
      <selection activeCell="A49" sqref="A4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8" t="s">
        <v>1792</v>
      </c>
      <c r="B4" s="2389"/>
      <c r="C4" s="2389"/>
      <c r="D4" s="2389"/>
      <c r="E4" s="2389"/>
      <c r="F4" s="2390"/>
    </row>
    <row r="5" spans="1:6" x14ac:dyDescent="0.25">
      <c r="A5" s="2391"/>
      <c r="B5" s="2392"/>
      <c r="C5" s="2392"/>
      <c r="D5" s="2392"/>
      <c r="E5" s="2392"/>
      <c r="F5" s="2393"/>
    </row>
    <row r="6" spans="1:6" ht="18.75" x14ac:dyDescent="0.25">
      <c r="A6" s="1867" t="s">
        <v>1793</v>
      </c>
      <c r="B6" s="1868"/>
      <c r="C6" s="1869"/>
      <c r="D6" s="1869"/>
      <c r="E6" s="1869"/>
      <c r="F6" s="1870"/>
    </row>
    <row r="7" spans="1:6" ht="47.25" customHeight="1" x14ac:dyDescent="0.25">
      <c r="A7" s="2394" t="s">
        <v>1982</v>
      </c>
      <c r="B7" s="2395"/>
      <c r="C7" s="2395"/>
      <c r="D7" s="2395"/>
      <c r="E7" s="2395"/>
      <c r="F7" s="239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97" t="s">
        <v>1978</v>
      </c>
      <c r="B10" s="2398"/>
      <c r="C10" s="2398"/>
      <c r="D10" s="2398"/>
      <c r="E10" s="2398"/>
      <c r="F10" s="2399"/>
    </row>
    <row r="11" spans="1:6" ht="33" customHeight="1" x14ac:dyDescent="0.25">
      <c r="A11" s="2394" t="s">
        <v>1983</v>
      </c>
      <c r="B11" s="2395"/>
      <c r="C11" s="2395"/>
      <c r="D11" s="2395"/>
      <c r="E11" s="2395"/>
      <c r="F11" s="2396"/>
    </row>
    <row r="12" spans="1:6" ht="15" customHeight="1" x14ac:dyDescent="0.25">
      <c r="A12" s="1873" t="s">
        <v>1979</v>
      </c>
      <c r="B12" s="1874"/>
      <c r="C12" s="1875"/>
      <c r="D12" s="1875"/>
      <c r="E12" s="1875"/>
      <c r="F12" s="1876"/>
    </row>
    <row r="13" spans="1:6" ht="17.25" customHeight="1" x14ac:dyDescent="0.25">
      <c r="A13" s="2394" t="s">
        <v>1980</v>
      </c>
      <c r="B13" s="2395"/>
      <c r="C13" s="2395"/>
      <c r="D13" s="2395"/>
      <c r="E13" s="2395"/>
      <c r="F13" s="2396"/>
    </row>
    <row r="14" spans="1:6" ht="15" customHeight="1" x14ac:dyDescent="0.25">
      <c r="A14" s="1873" t="s">
        <v>1797</v>
      </c>
      <c r="B14" s="1874"/>
      <c r="C14" s="1875"/>
      <c r="D14" s="1875"/>
      <c r="E14" s="1875"/>
      <c r="F14" s="1876"/>
    </row>
    <row r="15" spans="1:6" ht="32.25" customHeight="1" x14ac:dyDescent="0.25">
      <c r="A15" s="23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6"/>
      <c r="C15" s="2386"/>
      <c r="D15" s="2386"/>
      <c r="E15" s="2386"/>
      <c r="F15" s="238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1914" t="s">
        <v>2132</v>
      </c>
      <c r="B18" s="1908">
        <v>102200300</v>
      </c>
      <c r="C18" s="1915" t="s">
        <v>2133</v>
      </c>
      <c r="D18" s="1886">
        <v>31500</v>
      </c>
      <c r="E18" s="1906" t="str">
        <f t="shared" ref="E18:E81" si="0">IF(D18&lt;25000,D18,"25,000")</f>
        <v>25,000</v>
      </c>
      <c r="F18" s="1906">
        <f t="shared" ref="F18:F81" si="1">IF(D18&gt;=25000,(D18-E18),"0")</f>
        <v>6500</v>
      </c>
      <c r="G18" s="1887"/>
    </row>
    <row r="19" spans="1:7" x14ac:dyDescent="0.25">
      <c r="A19" s="1888" t="s">
        <v>2132</v>
      </c>
      <c r="B19" s="1908">
        <v>101000400</v>
      </c>
      <c r="C19" s="1885" t="s">
        <v>2134</v>
      </c>
      <c r="D19" s="1886">
        <v>38979</v>
      </c>
      <c r="E19" s="1906" t="str">
        <f t="shared" si="0"/>
        <v>25,000</v>
      </c>
      <c r="F19" s="1906">
        <f t="shared" si="1"/>
        <v>13979</v>
      </c>
    </row>
    <row r="20" spans="1:7" x14ac:dyDescent="0.25">
      <c r="A20" s="1888" t="s">
        <v>2135</v>
      </c>
      <c r="B20" s="1908">
        <v>402550300</v>
      </c>
      <c r="C20" s="1885" t="s">
        <v>2136</v>
      </c>
      <c r="D20" s="1886">
        <v>215757</v>
      </c>
      <c r="E20" s="1906" t="str">
        <f t="shared" si="0"/>
        <v>25,000</v>
      </c>
      <c r="F20" s="1906">
        <f t="shared" si="1"/>
        <v>190757</v>
      </c>
    </row>
    <row r="21" spans="1:7" x14ac:dyDescent="0.25">
      <c r="A21" s="1888" t="s">
        <v>2132</v>
      </c>
      <c r="B21" s="1908">
        <v>101000600</v>
      </c>
      <c r="C21" s="1885" t="s">
        <v>2137</v>
      </c>
      <c r="D21" s="1886">
        <v>65571</v>
      </c>
      <c r="E21" s="1906" t="str">
        <f t="shared" si="0"/>
        <v>25,000</v>
      </c>
      <c r="F21" s="1906">
        <f t="shared" si="1"/>
        <v>40571</v>
      </c>
    </row>
    <row r="22" spans="1:7" x14ac:dyDescent="0.25">
      <c r="A22" s="1888" t="s">
        <v>2138</v>
      </c>
      <c r="B22" s="1908">
        <v>202540300</v>
      </c>
      <c r="C22" s="1885" t="s">
        <v>2139</v>
      </c>
      <c r="D22" s="1886">
        <v>168753</v>
      </c>
      <c r="E22" s="1906" t="str">
        <f t="shared" si="0"/>
        <v>25,000</v>
      </c>
      <c r="F22" s="1906">
        <f t="shared" si="1"/>
        <v>143753</v>
      </c>
    </row>
    <row r="23" spans="1:7" x14ac:dyDescent="0.25">
      <c r="A23" s="1888" t="s">
        <v>2140</v>
      </c>
      <c r="B23" s="1908">
        <v>101000400</v>
      </c>
      <c r="C23" s="1885" t="s">
        <v>2141</v>
      </c>
      <c r="D23" s="1886">
        <v>78535</v>
      </c>
      <c r="E23" s="1906" t="str">
        <f t="shared" si="0"/>
        <v>25,000</v>
      </c>
      <c r="F23" s="1906">
        <f t="shared" si="1"/>
        <v>53535</v>
      </c>
    </row>
    <row r="24" spans="1:7" x14ac:dyDescent="0.25">
      <c r="A24" s="1888" t="s">
        <v>2142</v>
      </c>
      <c r="B24" s="1908">
        <v>202540400</v>
      </c>
      <c r="C24" s="1885" t="s">
        <v>2143</v>
      </c>
      <c r="D24" s="1886">
        <v>42713</v>
      </c>
      <c r="E24" s="1906" t="str">
        <f t="shared" si="0"/>
        <v>25,000</v>
      </c>
      <c r="F24" s="1906">
        <f t="shared" si="1"/>
        <v>17713</v>
      </c>
    </row>
    <row r="25" spans="1:7" x14ac:dyDescent="0.25">
      <c r="A25" s="1888" t="s">
        <v>2142</v>
      </c>
      <c r="B25" s="1908">
        <v>202540400</v>
      </c>
      <c r="C25" s="1885" t="s">
        <v>2145</v>
      </c>
      <c r="D25" s="1886">
        <v>341760</v>
      </c>
      <c r="E25" s="1906" t="str">
        <f t="shared" si="0"/>
        <v>25,000</v>
      </c>
      <c r="F25" s="1906">
        <f t="shared" si="1"/>
        <v>316760</v>
      </c>
    </row>
    <row r="26" spans="1:7" x14ac:dyDescent="0.25">
      <c r="A26" s="1888" t="s">
        <v>2144</v>
      </c>
      <c r="B26" s="1908">
        <v>202540300</v>
      </c>
      <c r="C26" s="1885" t="s">
        <v>2146</v>
      </c>
      <c r="D26" s="1886">
        <v>147571</v>
      </c>
      <c r="E26" s="1906" t="str">
        <f t="shared" si="0"/>
        <v>25,000</v>
      </c>
      <c r="F26" s="1906">
        <f t="shared" si="1"/>
        <v>122571</v>
      </c>
    </row>
    <row r="27" spans="1:7" x14ac:dyDescent="0.25">
      <c r="A27" s="1888" t="s">
        <v>2144</v>
      </c>
      <c r="B27" s="1908">
        <v>202540300</v>
      </c>
      <c r="C27" s="1889" t="s">
        <v>2147</v>
      </c>
      <c r="D27" s="1886">
        <v>113158</v>
      </c>
      <c r="E27" s="1906" t="str">
        <f t="shared" si="0"/>
        <v>25,000</v>
      </c>
      <c r="F27" s="1906">
        <f t="shared" si="1"/>
        <v>88158</v>
      </c>
    </row>
    <row r="28" spans="1:7" x14ac:dyDescent="0.25">
      <c r="A28" s="1888" t="s">
        <v>2132</v>
      </c>
      <c r="B28" s="1908">
        <v>101000600</v>
      </c>
      <c r="C28" s="1889" t="s">
        <v>2148</v>
      </c>
      <c r="D28" s="1886">
        <v>51955</v>
      </c>
      <c r="E28" s="1906" t="str">
        <f t="shared" si="0"/>
        <v>25,000</v>
      </c>
      <c r="F28" s="1906">
        <f t="shared" si="1"/>
        <v>26955</v>
      </c>
    </row>
    <row r="29" spans="1:7" x14ac:dyDescent="0.25">
      <c r="A29" s="1888" t="s">
        <v>2132</v>
      </c>
      <c r="B29" s="1908">
        <v>101000600</v>
      </c>
      <c r="C29" s="1889" t="s">
        <v>2149</v>
      </c>
      <c r="D29" s="1886">
        <v>58921</v>
      </c>
      <c r="E29" s="1906" t="str">
        <f t="shared" si="0"/>
        <v>25,000</v>
      </c>
      <c r="F29" s="1906">
        <f t="shared" si="1"/>
        <v>33921</v>
      </c>
    </row>
    <row r="30" spans="1:7" x14ac:dyDescent="0.25">
      <c r="A30" s="1888" t="s">
        <v>2150</v>
      </c>
      <c r="B30" s="1908">
        <v>102660400</v>
      </c>
      <c r="C30" s="1889" t="s">
        <v>2151</v>
      </c>
      <c r="D30" s="1886">
        <v>38642</v>
      </c>
      <c r="E30" s="1906" t="str">
        <f t="shared" si="0"/>
        <v>25,000</v>
      </c>
      <c r="F30" s="1906">
        <f t="shared" si="1"/>
        <v>13642</v>
      </c>
    </row>
    <row r="31" spans="1:7" x14ac:dyDescent="0.25">
      <c r="A31" s="1888" t="s">
        <v>2152</v>
      </c>
      <c r="B31" s="1908">
        <v>102520300</v>
      </c>
      <c r="C31" s="1889" t="s">
        <v>2153</v>
      </c>
      <c r="D31" s="1886">
        <v>30500</v>
      </c>
      <c r="E31" s="1906" t="str">
        <f t="shared" si="0"/>
        <v>25,000</v>
      </c>
      <c r="F31" s="1906">
        <f t="shared" si="1"/>
        <v>5500</v>
      </c>
    </row>
    <row r="32" spans="1:7" x14ac:dyDescent="0.25">
      <c r="A32" s="1888" t="s">
        <v>2140</v>
      </c>
      <c r="B32" s="1908">
        <v>101000400</v>
      </c>
      <c r="C32" s="1889" t="s">
        <v>2154</v>
      </c>
      <c r="D32" s="1886">
        <v>135104</v>
      </c>
      <c r="E32" s="1906" t="str">
        <f t="shared" si="0"/>
        <v>25,000</v>
      </c>
      <c r="F32" s="1906">
        <f t="shared" si="1"/>
        <v>110104</v>
      </c>
    </row>
    <row r="33" spans="1:6" x14ac:dyDescent="0.25">
      <c r="A33" s="1888" t="s">
        <v>2150</v>
      </c>
      <c r="B33" s="1908">
        <v>102660300</v>
      </c>
      <c r="C33" s="1889" t="s">
        <v>2155</v>
      </c>
      <c r="D33" s="1886">
        <v>268905</v>
      </c>
      <c r="E33" s="1906" t="str">
        <f t="shared" si="0"/>
        <v>25,000</v>
      </c>
      <c r="F33" s="1906">
        <f t="shared" si="1"/>
        <v>243905</v>
      </c>
    </row>
    <row r="34" spans="1:6" x14ac:dyDescent="0.25">
      <c r="A34" s="1888" t="s">
        <v>2132</v>
      </c>
      <c r="B34" s="1908">
        <v>101000600</v>
      </c>
      <c r="C34" s="1889" t="s">
        <v>2156</v>
      </c>
      <c r="D34" s="1886">
        <v>185956</v>
      </c>
      <c r="E34" s="1906" t="str">
        <f t="shared" si="0"/>
        <v>25,000</v>
      </c>
      <c r="F34" s="1906">
        <f t="shared" si="1"/>
        <v>160956</v>
      </c>
    </row>
    <row r="35" spans="1:6" x14ac:dyDescent="0.25">
      <c r="A35" s="1888" t="s">
        <v>2132</v>
      </c>
      <c r="B35" s="1908">
        <v>101000600</v>
      </c>
      <c r="C35" s="1889" t="s">
        <v>2157</v>
      </c>
      <c r="D35" s="1886">
        <v>61727</v>
      </c>
      <c r="E35" s="1906" t="str">
        <f t="shared" si="0"/>
        <v>25,000</v>
      </c>
      <c r="F35" s="1906">
        <f t="shared" si="1"/>
        <v>36727</v>
      </c>
    </row>
    <row r="36" spans="1:6" x14ac:dyDescent="0.25">
      <c r="A36" s="1888" t="s">
        <v>2132</v>
      </c>
      <c r="B36" s="1908">
        <v>101000600</v>
      </c>
      <c r="C36" s="1889" t="s">
        <v>2158</v>
      </c>
      <c r="D36" s="1886">
        <v>172269</v>
      </c>
      <c r="E36" s="1906" t="str">
        <f t="shared" si="0"/>
        <v>25,000</v>
      </c>
      <c r="F36" s="1906">
        <f t="shared" si="1"/>
        <v>147269</v>
      </c>
    </row>
    <row r="37" spans="1:6" x14ac:dyDescent="0.25">
      <c r="A37" s="1888" t="s">
        <v>2159</v>
      </c>
      <c r="B37" s="1908">
        <v>102560300</v>
      </c>
      <c r="C37" s="1889" t="s">
        <v>2160</v>
      </c>
      <c r="D37" s="1886">
        <v>476729</v>
      </c>
      <c r="E37" s="1906" t="str">
        <f t="shared" si="0"/>
        <v>25,000</v>
      </c>
      <c r="F37" s="1906">
        <f t="shared" si="1"/>
        <v>451729</v>
      </c>
    </row>
    <row r="38" spans="1:6" x14ac:dyDescent="0.25">
      <c r="A38" s="1888" t="s">
        <v>2140</v>
      </c>
      <c r="B38" s="1908">
        <v>101000400</v>
      </c>
      <c r="C38" s="1889" t="s">
        <v>2161</v>
      </c>
      <c r="D38" s="1886">
        <v>409157</v>
      </c>
      <c r="E38" s="1906" t="str">
        <f t="shared" si="0"/>
        <v>25,000</v>
      </c>
      <c r="F38" s="1906">
        <f t="shared" si="1"/>
        <v>384157</v>
      </c>
    </row>
    <row r="39" spans="1:6" x14ac:dyDescent="0.25">
      <c r="A39" s="1888" t="s">
        <v>2138</v>
      </c>
      <c r="B39" s="1909">
        <v>202540300</v>
      </c>
      <c r="C39" s="1889" t="s">
        <v>2162</v>
      </c>
      <c r="D39" s="1886">
        <v>117846</v>
      </c>
      <c r="E39" s="1906" t="str">
        <f t="shared" si="0"/>
        <v>25,000</v>
      </c>
      <c r="F39" s="1906">
        <f t="shared" si="1"/>
        <v>92846</v>
      </c>
    </row>
    <row r="40" spans="1:6" x14ac:dyDescent="0.25">
      <c r="A40" s="1888" t="s">
        <v>2163</v>
      </c>
      <c r="B40" s="1909">
        <v>402550400</v>
      </c>
      <c r="C40" s="1889" t="s">
        <v>2164</v>
      </c>
      <c r="D40" s="1886">
        <v>49555</v>
      </c>
      <c r="E40" s="1906" t="str">
        <f t="shared" si="0"/>
        <v>25,000</v>
      </c>
      <c r="F40" s="1906">
        <f t="shared" si="1"/>
        <v>24555</v>
      </c>
    </row>
    <row r="41" spans="1:6" x14ac:dyDescent="0.25">
      <c r="A41" s="1888" t="s">
        <v>2132</v>
      </c>
      <c r="B41" s="1909">
        <v>102200300</v>
      </c>
      <c r="C41" s="1889" t="s">
        <v>2165</v>
      </c>
      <c r="D41" s="1886">
        <v>121086</v>
      </c>
      <c r="E41" s="1906" t="str">
        <f t="shared" si="0"/>
        <v>25,000</v>
      </c>
      <c r="F41" s="1906">
        <f t="shared" si="1"/>
        <v>96086</v>
      </c>
    </row>
    <row r="42" spans="1:6" x14ac:dyDescent="0.25">
      <c r="A42" s="1888" t="s">
        <v>2152</v>
      </c>
      <c r="B42" s="1909">
        <v>102520300</v>
      </c>
      <c r="C42" s="1889" t="s">
        <v>2166</v>
      </c>
      <c r="D42" s="1886">
        <v>31132</v>
      </c>
      <c r="E42" s="1906" t="str">
        <f t="shared" si="0"/>
        <v>25,000</v>
      </c>
      <c r="F42" s="1906">
        <f t="shared" si="1"/>
        <v>6132</v>
      </c>
    </row>
    <row r="43" spans="1:6" x14ac:dyDescent="0.25">
      <c r="A43" s="1888" t="s">
        <v>2144</v>
      </c>
      <c r="B43" s="1909">
        <v>202540300</v>
      </c>
      <c r="C43" s="1889" t="s">
        <v>2167</v>
      </c>
      <c r="D43" s="1886">
        <v>654496</v>
      </c>
      <c r="E43" s="1906" t="str">
        <f t="shared" si="0"/>
        <v>25,000</v>
      </c>
      <c r="F43" s="1906">
        <f t="shared" si="1"/>
        <v>629496</v>
      </c>
    </row>
    <row r="44" spans="1:6" x14ac:dyDescent="0.25">
      <c r="A44" s="1888" t="s">
        <v>2135</v>
      </c>
      <c r="B44" s="1909">
        <v>402550300</v>
      </c>
      <c r="C44" s="1889" t="s">
        <v>2168</v>
      </c>
      <c r="D44" s="1886">
        <v>482377</v>
      </c>
      <c r="E44" s="1906" t="str">
        <f t="shared" si="0"/>
        <v>25,000</v>
      </c>
      <c r="F44" s="1906">
        <f t="shared" si="1"/>
        <v>457377</v>
      </c>
    </row>
    <row r="45" spans="1:6" x14ac:dyDescent="0.25">
      <c r="A45" s="1888" t="s">
        <v>2132</v>
      </c>
      <c r="B45" s="1909">
        <v>101000600</v>
      </c>
      <c r="C45" s="1889" t="s">
        <v>2169</v>
      </c>
      <c r="D45" s="1886">
        <v>123349</v>
      </c>
      <c r="E45" s="1906" t="str">
        <f t="shared" si="0"/>
        <v>25,000</v>
      </c>
      <c r="F45" s="1906">
        <f t="shared" si="1"/>
        <v>98349</v>
      </c>
    </row>
    <row r="46" spans="1:6" x14ac:dyDescent="0.25">
      <c r="A46" s="1888" t="s">
        <v>2142</v>
      </c>
      <c r="B46" s="1909">
        <v>202540400</v>
      </c>
      <c r="C46" s="1889" t="s">
        <v>2170</v>
      </c>
      <c r="D46" s="1886">
        <v>40560</v>
      </c>
      <c r="E46" s="1906" t="str">
        <f t="shared" si="0"/>
        <v>25,000</v>
      </c>
      <c r="F46" s="1906">
        <f t="shared" si="1"/>
        <v>15560</v>
      </c>
    </row>
    <row r="47" spans="1:6" x14ac:dyDescent="0.25">
      <c r="A47" s="1888" t="s">
        <v>2150</v>
      </c>
      <c r="B47" s="1909">
        <v>102660400</v>
      </c>
      <c r="C47" s="1889" t="s">
        <v>2171</v>
      </c>
      <c r="D47" s="1886">
        <v>37186</v>
      </c>
      <c r="E47" s="1906" t="str">
        <f t="shared" si="0"/>
        <v>25,000</v>
      </c>
      <c r="F47" s="1906">
        <f t="shared" si="1"/>
        <v>12186</v>
      </c>
    </row>
    <row r="48" spans="1:6" x14ac:dyDescent="0.25">
      <c r="A48" s="1888" t="s">
        <v>2144</v>
      </c>
      <c r="B48" s="1909">
        <v>202540300</v>
      </c>
      <c r="C48" s="1889" t="s">
        <v>2172</v>
      </c>
      <c r="D48" s="1886">
        <v>45362</v>
      </c>
      <c r="E48" s="1906" t="str">
        <f t="shared" si="0"/>
        <v>25,000</v>
      </c>
      <c r="F48" s="1906">
        <f t="shared" si="1"/>
        <v>20362</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4837111</v>
      </c>
      <c r="E142" s="1893">
        <f>SUM(E18:E141)</f>
        <v>0</v>
      </c>
      <c r="F142" s="1894">
        <f>SUM(F18:F141)</f>
        <v>4062111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3" colorId="8" zoomScale="110" zoomScaleNormal="110" workbookViewId="0">
      <selection activeCell="D50" sqref="D5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0" t="s">
        <v>1660</v>
      </c>
      <c r="B5" s="2401"/>
      <c r="C5" s="2401"/>
      <c r="D5" s="2401"/>
      <c r="E5" s="2401"/>
      <c r="F5" s="2401"/>
      <c r="G5" s="240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4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6"/>
      <c r="C11" s="2406"/>
      <c r="D11" s="2407"/>
      <c r="E11" s="1801">
        <v>80443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14719536</v>
      </c>
      <c r="F19" s="1802"/>
      <c r="G19" s="1804">
        <f>'Expenditures 15-22'!K33-SUM('Expenditures 15-22'!G33,'Expenditures 15-22'!I33)+'Expenditures 15-22'!D229</f>
        <v>14719536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2629444</v>
      </c>
      <c r="F21" s="1805"/>
      <c r="G21" s="1808">
        <f>'Expenditures 15-22'!K42-SUM('Expenditures 15-22'!G42,'Expenditures 15-22'!I42)+'Expenditures 15-22'!K120-SUM('Expenditures 15-22'!G120,'Expenditures 15-22'!I120)+'Expenditures 15-22'!K180-SUM('Expenditures 15-22'!G180,'Expenditures 15-22'!I180)+'Expenditures 15-22'!D238</f>
        <v>2629444</v>
      </c>
      <c r="H21" s="817"/>
      <c r="I21" s="157"/>
    </row>
    <row r="22" spans="1:9" s="542" customFormat="1" ht="12" customHeight="1" x14ac:dyDescent="0.2">
      <c r="A22" s="824" t="s">
        <v>560</v>
      </c>
      <c r="B22" s="825"/>
      <c r="C22" s="823">
        <v>2200</v>
      </c>
      <c r="D22" s="1805"/>
      <c r="E22" s="1807">
        <f>'Expenditures 15-22'!K47-SUM('Expenditures 15-22'!G47,'Expenditures 15-22'!I47)+'Expenditures 15-22'!D243</f>
        <v>1442357</v>
      </c>
      <c r="F22" s="1805"/>
      <c r="G22" s="1808">
        <f>'Expenditures 15-22'!K47-SUM('Expenditures 15-22'!G47,'Expenditures 15-22'!I47)+'Expenditures 15-22'!D243</f>
        <v>1442357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782427</v>
      </c>
      <c r="F23" s="1805"/>
      <c r="G23" s="1807">
        <f>'Expenditures 15-22'!K53-SUM('Expenditures 15-22'!G53,'Expenditures 15-22'!I53)+'Expenditures 15-22'!D257+'Expenditures 15-22'!K330-SUM('Expenditures 15-22'!G330,'Expenditures 15-22'!I330)</f>
        <v>782427</v>
      </c>
      <c r="H23" s="817"/>
      <c r="I23" s="157"/>
    </row>
    <row r="24" spans="1:9" s="542" customFormat="1" ht="12" customHeight="1" x14ac:dyDescent="0.2">
      <c r="A24" s="824" t="s">
        <v>562</v>
      </c>
      <c r="B24" s="825"/>
      <c r="C24" s="823">
        <v>2400</v>
      </c>
      <c r="D24" s="1805"/>
      <c r="E24" s="1807">
        <f>'Expenditures 15-22'!K57-SUM('Expenditures 15-22'!G57,'Expenditures 15-22'!I57)+'Expenditures 15-22'!D261</f>
        <v>1247273</v>
      </c>
      <c r="F24" s="1805"/>
      <c r="G24" s="1808">
        <f>'Expenditures 15-22'!K57-SUM('Expenditures 15-22'!G57,'Expenditures 15-22'!I57)+'Expenditures 15-22'!D261</f>
        <v>1247273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132649</v>
      </c>
      <c r="E26" s="1807">
        <f>'Expenditures 15-22'!K122-SUM('Expenditures 15-22'!G122,'Expenditures 15-22'!I122)+E7</f>
        <v>0</v>
      </c>
      <c r="F26" s="1807">
        <f>'Expenditures 15-22'!K59-SUM('Expenditures 15-22'!G59,'Expenditures 15-22'!I59)+'Expenditures 15-22'!D263-E7</f>
        <v>132649</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350418</v>
      </c>
      <c r="E27" s="1807">
        <f>E8</f>
        <v>0</v>
      </c>
      <c r="F27" s="1807">
        <f>'Expenditures 15-22'!K60-SUM('Expenditures 15-22'!G60,'Expenditures 15-22'!I60)+'Expenditures 15-22'!D264-E8</f>
        <v>350418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2048294</v>
      </c>
      <c r="F28" s="1809">
        <f>'Expenditures 15-22'!K61-SUM('Expenditures 15-22'!G61,'Expenditures 15-22'!I61)+'Expenditures 15-22'!K124-SUM('Expenditures 15-22'!G124,'Expenditures 15-22'!I124)+'Expenditures 15-22'!D266-E9</f>
        <v>2048294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1638685</v>
      </c>
      <c r="F29" s="1805"/>
      <c r="G29" s="1808">
        <f>'Expenditures 15-22'!K62-SUM('Expenditures 15-22'!G62,'Expenditures 15-22'!I62)+'Expenditures 15-22'!K125-SUM('Expenditures 15-22'!G125,'Expenditures 15-22'!I125)+'Expenditures 15-22'!K182-SUM('Expenditures 15-22'!G182,'Expenditures 15-22'!I182)+'Expenditures 15-22'!D267</f>
        <v>1638685</v>
      </c>
      <c r="H29" s="815"/>
    </row>
    <row r="30" spans="1:9" ht="12" customHeight="1" x14ac:dyDescent="0.2">
      <c r="A30" s="824" t="s">
        <v>100</v>
      </c>
      <c r="B30" s="827"/>
      <c r="C30" s="823">
        <v>2560</v>
      </c>
      <c r="D30" s="1805"/>
      <c r="E30" s="1807">
        <f>'Expenditures 15-22'!K63-SUM('Expenditures 15-22'!G63,'Expenditures 15-22'!I63)+'Expenditures 15-22'!D268-E10</f>
        <v>518033</v>
      </c>
      <c r="F30" s="1805"/>
      <c r="G30" s="1807">
        <f>'Expenditures 15-22'!K63-SUM('Expenditures 15-22'!G63,'Expenditures 15-22'!I63)+'Expenditures 15-22'!D268-E10</f>
        <v>518033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5020</v>
      </c>
      <c r="F35" s="1805"/>
      <c r="G35" s="1807">
        <f>'Expenditures 15-22'!K69-SUM('Expenditures 15-22'!G69,'Expenditures 15-22'!I69)+'Expenditures 15-22'!D274</f>
        <v>5020</v>
      </c>
    </row>
    <row r="36" spans="1:7" ht="12" customHeight="1" x14ac:dyDescent="0.2">
      <c r="A36" s="824" t="s">
        <v>400</v>
      </c>
      <c r="B36" s="827"/>
      <c r="C36" s="823">
        <v>2640</v>
      </c>
      <c r="D36" s="1807">
        <f>'Expenditures 15-22'!K70-SUM('Expenditures 15-22'!G70,'Expenditures 15-22'!I70)+'Expenditures 15-22'!D275-E13</f>
        <v>117802</v>
      </c>
      <c r="E36" s="1807">
        <f>E13</f>
        <v>0</v>
      </c>
      <c r="F36" s="1807">
        <f>'Expenditures 15-22'!K70-SUM('Expenditures 15-22'!G70,'Expenditures 15-22'!I70)+'Expenditures 15-22'!D275-E13</f>
        <v>117802</v>
      </c>
      <c r="G36" s="1807">
        <f>E13</f>
        <v>0</v>
      </c>
    </row>
    <row r="37" spans="1:7" ht="12" customHeight="1" x14ac:dyDescent="0.2">
      <c r="A37" s="824" t="s">
        <v>401</v>
      </c>
      <c r="B37" s="827"/>
      <c r="C37" s="823">
        <v>2660</v>
      </c>
      <c r="D37" s="1807">
        <f>'Expenditures 15-22'!K71-SUM('Expenditures 15-22'!G71,'Expenditures 15-22'!I71)+'Expenditures 15-22'!D276-E14</f>
        <v>686155</v>
      </c>
      <c r="E37" s="1807">
        <f>E14</f>
        <v>0</v>
      </c>
      <c r="F37" s="1807">
        <f>'Expenditures 15-22'!K71-SUM('Expenditures 15-22'!G71,'Expenditures 15-22'!I71)+'Expenditures 15-22'!D276-E14</f>
        <v>686155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46130</v>
      </c>
      <c r="F38" s="1805"/>
      <c r="G38" s="1807">
        <f>'Expenditures 15-22'!K73-SUM('Expenditures 15-22'!G73,'Expenditures 15-22'!I73)+'Expenditures 15-22'!K128-SUM('Expenditures 15-22'!G128,'Expenditures 15-22'!I128)+'Expenditures 15-22'!K183-SUM('Expenditures 15-22'!G183,'Expenditures 15-22'!I183)+'Expenditures 15-22'!D278</f>
        <v>46130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65491</v>
      </c>
      <c r="F39" s="1805"/>
      <c r="G39" s="1807">
        <f>'Expenditures 15-22'!K75-SUM('Expenditures 15-22'!G75,'Expenditures 15-22'!I75)+'Expenditures 15-22'!K130-SUM('Expenditures 15-22'!G130,'Expenditures 15-22'!I130)+'Expenditures 15-22'!K185-SUM('Expenditures 15-22'!G185,'Expenditures 15-22'!I185)+'Expenditures 15-22'!D280</f>
        <v>65491</v>
      </c>
    </row>
    <row r="40" spans="1:7" ht="12" customHeight="1" x14ac:dyDescent="0.2">
      <c r="A40" s="820" t="s">
        <v>1795</v>
      </c>
      <c r="B40" s="821"/>
      <c r="C40" s="823"/>
      <c r="D40" s="1805"/>
      <c r="E40" s="1809">
        <f>-'Contracts Paid in CY 29'!F142</f>
        <v>-4062111</v>
      </c>
      <c r="F40" s="1805"/>
      <c r="G40" s="1809">
        <f>-'Contracts Paid in CY 29'!F142</f>
        <v>-4062111</v>
      </c>
    </row>
    <row r="41" spans="1:7" ht="12" customHeight="1" x14ac:dyDescent="0.2">
      <c r="A41" s="828" t="s">
        <v>155</v>
      </c>
      <c r="B41" s="829"/>
      <c r="C41" s="830"/>
      <c r="D41" s="1809">
        <f>SUM(D19:D39)</f>
        <v>1287024</v>
      </c>
      <c r="E41" s="1809">
        <f>SUM(E19:E40)</f>
        <v>21080579</v>
      </c>
      <c r="F41" s="1809">
        <f>SUM(F19:F39)</f>
        <v>3335318</v>
      </c>
      <c r="G41" s="1809">
        <f>SUM(G19:G40)</f>
        <v>19032285</v>
      </c>
    </row>
    <row r="42" spans="1:7" x14ac:dyDescent="0.2">
      <c r="A42" s="817"/>
      <c r="B42" s="157"/>
      <c r="C42" s="831"/>
      <c r="D42" s="2403" t="s">
        <v>519</v>
      </c>
      <c r="E42" s="2404"/>
      <c r="F42" s="832" t="s">
        <v>520</v>
      </c>
      <c r="G42" s="833"/>
    </row>
    <row r="43" spans="1:7" ht="12" customHeight="1" x14ac:dyDescent="0.2">
      <c r="A43" s="817"/>
      <c r="B43" s="157"/>
      <c r="C43" s="831"/>
      <c r="D43" s="1458" t="s">
        <v>470</v>
      </c>
      <c r="E43" s="1810">
        <f>D41</f>
        <v>1287024</v>
      </c>
      <c r="F43" s="1458" t="s">
        <v>470</v>
      </c>
      <c r="G43" s="1810">
        <f>F41</f>
        <v>3335318</v>
      </c>
    </row>
    <row r="44" spans="1:7" ht="12" customHeight="1" x14ac:dyDescent="0.2">
      <c r="A44" s="817"/>
      <c r="B44" s="157"/>
      <c r="C44" s="831"/>
      <c r="D44" s="1458" t="s">
        <v>471</v>
      </c>
      <c r="E44" s="1810">
        <f>E41</f>
        <v>21080579</v>
      </c>
      <c r="F44" s="1458" t="s">
        <v>471</v>
      </c>
      <c r="G44" s="1810">
        <f>G41</f>
        <v>19032285</v>
      </c>
    </row>
    <row r="45" spans="1:7" ht="12" customHeight="1" x14ac:dyDescent="0.2">
      <c r="A45" s="817"/>
      <c r="B45" s="157"/>
      <c r="C45" s="157"/>
      <c r="D45" s="1459" t="s">
        <v>999</v>
      </c>
      <c r="E45" s="1811">
        <f>(E43/E44)</f>
        <v>6.1052592530783906E-2</v>
      </c>
      <c r="F45" s="1459" t="s">
        <v>999</v>
      </c>
      <c r="G45" s="1811">
        <f>(G43/G44)</f>
        <v>0.17524527401728168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E33" sqref="E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Cary CCSD 26</v>
      </c>
      <c r="D6" s="2415"/>
      <c r="E6" s="2415"/>
      <c r="F6" s="1482"/>
      <c r="G6" s="1507"/>
      <c r="L6" s="1507"/>
      <c r="M6" s="1855"/>
      <c r="N6" s="1855"/>
      <c r="O6" s="1855"/>
    </row>
    <row r="7" spans="1:15" ht="11.25" customHeight="1" thickBot="1" x14ac:dyDescent="0.3">
      <c r="A7" s="1480"/>
      <c r="B7" s="1481"/>
      <c r="C7" s="2416">
        <f>COVER!A13</f>
        <v>44063026004</v>
      </c>
      <c r="D7" s="2416"/>
      <c r="E7" s="2416"/>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2048</v>
      </c>
      <c r="D12" s="1495" t="s">
        <v>2048</v>
      </c>
      <c r="E12" s="1498" t="s">
        <v>2069</v>
      </c>
      <c r="F12" s="1497" t="s">
        <v>2070</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2048</v>
      </c>
      <c r="D14" s="1495" t="s">
        <v>2048</v>
      </c>
      <c r="E14" s="1498" t="s">
        <v>2069</v>
      </c>
      <c r="F14" s="1497" t="s">
        <v>2071</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2048</v>
      </c>
      <c r="D15" s="1495" t="s">
        <v>2048</v>
      </c>
      <c r="E15" s="1498" t="s">
        <v>2069</v>
      </c>
      <c r="F15" s="1497" t="s">
        <v>2072</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2048</v>
      </c>
      <c r="D16" s="1495" t="s">
        <v>2048</v>
      </c>
      <c r="E16" s="1498" t="s">
        <v>2069</v>
      </c>
      <c r="F16" s="1497" t="s">
        <v>2073</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2048</v>
      </c>
      <c r="D19" s="1495" t="s">
        <v>2048</v>
      </c>
      <c r="E19" s="1498" t="s">
        <v>2069</v>
      </c>
      <c r="F19" s="1497" t="s">
        <v>2074</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2048</v>
      </c>
      <c r="D20" s="1495" t="s">
        <v>2048</v>
      </c>
      <c r="E20" s="1498" t="s">
        <v>2069</v>
      </c>
      <c r="F20" s="1497" t="s">
        <v>2075</v>
      </c>
      <c r="G20" s="1507"/>
      <c r="H20" s="1507">
        <f t="shared" si="0"/>
        <v>5</v>
      </c>
      <c r="I20" s="1507">
        <f t="shared" si="1"/>
        <v>5</v>
      </c>
      <c r="J20" s="1507">
        <f t="shared" si="2"/>
        <v>0</v>
      </c>
      <c r="L20" s="1507"/>
      <c r="M20" s="1855"/>
      <c r="N20" s="1855"/>
      <c r="O20" s="1855"/>
    </row>
    <row r="21" spans="1:15" ht="12" customHeight="1" x14ac:dyDescent="0.2">
      <c r="A21" s="1493" t="s">
        <v>1512</v>
      </c>
      <c r="B21" s="1494"/>
      <c r="C21" s="1495" t="s">
        <v>2048</v>
      </c>
      <c r="D21" s="1495" t="s">
        <v>2048</v>
      </c>
      <c r="E21" s="1498" t="s">
        <v>2069</v>
      </c>
      <c r="F21" s="1497" t="s">
        <v>2076</v>
      </c>
      <c r="G21" s="1507"/>
      <c r="H21" s="1507">
        <f t="shared" si="0"/>
        <v>5</v>
      </c>
      <c r="I21" s="1507">
        <f t="shared" si="1"/>
        <v>5</v>
      </c>
      <c r="J21" s="1507">
        <f t="shared" si="2"/>
        <v>0</v>
      </c>
      <c r="L21" s="1507"/>
      <c r="M21" s="1855"/>
      <c r="N21" s="1855"/>
      <c r="O21" s="1855"/>
    </row>
    <row r="22" spans="1:15" ht="12" customHeight="1" x14ac:dyDescent="0.2">
      <c r="A22" s="1493" t="s">
        <v>1513</v>
      </c>
      <c r="B22" s="1494"/>
      <c r="C22" s="1495" t="s">
        <v>2048</v>
      </c>
      <c r="D22" s="1495" t="s">
        <v>2048</v>
      </c>
      <c r="E22" s="1498" t="s">
        <v>2069</v>
      </c>
      <c r="F22" s="1497" t="s">
        <v>2077</v>
      </c>
      <c r="G22" s="1507"/>
      <c r="H22" s="1507">
        <f t="shared" si="0"/>
        <v>5</v>
      </c>
      <c r="I22" s="1507">
        <f t="shared" si="1"/>
        <v>5</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2048</v>
      </c>
      <c r="D28" s="1495" t="s">
        <v>2048</v>
      </c>
      <c r="E28" s="1498" t="s">
        <v>2069</v>
      </c>
      <c r="F28" s="1497" t="s">
        <v>2078</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2048</v>
      </c>
      <c r="D30" s="1495" t="s">
        <v>2048</v>
      </c>
      <c r="E30" s="1498" t="s">
        <v>2069</v>
      </c>
      <c r="F30" s="1497" t="s">
        <v>2079</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2048</v>
      </c>
      <c r="D32" s="1495" t="s">
        <v>2048</v>
      </c>
      <c r="E32" s="1498" t="s">
        <v>2069</v>
      </c>
      <c r="F32" s="1497" t="s">
        <v>2080</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55</v>
      </c>
      <c r="I34" s="1507">
        <f>SUM(I11:I32)</f>
        <v>55</v>
      </c>
      <c r="J34" s="1507">
        <f>SUM(J11:J32)</f>
        <v>0</v>
      </c>
      <c r="K34" s="1507">
        <f>SUM(H34:J34)</f>
        <v>110</v>
      </c>
      <c r="L34" s="1507"/>
      <c r="M34" s="1855"/>
      <c r="N34" s="1855"/>
      <c r="O34" s="1855"/>
    </row>
    <row r="35" spans="1:15" ht="12" customHeight="1" x14ac:dyDescent="0.2">
      <c r="A35" s="1500" t="s">
        <v>1376</v>
      </c>
      <c r="B35" s="1501"/>
      <c r="C35" s="2417"/>
      <c r="D35" s="2417"/>
      <c r="E35" s="2417"/>
      <c r="F35" s="2418"/>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22"/>
      <c r="B38" s="2423"/>
      <c r="C38" s="2423"/>
      <c r="D38" s="2423"/>
      <c r="E38" s="2423"/>
      <c r="F38" s="2424"/>
    </row>
    <row r="39" spans="1:15" ht="4.5" hidden="1" customHeight="1" x14ac:dyDescent="0.2">
      <c r="A39" s="1502"/>
      <c r="B39" s="1502"/>
      <c r="C39" s="1502"/>
      <c r="D39" s="1502"/>
      <c r="E39" s="1502"/>
      <c r="F39" s="1502"/>
    </row>
    <row r="40" spans="1:15" s="1499" customFormat="1" ht="12" customHeight="1" x14ac:dyDescent="0.25">
      <c r="A40" s="1503" t="s">
        <v>1375</v>
      </c>
      <c r="B40" s="1504"/>
      <c r="C40" s="2425"/>
      <c r="D40" s="2425"/>
      <c r="E40" s="2425"/>
      <c r="F40" s="2426"/>
      <c r="H40" s="1508"/>
      <c r="I40" s="1508"/>
      <c r="J40" s="1508"/>
      <c r="K40" s="1508"/>
    </row>
    <row r="41" spans="1:15" s="1499" customFormat="1" ht="12" customHeight="1" x14ac:dyDescent="0.25">
      <c r="A41" s="2427"/>
      <c r="B41" s="2428"/>
      <c r="C41" s="2428"/>
      <c r="D41" s="2428"/>
      <c r="E41" s="2428"/>
      <c r="F41" s="2429"/>
      <c r="H41" s="1508"/>
      <c r="I41" s="1508"/>
      <c r="J41" s="1508"/>
      <c r="K41" s="1508"/>
    </row>
    <row r="42" spans="1:15" s="1499" customFormat="1" ht="12" customHeight="1" x14ac:dyDescent="0.25">
      <c r="A42" s="2427"/>
      <c r="B42" s="2428"/>
      <c r="C42" s="2428"/>
      <c r="D42" s="2428"/>
      <c r="E42" s="2428"/>
      <c r="F42" s="2429"/>
      <c r="H42" s="1508"/>
      <c r="I42" s="1508"/>
      <c r="J42" s="1508"/>
      <c r="K42" s="1508"/>
    </row>
    <row r="43" spans="1:15" s="1499" customFormat="1" ht="15" x14ac:dyDescent="0.25">
      <c r="A43" s="2419"/>
      <c r="B43" s="2420"/>
      <c r="C43" s="2420"/>
      <c r="D43" s="2420"/>
      <c r="E43" s="2420"/>
      <c r="F43" s="2421"/>
      <c r="H43" s="1508"/>
      <c r="I43" s="1508"/>
      <c r="J43" s="1508"/>
      <c r="K43" s="1508"/>
    </row>
    <row r="44" spans="1:15" s="1499" customFormat="1" ht="12" hidden="1" customHeight="1" x14ac:dyDescent="0.25">
      <c r="A44" s="2419"/>
      <c r="B44" s="2420"/>
      <c r="C44" s="2420"/>
      <c r="D44" s="2420"/>
      <c r="E44" s="2420"/>
      <c r="F44" s="242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2" sqref="K12"/>
    </sheetView>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1999</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1" t="str">
        <f>COVER!A17</f>
        <v>Cary CCSD 26</v>
      </c>
      <c r="K6" s="2431"/>
      <c r="L6" s="2432"/>
      <c r="M6" s="838"/>
      <c r="N6" s="2000"/>
    </row>
    <row r="7" spans="1:14" x14ac:dyDescent="0.2">
      <c r="A7" s="2433" t="s">
        <v>864</v>
      </c>
      <c r="B7" s="2434"/>
      <c r="C7" s="2434"/>
      <c r="D7" s="2434"/>
      <c r="E7" s="2435"/>
      <c r="F7" s="839"/>
      <c r="G7" s="838"/>
      <c r="H7" s="838"/>
      <c r="I7" s="1926" t="s">
        <v>369</v>
      </c>
      <c r="J7" s="2436">
        <f>COVER!A13</f>
        <v>44063026004</v>
      </c>
      <c r="K7" s="2436"/>
      <c r="L7" s="2436"/>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2015</v>
      </c>
      <c r="F9" s="1857"/>
      <c r="G9" s="1857"/>
      <c r="H9" s="1857"/>
      <c r="I9" s="1931" t="s">
        <v>2016</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37" t="s">
        <v>478</v>
      </c>
      <c r="B11" s="2438"/>
      <c r="C11" s="2439"/>
      <c r="D11" s="1939" t="s">
        <v>866</v>
      </c>
      <c r="E11" s="1939" t="s">
        <v>64</v>
      </c>
      <c r="F11" s="1939" t="s">
        <v>6</v>
      </c>
      <c r="G11" s="1940" t="s">
        <v>2017</v>
      </c>
      <c r="H11" s="1941" t="s">
        <v>155</v>
      </c>
      <c r="I11" s="1939" t="s">
        <v>64</v>
      </c>
      <c r="J11" s="1939" t="s">
        <v>6</v>
      </c>
      <c r="K11" s="1940" t="s">
        <v>1998</v>
      </c>
      <c r="L11" s="1941" t="s">
        <v>155</v>
      </c>
      <c r="M11" s="838"/>
      <c r="N11" s="2000"/>
    </row>
    <row r="12" spans="1:14" x14ac:dyDescent="0.2">
      <c r="A12" s="2005">
        <v>1</v>
      </c>
      <c r="B12" s="1942" t="s">
        <v>813</v>
      </c>
      <c r="C12" s="842"/>
      <c r="D12" s="1943">
        <v>2320</v>
      </c>
      <c r="E12" s="1946">
        <f>'Expenditures 15-22'!K50</f>
        <v>295414</v>
      </c>
      <c r="F12" s="1944"/>
      <c r="G12" s="1970">
        <f>G68</f>
        <v>0</v>
      </c>
      <c r="H12" s="1946">
        <f t="shared" ref="H12:H18" si="0">SUM(E12:G12)</f>
        <v>295414</v>
      </c>
      <c r="I12" s="1945">
        <v>313893</v>
      </c>
      <c r="J12" s="1944"/>
      <c r="K12" s="1945"/>
      <c r="L12" s="1946">
        <f t="shared" ref="L12:L18" si="1">SUM(I12:K12)</f>
        <v>313893</v>
      </c>
      <c r="M12" s="838"/>
      <c r="N12" s="2000"/>
    </row>
    <row r="13" spans="1:14" x14ac:dyDescent="0.2">
      <c r="A13" s="2005">
        <v>2</v>
      </c>
      <c r="B13" s="1942" t="s">
        <v>42</v>
      </c>
      <c r="C13" s="842"/>
      <c r="D13" s="1943">
        <v>2330</v>
      </c>
      <c r="E13" s="1946">
        <f>'Expenditures 15-22'!K51</f>
        <v>215394</v>
      </c>
      <c r="F13" s="1944"/>
      <c r="G13" s="1970">
        <f>H68</f>
        <v>0</v>
      </c>
      <c r="H13" s="1946">
        <f t="shared" si="0"/>
        <v>215394</v>
      </c>
      <c r="I13" s="1945">
        <v>224414</v>
      </c>
      <c r="J13" s="1944"/>
      <c r="K13" s="1945"/>
      <c r="L13" s="1946">
        <f t="shared" si="1"/>
        <v>224414</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131138</v>
      </c>
      <c r="F15" s="1946">
        <f>'Expenditures 15-22'!K122</f>
        <v>0</v>
      </c>
      <c r="G15" s="1970">
        <f>J68</f>
        <v>0</v>
      </c>
      <c r="H15" s="1946">
        <f t="shared" si="0"/>
        <v>131138</v>
      </c>
      <c r="I15" s="1945">
        <v>133848</v>
      </c>
      <c r="J15" s="1945"/>
      <c r="K15" s="1945"/>
      <c r="L15" s="1946">
        <f t="shared" si="1"/>
        <v>133848</v>
      </c>
      <c r="M15" s="838"/>
      <c r="N15" s="2000"/>
    </row>
    <row r="16" spans="1:14" x14ac:dyDescent="0.2">
      <c r="A16" s="2005">
        <v>5</v>
      </c>
      <c r="B16" s="1942" t="s">
        <v>101</v>
      </c>
      <c r="C16" s="842"/>
      <c r="D16" s="1943">
        <v>2570</v>
      </c>
      <c r="E16" s="1946">
        <f>'Expenditures 15-22'!K64</f>
        <v>0</v>
      </c>
      <c r="F16" s="1944"/>
      <c r="G16" s="1970">
        <f>K68</f>
        <v>0</v>
      </c>
      <c r="H16" s="1946">
        <f t="shared" si="0"/>
        <v>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40" t="s">
        <v>7</v>
      </c>
      <c r="C18" s="2441"/>
      <c r="D18" s="2442"/>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641946</v>
      </c>
      <c r="F19" s="1952">
        <f t="shared" si="2"/>
        <v>0</v>
      </c>
      <c r="G19" s="1952">
        <f t="shared" ref="G19" si="3">SUM(G12:G17)-G18</f>
        <v>0</v>
      </c>
      <c r="H19" s="1952">
        <f t="shared" si="2"/>
        <v>641946</v>
      </c>
      <c r="I19" s="1952">
        <f t="shared" si="2"/>
        <v>672155</v>
      </c>
      <c r="J19" s="1952">
        <f t="shared" si="2"/>
        <v>0</v>
      </c>
      <c r="K19" s="1952">
        <f t="shared" si="2"/>
        <v>0</v>
      </c>
      <c r="L19" s="1952">
        <f t="shared" si="2"/>
        <v>672155</v>
      </c>
      <c r="M19" s="838"/>
      <c r="N19" s="2000"/>
    </row>
    <row r="20" spans="1:14" ht="13.5" thickTop="1" x14ac:dyDescent="0.2">
      <c r="A20" s="2005">
        <v>9</v>
      </c>
      <c r="B20" s="2443" t="s">
        <v>2018</v>
      </c>
      <c r="C20" s="2443"/>
      <c r="D20" s="2444"/>
      <c r="E20" s="1953"/>
      <c r="F20" s="1953"/>
      <c r="G20" s="1953"/>
      <c r="H20" s="1953"/>
      <c r="I20" s="1953"/>
      <c r="J20" s="1953"/>
      <c r="K20" s="1953"/>
      <c r="L20" s="1954">
        <f>IF(AND(H19&gt;0,L19&gt;0),(((L19-H19)/H19)),"Enter Budget Data")</f>
        <v>4.7058475323469573E-2</v>
      </c>
      <c r="M20" s="838"/>
      <c r="N20" s="2000"/>
    </row>
    <row r="21" spans="1:14" x14ac:dyDescent="0.2">
      <c r="A21" s="2007" t="s">
        <v>194</v>
      </c>
      <c r="B21" s="2008" t="s">
        <v>2043</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2019</v>
      </c>
      <c r="B24" s="2012"/>
      <c r="C24" s="2013"/>
      <c r="D24" s="2013"/>
      <c r="E24" s="2013"/>
      <c r="F24" s="2013"/>
      <c r="G24" s="2013"/>
      <c r="H24" s="2013"/>
      <c r="I24" s="2013"/>
      <c r="J24" s="2013"/>
      <c r="K24" s="2013"/>
      <c r="L24" s="838"/>
      <c r="M24" s="838"/>
      <c r="N24" s="2000"/>
    </row>
    <row r="25" spans="1:14" x14ac:dyDescent="0.2">
      <c r="A25" s="2011" t="s">
        <v>2020</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45"/>
      <c r="D27" s="2445"/>
      <c r="E27" s="843"/>
      <c r="F27" s="2446"/>
      <c r="G27" s="2446"/>
      <c r="H27" s="2446"/>
      <c r="I27" s="838"/>
      <c r="J27" s="838"/>
      <c r="K27" s="838"/>
      <c r="L27" s="838"/>
      <c r="M27" s="838"/>
      <c r="N27" s="2000"/>
    </row>
    <row r="28" spans="1:14" x14ac:dyDescent="0.2">
      <c r="A28" s="1999"/>
      <c r="B28" s="2009"/>
      <c r="C28" s="1959" t="s">
        <v>1026</v>
      </c>
      <c r="D28" s="844"/>
      <c r="E28" s="1960"/>
      <c r="F28" s="2447" t="s">
        <v>1492</v>
      </c>
      <c r="G28" s="2447"/>
      <c r="H28" s="2447"/>
      <c r="I28" s="838"/>
      <c r="J28" s="838"/>
      <c r="K28" s="838"/>
      <c r="L28" s="838"/>
      <c r="M28" s="838"/>
      <c r="N28" s="2000"/>
    </row>
    <row r="29" spans="1:14" x14ac:dyDescent="0.2">
      <c r="A29" s="1999"/>
      <c r="B29" s="2009"/>
      <c r="C29" s="2448"/>
      <c r="D29" s="2448"/>
      <c r="E29" s="845"/>
      <c r="F29" s="2448"/>
      <c r="G29" s="2448"/>
      <c r="H29" s="2448"/>
      <c r="I29" s="838"/>
      <c r="J29" s="838"/>
      <c r="K29" s="838"/>
      <c r="L29" s="838"/>
      <c r="M29" s="838"/>
      <c r="N29" s="2000"/>
    </row>
    <row r="30" spans="1:14" x14ac:dyDescent="0.2">
      <c r="A30" s="1999"/>
      <c r="B30" s="2009"/>
      <c r="C30" s="1962" t="s">
        <v>1544</v>
      </c>
      <c r="D30" s="838"/>
      <c r="E30" s="1961"/>
      <c r="F30" s="2430" t="s">
        <v>1493</v>
      </c>
      <c r="G30" s="2430"/>
      <c r="H30" s="2430"/>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51" t="s">
        <v>2021</v>
      </c>
      <c r="D34" s="2452"/>
      <c r="E34" s="2452"/>
      <c r="F34" s="2452"/>
      <c r="G34" s="2452"/>
      <c r="H34" s="2452"/>
      <c r="I34" s="2452"/>
      <c r="J34" s="2452"/>
      <c r="K34" s="2018"/>
      <c r="L34" s="838"/>
      <c r="M34" s="838"/>
      <c r="N34" s="2000"/>
    </row>
    <row r="35" spans="1:14" x14ac:dyDescent="0.2">
      <c r="A35" s="1999"/>
      <c r="B35" s="838"/>
      <c r="C35" s="2452"/>
      <c r="D35" s="2452"/>
      <c r="E35" s="2452"/>
      <c r="F35" s="2452"/>
      <c r="G35" s="2452"/>
      <c r="H35" s="2452"/>
      <c r="I35" s="2452"/>
      <c r="J35" s="2452"/>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51" t="s">
        <v>2022</v>
      </c>
      <c r="D37" s="2452"/>
      <c r="E37" s="2452"/>
      <c r="F37" s="2452"/>
      <c r="G37" s="2452"/>
      <c r="H37" s="2452"/>
      <c r="I37" s="2452"/>
      <c r="J37" s="2452"/>
      <c r="K37" s="2018"/>
      <c r="L37" s="2020"/>
      <c r="M37" s="838"/>
      <c r="N37" s="2000"/>
    </row>
    <row r="38" spans="1:14" x14ac:dyDescent="0.2">
      <c r="A38" s="1999"/>
      <c r="B38" s="838"/>
      <c r="C38" s="2452"/>
      <c r="D38" s="2452"/>
      <c r="E38" s="2452"/>
      <c r="F38" s="2452"/>
      <c r="G38" s="2452"/>
      <c r="H38" s="2452"/>
      <c r="I38" s="2452"/>
      <c r="J38" s="2452"/>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53" t="s">
        <v>2023</v>
      </c>
      <c r="D40" s="2454"/>
      <c r="E40" s="2454"/>
      <c r="F40" s="2454"/>
      <c r="G40" s="2454"/>
      <c r="H40" s="2454"/>
      <c r="I40" s="2454"/>
      <c r="J40" s="2454"/>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55" t="s">
        <v>2024</v>
      </c>
      <c r="B43" s="2456"/>
      <c r="C43" s="2456"/>
      <c r="D43" s="2456"/>
      <c r="E43" s="2456"/>
      <c r="F43" s="2456"/>
      <c r="G43" s="2456"/>
      <c r="H43" s="2456"/>
      <c r="I43" s="2456"/>
      <c r="J43" s="2456"/>
      <c r="K43" s="2456"/>
      <c r="L43" s="2456"/>
      <c r="M43" s="2456"/>
      <c r="N43" s="2457"/>
    </row>
    <row r="44" spans="1:14" x14ac:dyDescent="0.2">
      <c r="A44" s="1984"/>
      <c r="B44" s="1985"/>
      <c r="C44" s="1985"/>
      <c r="D44" s="1985"/>
      <c r="E44" s="1985"/>
      <c r="F44" s="1985"/>
      <c r="G44" s="1985"/>
      <c r="H44" s="1985"/>
      <c r="I44" s="1985"/>
      <c r="J44" s="1985"/>
      <c r="K44" s="1985"/>
      <c r="L44" s="1985"/>
      <c r="M44" s="1985"/>
      <c r="N44" s="1986"/>
    </row>
    <row r="45" spans="1:14" x14ac:dyDescent="0.2">
      <c r="A45" s="1984" t="s">
        <v>2025</v>
      </c>
      <c r="B45" s="1985"/>
      <c r="C45" s="1985"/>
      <c r="D45" s="1985"/>
      <c r="E45" s="1985"/>
      <c r="F45" s="1985"/>
      <c r="G45" s="1985"/>
      <c r="H45" s="1985"/>
      <c r="I45" s="1985"/>
      <c r="J45" s="1985"/>
      <c r="K45" s="1985"/>
      <c r="L45" s="1985"/>
      <c r="M45" s="1985"/>
      <c r="N45" s="1986"/>
    </row>
    <row r="46" spans="1:14" x14ac:dyDescent="0.2">
      <c r="A46" s="2458" t="s">
        <v>2026</v>
      </c>
      <c r="B46" s="2459"/>
      <c r="C46" s="2459"/>
      <c r="D46" s="2459"/>
      <c r="E46" s="2459"/>
      <c r="F46" s="2459"/>
      <c r="G46" s="2459"/>
      <c r="H46" s="2459"/>
      <c r="I46" s="2459"/>
      <c r="J46" s="2459"/>
      <c r="K46" s="2459"/>
      <c r="L46" s="2459"/>
      <c r="M46" s="2459"/>
      <c r="N46" s="2460"/>
    </row>
    <row r="47" spans="1:14" x14ac:dyDescent="0.2">
      <c r="A47" s="2458"/>
      <c r="B47" s="2459"/>
      <c r="C47" s="2459"/>
      <c r="D47" s="2459"/>
      <c r="E47" s="2459"/>
      <c r="F47" s="2459"/>
      <c r="G47" s="2459"/>
      <c r="H47" s="2459"/>
      <c r="I47" s="2459"/>
      <c r="J47" s="2459"/>
      <c r="K47" s="2459"/>
      <c r="L47" s="2459"/>
      <c r="M47" s="2459"/>
      <c r="N47" s="2460"/>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2042</v>
      </c>
      <c r="B49" s="2026"/>
      <c r="C49" s="2026"/>
      <c r="D49" s="2027"/>
      <c r="E49" s="2027"/>
      <c r="F49" s="2027"/>
      <c r="G49" s="2027"/>
      <c r="H49" s="2027"/>
      <c r="I49" s="2027"/>
      <c r="J49" s="2027"/>
      <c r="K49" s="2027"/>
      <c r="L49" s="2027"/>
      <c r="M49" s="2027"/>
      <c r="N49" s="2028"/>
    </row>
    <row r="50" spans="1:14" ht="15" x14ac:dyDescent="0.25">
      <c r="A50" s="2030" t="s">
        <v>2041</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1" t="str">
        <f>J6</f>
        <v>Cary CCSD 26</v>
      </c>
      <c r="M52" s="2431"/>
      <c r="N52" s="2461"/>
    </row>
    <row r="53" spans="1:14" x14ac:dyDescent="0.2">
      <c r="A53" s="1984"/>
      <c r="B53" s="1985"/>
      <c r="C53" s="1985"/>
      <c r="D53" s="1985"/>
      <c r="E53" s="1985"/>
      <c r="F53" s="1985"/>
      <c r="G53" s="1985"/>
      <c r="H53" s="1985"/>
      <c r="I53" s="1985"/>
      <c r="J53" s="1985"/>
      <c r="K53" s="1926" t="s">
        <v>369</v>
      </c>
      <c r="L53" s="2436">
        <f>J7</f>
        <v>44063026004</v>
      </c>
      <c r="M53" s="2436"/>
      <c r="N53" s="2462"/>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63"/>
      <c r="B55" s="2464"/>
      <c r="C55" s="2464"/>
      <c r="D55" s="1972"/>
      <c r="E55" s="1972"/>
      <c r="F55" s="1972"/>
      <c r="G55" s="2465" t="s">
        <v>2027</v>
      </c>
      <c r="H55" s="2465"/>
      <c r="I55" s="2465"/>
      <c r="J55" s="2465"/>
      <c r="K55" s="2465"/>
      <c r="L55" s="2465"/>
      <c r="M55" s="2465"/>
      <c r="N55" s="2466"/>
    </row>
    <row r="56" spans="1:14" ht="63.75" x14ac:dyDescent="0.2">
      <c r="A56" s="2467" t="s">
        <v>2028</v>
      </c>
      <c r="B56" s="2468"/>
      <c r="C56" s="2469"/>
      <c r="D56" s="1966" t="s">
        <v>2029</v>
      </c>
      <c r="E56" s="1966" t="s">
        <v>2030</v>
      </c>
      <c r="F56" s="1973"/>
      <c r="G56" s="1966" t="s">
        <v>2031</v>
      </c>
      <c r="H56" s="1966" t="s">
        <v>2032</v>
      </c>
      <c r="I56" s="1966" t="s">
        <v>2033</v>
      </c>
      <c r="J56" s="1966" t="s">
        <v>2034</v>
      </c>
      <c r="K56" s="1966" t="s">
        <v>2035</v>
      </c>
      <c r="L56" s="1966" t="s">
        <v>2036</v>
      </c>
      <c r="M56" s="1966" t="s">
        <v>2037</v>
      </c>
      <c r="N56" s="1967" t="s">
        <v>2044</v>
      </c>
    </row>
    <row r="57" spans="1:14" ht="24.75" customHeight="1" x14ac:dyDescent="0.2">
      <c r="A57" s="2470" t="s">
        <v>296</v>
      </c>
      <c r="B57" s="2471"/>
      <c r="C57" s="2471"/>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49" t="s">
        <v>2038</v>
      </c>
      <c r="B58" s="2450"/>
      <c r="C58" s="2450"/>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72" t="s">
        <v>297</v>
      </c>
      <c r="B59" s="2473"/>
      <c r="C59" s="2473"/>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72" t="s">
        <v>236</v>
      </c>
      <c r="B60" s="2473"/>
      <c r="C60" s="2473"/>
      <c r="D60" s="1969">
        <v>2364</v>
      </c>
      <c r="E60" s="1979">
        <f>'Expenditures 15-22'!K322</f>
        <v>0</v>
      </c>
      <c r="F60" s="1974"/>
      <c r="G60" s="2033"/>
      <c r="H60" s="2034"/>
      <c r="I60" s="2034"/>
      <c r="J60" s="2034"/>
      <c r="K60" s="2034"/>
      <c r="L60" s="2034"/>
      <c r="M60" s="2034"/>
      <c r="N60" s="1977">
        <f t="shared" ref="N60:N67" si="4">IF((SUM(G60:M60))=E60,SUM(G60:M60),"Column N does not agree with Column E")</f>
        <v>0</v>
      </c>
    </row>
    <row r="61" spans="1:14" ht="24.75" customHeight="1" x14ac:dyDescent="0.2">
      <c r="A61" s="2472" t="s">
        <v>697</v>
      </c>
      <c r="B61" s="2473"/>
      <c r="C61" s="2473"/>
      <c r="D61" s="1969">
        <v>2365</v>
      </c>
      <c r="E61" s="1979">
        <f>'Expenditures 15-22'!K323</f>
        <v>0</v>
      </c>
      <c r="F61" s="1974"/>
      <c r="G61" s="2033"/>
      <c r="H61" s="2034"/>
      <c r="I61" s="2034"/>
      <c r="J61" s="2034"/>
      <c r="K61" s="2034"/>
      <c r="L61" s="2034"/>
      <c r="M61" s="2034"/>
      <c r="N61" s="1977">
        <f t="shared" si="4"/>
        <v>0</v>
      </c>
    </row>
    <row r="62" spans="1:14" ht="24" customHeight="1" x14ac:dyDescent="0.2">
      <c r="A62" s="2472" t="s">
        <v>237</v>
      </c>
      <c r="B62" s="2473"/>
      <c r="C62" s="2473"/>
      <c r="D62" s="1969">
        <v>2366</v>
      </c>
      <c r="E62" s="1979">
        <f>'Expenditures 15-22'!K324</f>
        <v>0</v>
      </c>
      <c r="F62" s="1974"/>
      <c r="G62" s="2033"/>
      <c r="H62" s="2034"/>
      <c r="I62" s="2034"/>
      <c r="J62" s="2034"/>
      <c r="K62" s="2034"/>
      <c r="L62" s="2034"/>
      <c r="M62" s="2034"/>
      <c r="N62" s="1977">
        <f t="shared" si="4"/>
        <v>0</v>
      </c>
    </row>
    <row r="63" spans="1:14" ht="24" customHeight="1" x14ac:dyDescent="0.2">
      <c r="A63" s="2449" t="s">
        <v>1022</v>
      </c>
      <c r="B63" s="2450"/>
      <c r="C63" s="2450"/>
      <c r="D63" s="1969">
        <v>2367</v>
      </c>
      <c r="E63" s="1979">
        <f>'Expenditures 15-22'!K325</f>
        <v>0</v>
      </c>
      <c r="F63" s="1974"/>
      <c r="G63" s="2033"/>
      <c r="H63" s="2034"/>
      <c r="I63" s="2034"/>
      <c r="J63" s="2034"/>
      <c r="K63" s="2034"/>
      <c r="L63" s="2034"/>
      <c r="M63" s="2034"/>
      <c r="N63" s="1977">
        <f t="shared" si="4"/>
        <v>0</v>
      </c>
    </row>
    <row r="64" spans="1:14" ht="24" customHeight="1" x14ac:dyDescent="0.2">
      <c r="A64" s="2472" t="s">
        <v>1023</v>
      </c>
      <c r="B64" s="2473"/>
      <c r="C64" s="2473"/>
      <c r="D64" s="1969">
        <v>2368</v>
      </c>
      <c r="E64" s="1979">
        <f>'Expenditures 15-22'!K326</f>
        <v>0</v>
      </c>
      <c r="F64" s="1974"/>
      <c r="G64" s="2033"/>
      <c r="H64" s="2034"/>
      <c r="I64" s="2034"/>
      <c r="J64" s="2034"/>
      <c r="K64" s="2034"/>
      <c r="L64" s="2034"/>
      <c r="M64" s="2034"/>
      <c r="N64" s="1977">
        <f t="shared" si="4"/>
        <v>0</v>
      </c>
    </row>
    <row r="65" spans="1:14" ht="24" customHeight="1" x14ac:dyDescent="0.2">
      <c r="A65" s="2472" t="s">
        <v>965</v>
      </c>
      <c r="B65" s="2473"/>
      <c r="C65" s="2473"/>
      <c r="D65" s="1969">
        <v>2369</v>
      </c>
      <c r="E65" s="1979">
        <f>'Expenditures 15-22'!K327</f>
        <v>0</v>
      </c>
      <c r="F65" s="1974"/>
      <c r="G65" s="2033"/>
      <c r="H65" s="2034"/>
      <c r="I65" s="2034"/>
      <c r="J65" s="2034"/>
      <c r="K65" s="2034"/>
      <c r="L65" s="2034"/>
      <c r="M65" s="2034"/>
      <c r="N65" s="1977">
        <f t="shared" si="4"/>
        <v>0</v>
      </c>
    </row>
    <row r="66" spans="1:14" ht="24" customHeight="1" x14ac:dyDescent="0.2">
      <c r="A66" s="2472" t="s">
        <v>469</v>
      </c>
      <c r="B66" s="2473"/>
      <c r="C66" s="2473"/>
      <c r="D66" s="1969">
        <v>2371</v>
      </c>
      <c r="E66" s="1979">
        <f>'Expenditures 15-22'!K328</f>
        <v>0</v>
      </c>
      <c r="F66" s="1974"/>
      <c r="G66" s="2033"/>
      <c r="H66" s="2034"/>
      <c r="I66" s="2034"/>
      <c r="J66" s="2034"/>
      <c r="K66" s="2034"/>
      <c r="L66" s="2034"/>
      <c r="M66" s="2034"/>
      <c r="N66" s="1977">
        <f t="shared" si="4"/>
        <v>0</v>
      </c>
    </row>
    <row r="67" spans="1:14" ht="24.75" customHeight="1" x14ac:dyDescent="0.2">
      <c r="A67" s="2474" t="s">
        <v>2039</v>
      </c>
      <c r="B67" s="2475"/>
      <c r="C67" s="2475"/>
      <c r="D67" s="1971">
        <v>2372</v>
      </c>
      <c r="E67" s="1980">
        <f>'Expenditures 15-22'!K329</f>
        <v>0</v>
      </c>
      <c r="F67" s="1974"/>
      <c r="G67" s="2035"/>
      <c r="H67" s="2036"/>
      <c r="I67" s="2036"/>
      <c r="J67" s="2036"/>
      <c r="K67" s="2036"/>
      <c r="L67" s="2036"/>
      <c r="M67" s="2036"/>
      <c r="N67" s="1977">
        <f t="shared" si="4"/>
        <v>0</v>
      </c>
    </row>
    <row r="68" spans="1:14" x14ac:dyDescent="0.2">
      <c r="A68" s="2476" t="s">
        <v>1151</v>
      </c>
      <c r="B68" s="2477"/>
      <c r="C68" s="2477"/>
      <c r="D68" s="1972"/>
      <c r="E68" s="1976">
        <f>SUM(E57:E67)</f>
        <v>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2040</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2173</v>
      </c>
    </row>
    <row r="6" spans="1:2" x14ac:dyDescent="0.2">
      <c r="A6" s="847">
        <v>2</v>
      </c>
      <c r="B6" s="307" t="s">
        <v>2174</v>
      </c>
    </row>
    <row r="7" spans="1:2" x14ac:dyDescent="0.2">
      <c r="A7" s="847">
        <v>3</v>
      </c>
      <c r="B7" s="307" t="s">
        <v>2176</v>
      </c>
    </row>
    <row r="8" spans="1:2" x14ac:dyDescent="0.2">
      <c r="A8" s="847">
        <v>4</v>
      </c>
      <c r="B8" s="307" t="s">
        <v>2175</v>
      </c>
    </row>
    <row r="9" spans="1:2" x14ac:dyDescent="0.2">
      <c r="A9" s="848">
        <v>5</v>
      </c>
      <c r="B9" s="307" t="s">
        <v>2177</v>
      </c>
    </row>
    <row r="10" spans="1:2" x14ac:dyDescent="0.2">
      <c r="A10" s="848">
        <v>6</v>
      </c>
      <c r="B10" s="307" t="s">
        <v>2179</v>
      </c>
    </row>
    <row r="11" spans="1:2" x14ac:dyDescent="0.2">
      <c r="A11" s="848">
        <v>7</v>
      </c>
      <c r="B11" s="307" t="s">
        <v>2178</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Cary CCSD 26</v>
      </c>
    </row>
    <row r="65" spans="2:2" x14ac:dyDescent="0.2">
      <c r="B65" s="849">
        <f>COVER!A13</f>
        <v>44063026004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4" t="s">
        <v>1056</v>
      </c>
      <c r="B35" s="2164"/>
      <c r="C35" s="2164"/>
      <c r="D35" s="2164"/>
      <c r="E35" s="216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1" t="s">
        <v>686</v>
      </c>
      <c r="B40" s="2161"/>
      <c r="C40" s="2161"/>
      <c r="D40" s="2161"/>
      <c r="E40" s="2161"/>
    </row>
    <row r="41" spans="1:5" x14ac:dyDescent="0.2">
      <c r="A41" s="2162" t="s">
        <v>1591</v>
      </c>
      <c r="B41" s="2162"/>
      <c r="C41" s="2162"/>
      <c r="D41" s="2162"/>
      <c r="E41" s="2162"/>
    </row>
    <row r="42" spans="1:5" ht="12.75" customHeight="1" x14ac:dyDescent="0.2">
      <c r="A42" s="2163" t="s">
        <v>1015</v>
      </c>
      <c r="B42" s="2163"/>
      <c r="C42" s="2163"/>
      <c r="D42" s="2163"/>
      <c r="E42" s="216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6:F18"/>
  <sheetViews>
    <sheetView showGridLines="0" zoomScale="110" zoomScaleNormal="110" workbookViewId="0">
      <selection activeCell="C8" sqref="C8"/>
    </sheetView>
  </sheetViews>
  <sheetFormatPr defaultColWidth="9.140625" defaultRowHeight="12.75" x14ac:dyDescent="0.2"/>
  <cols>
    <col min="1" max="1" width="1.85546875" style="307" customWidth="1"/>
    <col min="2" max="2" width="59.7109375" style="307" customWidth="1"/>
    <col min="3" max="16384" width="9.140625" style="307"/>
  </cols>
  <sheetData>
    <row r="6" spans="1:6" x14ac:dyDescent="0.2">
      <c r="B6" s="2047"/>
    </row>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8" t="s">
        <v>1665</v>
      </c>
      <c r="B18" s="247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38100</xdr:colOff>
                <xdr:row>0</xdr:row>
                <xdr:rowOff>95250</xdr:rowOff>
              </from>
              <to>
                <xdr:col>1</xdr:col>
                <xdr:colOff>952500</xdr:colOff>
                <xdr:row>4</xdr:row>
                <xdr:rowOff>133350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4" r:id="rId6">
          <objectPr defaultSize="0" r:id="rId7">
            <anchor moveWithCells="1">
              <from>
                <xdr:col>1</xdr:col>
                <xdr:colOff>1581150</xdr:colOff>
                <xdr:row>0</xdr:row>
                <xdr:rowOff>95250</xdr:rowOff>
              </from>
              <to>
                <xdr:col>1</xdr:col>
                <xdr:colOff>2495550</xdr:colOff>
                <xdr:row>4</xdr:row>
                <xdr:rowOff>133350</xdr:rowOff>
              </to>
            </anchor>
          </objectPr>
        </oleObject>
      </mc:Choice>
      <mc:Fallback>
        <oleObject progId="Acrobat Document" dvAspect="DVASPECT_ICON" shapeId="43014" r:id="rId6"/>
      </mc:Fallback>
    </mc:AlternateContent>
    <mc:AlternateContent xmlns:mc="http://schemas.openxmlformats.org/markup-compatibility/2006">
      <mc:Choice Requires="x14">
        <oleObject progId="Acrobat Document" dvAspect="DVASPECT_ICON" shapeId="43016" r:id="rId8">
          <objectPr defaultSize="0" r:id="rId9">
            <anchor moveWithCells="1">
              <from>
                <xdr:col>1</xdr:col>
                <xdr:colOff>1562100</xdr:colOff>
                <xdr:row>5</xdr:row>
                <xdr:rowOff>0</xdr:rowOff>
              </from>
              <to>
                <xdr:col>1</xdr:col>
                <xdr:colOff>2476500</xdr:colOff>
                <xdr:row>9</xdr:row>
                <xdr:rowOff>38100</xdr:rowOff>
              </to>
            </anchor>
          </objectPr>
        </oleObject>
      </mc:Choice>
      <mc:Fallback>
        <oleObject progId="Acrobat Document" dvAspect="DVASPECT_ICON" shapeId="43016" r:id="rId8"/>
      </mc:Fallback>
    </mc:AlternateContent>
    <mc:AlternateContent xmlns:mc="http://schemas.openxmlformats.org/markup-compatibility/2006">
      <mc:Choice Requires="x14">
        <oleObject progId="Packager Shell Object" dvAspect="DVASPECT_ICON" shapeId="43017" r:id="rId10">
          <objectPr defaultSize="0" r:id="rId11">
            <anchor moveWithCells="1">
              <from>
                <xdr:col>1</xdr:col>
                <xdr:colOff>38100</xdr:colOff>
                <xdr:row>5</xdr:row>
                <xdr:rowOff>0</xdr:rowOff>
              </from>
              <to>
                <xdr:col>1</xdr:col>
                <xdr:colOff>904875</xdr:colOff>
                <xdr:row>8</xdr:row>
                <xdr:rowOff>28575</xdr:rowOff>
              </to>
            </anchor>
          </objectPr>
        </oleObject>
      </mc:Choice>
      <mc:Fallback>
        <oleObject progId="Packager Shell Object" dvAspect="DVASPECT_ICON" shapeId="43017"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1669</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53"/>
      <c r="H2" s="853"/>
    </row>
    <row r="3" spans="1:8" ht="57" customHeight="1" x14ac:dyDescent="0.2">
      <c r="A3" s="2492" t="s">
        <v>1969</v>
      </c>
      <c r="B3" s="2493"/>
      <c r="C3" s="2493"/>
      <c r="D3" s="2493"/>
      <c r="E3" s="2493"/>
      <c r="F3" s="2494"/>
      <c r="G3" s="853"/>
      <c r="H3" s="853"/>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53"/>
      <c r="H4" s="853"/>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53"/>
      <c r="H5" s="853"/>
    </row>
    <row r="6" spans="1:8" s="854" customFormat="1" ht="41.25" customHeight="1" x14ac:dyDescent="0.2">
      <c r="A6" s="2495" t="s">
        <v>1670</v>
      </c>
      <c r="B6" s="2496"/>
      <c r="C6" s="2496"/>
      <c r="D6" s="2496"/>
      <c r="E6" s="2496"/>
      <c r="F6" s="249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24551886</v>
      </c>
      <c r="C8" s="1813">
        <f>'Acct Summary 7-8'!D8</f>
        <v>2273603</v>
      </c>
      <c r="D8" s="1813">
        <f>'Acct Summary 7-8'!F8</f>
        <v>1627994</v>
      </c>
      <c r="E8" s="1813">
        <f>'Acct Summary 7-8'!I8</f>
        <v>0</v>
      </c>
      <c r="F8" s="1813">
        <f>SUM(B8:E8)</f>
        <v>28453483</v>
      </c>
    </row>
    <row r="9" spans="1:8" s="858" customFormat="1" ht="14.25" customHeight="1" thickBot="1" x14ac:dyDescent="0.25">
      <c r="A9" s="857" t="s">
        <v>1353</v>
      </c>
      <c r="B9" s="1814">
        <f>'Acct Summary 7-8'!C17</f>
        <v>22953561</v>
      </c>
      <c r="C9" s="1814">
        <f>'Acct Summary 7-8'!D17</f>
        <v>2066889</v>
      </c>
      <c r="D9" s="1814">
        <f>'Acct Summary 7-8'!F17</f>
        <v>1505495</v>
      </c>
      <c r="E9" s="1813"/>
      <c r="F9" s="1813">
        <f>SUM(B9:E9)</f>
        <v>26525945</v>
      </c>
    </row>
    <row r="10" spans="1:8" s="858" customFormat="1" ht="14.25" thickTop="1" thickBot="1" x14ac:dyDescent="0.25">
      <c r="A10" s="859" t="s">
        <v>1354</v>
      </c>
      <c r="B10" s="1815">
        <f>(B8-B9)</f>
        <v>1598325</v>
      </c>
      <c r="C10" s="1815">
        <f>(C8-C9)</f>
        <v>206714</v>
      </c>
      <c r="D10" s="1815">
        <f>(D8-D9)</f>
        <v>122499</v>
      </c>
      <c r="E10" s="1814">
        <f>(E8-E9)</f>
        <v>0</v>
      </c>
      <c r="F10" s="1816">
        <f>SUM(F8-F9)</f>
        <v>1927538</v>
      </c>
    </row>
    <row r="11" spans="1:8" s="858" customFormat="1" ht="14.25" thickTop="1" thickBot="1" x14ac:dyDescent="0.25">
      <c r="A11" s="860" t="s">
        <v>1900</v>
      </c>
      <c r="B11" s="1817">
        <f>'Acct Summary 7-8'!C81</f>
        <v>4580670</v>
      </c>
      <c r="C11" s="1817">
        <f>'Acct Summary 7-8'!D81</f>
        <v>2725513</v>
      </c>
      <c r="D11" s="1817">
        <f>'Acct Summary 7-8'!F81</f>
        <v>1610535</v>
      </c>
      <c r="E11" s="1817">
        <f>'Acct Summary 7-8'!I81</f>
        <v>403196</v>
      </c>
      <c r="F11" s="1818">
        <f>SUM(B11:E11)</f>
        <v>9319914</v>
      </c>
    </row>
    <row r="12" spans="1:8" ht="16.5" customHeight="1" thickTop="1" x14ac:dyDescent="0.2">
      <c r="A12" s="861"/>
      <c r="B12" s="862"/>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63"/>
      <c r="B13" s="864"/>
      <c r="C13" s="2483"/>
      <c r="D13" s="2484"/>
      <c r="E13" s="2484"/>
      <c r="F13" s="2485"/>
      <c r="H13" s="853"/>
    </row>
    <row r="14" spans="1:8" ht="19.5" customHeight="1" x14ac:dyDescent="0.2">
      <c r="A14" s="863"/>
      <c r="B14" s="864"/>
      <c r="C14" s="2483"/>
      <c r="D14" s="2484"/>
      <c r="E14" s="2484"/>
      <c r="F14" s="2485"/>
      <c r="H14" s="853"/>
    </row>
    <row r="15" spans="1:8" ht="17.25" customHeight="1" x14ac:dyDescent="0.2">
      <c r="A15" s="863"/>
      <c r="B15" s="864"/>
      <c r="C15" s="2486"/>
      <c r="D15" s="2487"/>
      <c r="E15" s="2487"/>
      <c r="F15" s="2488"/>
      <c r="H15" s="853"/>
    </row>
    <row r="16" spans="1:8" s="288" customFormat="1" ht="51.75" hidden="1" customHeight="1" x14ac:dyDescent="0.2">
      <c r="A16" s="2482" t="s">
        <v>1666</v>
      </c>
      <c r="B16" s="2482"/>
      <c r="C16" s="2482"/>
      <c r="D16" s="2482"/>
      <c r="E16" s="248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57" sqref="D5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4" t="s">
        <v>660</v>
      </c>
      <c r="B3" s="2505"/>
      <c r="C3" s="2505"/>
      <c r="D3" s="250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5" t="s">
        <v>1487</v>
      </c>
      <c r="D7" s="251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7" t="s">
        <v>1001</v>
      </c>
      <c r="B15" s="2508"/>
      <c r="C15" s="2508"/>
      <c r="D15" s="2509"/>
    </row>
    <row r="16" spans="1:4" s="542" customFormat="1" ht="24" customHeight="1" x14ac:dyDescent="0.2">
      <c r="A16" s="2510" t="s">
        <v>658</v>
      </c>
      <c r="B16" s="2511"/>
      <c r="C16" s="2511"/>
      <c r="D16" s="251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9" t="s">
        <v>311</v>
      </c>
      <c r="D21" s="2520"/>
    </row>
    <row r="22" spans="1:10" ht="12.75" x14ac:dyDescent="0.2">
      <c r="A22" s="918"/>
      <c r="B22" s="919">
        <v>2</v>
      </c>
      <c r="C22" s="2517" t="s">
        <v>1507</v>
      </c>
      <c r="D22" s="251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1" t="s">
        <v>533</v>
      </c>
      <c r="D43" s="252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3" t="s">
        <v>779</v>
      </c>
      <c r="D56" s="251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3" t="s">
        <v>1674</v>
      </c>
      <c r="D70" s="251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44063026004</v>
      </c>
      <c r="E2" s="1542">
        <v>2020</v>
      </c>
      <c r="F2" s="1542">
        <v>1</v>
      </c>
      <c r="G2" s="1899">
        <v>101000300</v>
      </c>
    </row>
    <row r="3" spans="1:7" ht="15" x14ac:dyDescent="0.25">
      <c r="A3" t="s">
        <v>950</v>
      </c>
      <c r="B3" s="135" t="str">
        <f>COVER!A15</f>
        <v xml:space="preserve">McHenry       </v>
      </c>
      <c r="E3" s="1830" t="s">
        <v>1968</v>
      </c>
      <c r="F3" s="1830" t="s">
        <v>1967</v>
      </c>
      <c r="G3" s="1899">
        <v>101000400</v>
      </c>
    </row>
    <row r="4" spans="1:7" ht="15" x14ac:dyDescent="0.25">
      <c r="A4" t="s">
        <v>1000</v>
      </c>
      <c r="B4" s="135" t="str">
        <f>COVER!A17</f>
        <v>Cary CCSD 26</v>
      </c>
      <c r="E4" s="1828">
        <v>44119</v>
      </c>
      <c r="F4" s="1829">
        <v>44151</v>
      </c>
      <c r="G4" s="1899">
        <v>101000600</v>
      </c>
    </row>
    <row r="5" spans="1:7" ht="15" x14ac:dyDescent="0.25">
      <c r="A5" t="s">
        <v>699</v>
      </c>
      <c r="B5" s="135" t="str">
        <f>COVER!A38</f>
        <v>Brian Coleman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065-037815</v>
      </c>
      <c r="G15" s="1899">
        <v>402100400</v>
      </c>
    </row>
    <row r="16" spans="1:7" ht="15" x14ac:dyDescent="0.25">
      <c r="A16" t="s">
        <v>419</v>
      </c>
      <c r="B16" s="135" t="str">
        <f>COVER!T13</f>
        <v>Lauterbach &amp; Amen, LLP</v>
      </c>
      <c r="G16" s="1899">
        <v>402100600</v>
      </c>
    </row>
    <row r="17" spans="1:7" ht="15" x14ac:dyDescent="0.25">
      <c r="A17" t="s">
        <v>878</v>
      </c>
      <c r="B17" s="135" t="str">
        <f>COVER!T15</f>
        <v>Don Shaw</v>
      </c>
      <c r="G17" s="1899">
        <v>402100800</v>
      </c>
    </row>
    <row r="18" spans="1:7" ht="15" x14ac:dyDescent="0.25">
      <c r="A18" t="s">
        <v>1140</v>
      </c>
      <c r="B18" s="135" t="str">
        <f>COVER!T17</f>
        <v>668 N. River Road</v>
      </c>
      <c r="G18" s="1899">
        <v>102200300</v>
      </c>
    </row>
    <row r="19" spans="1:7" ht="15" x14ac:dyDescent="0.25">
      <c r="A19" t="s">
        <v>880</v>
      </c>
      <c r="B19" s="135" t="str">
        <f>COVER!T25</f>
        <v>dshaw@lauterbachamen.com</v>
      </c>
      <c r="G19" s="1899">
        <v>102200400</v>
      </c>
    </row>
    <row r="20" spans="1:7" ht="15" x14ac:dyDescent="0.25">
      <c r="A20" t="s">
        <v>881</v>
      </c>
      <c r="B20" s="135" t="str">
        <f>COVER!T19</f>
        <v>Naperville</v>
      </c>
      <c r="G20" s="1899">
        <v>102200600</v>
      </c>
    </row>
    <row r="21" spans="1:7" ht="15" x14ac:dyDescent="0.25">
      <c r="A21" t="s">
        <v>476</v>
      </c>
      <c r="B21" s="135" t="str">
        <f>COVER!X19</f>
        <v xml:space="preserve">IL </v>
      </c>
      <c r="G21" s="1899">
        <v>102200800</v>
      </c>
    </row>
    <row r="22" spans="1:7" ht="15" x14ac:dyDescent="0.25">
      <c r="A22" t="s">
        <v>882</v>
      </c>
      <c r="B22" s="135">
        <f>COVER!Z19</f>
        <v>60563</v>
      </c>
      <c r="G22" s="1899">
        <v>102300300</v>
      </c>
    </row>
    <row r="23" spans="1:7" ht="15" x14ac:dyDescent="0.25">
      <c r="A23" t="s">
        <v>1142</v>
      </c>
      <c r="B23" s="135">
        <f>COVER!T21</f>
        <v>6303931483</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33239</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10388490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24275174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2237486</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16671301</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19694504</v>
      </c>
      <c r="C91" s="2" t="s">
        <v>569</v>
      </c>
      <c r="D91" s="2" t="str">
        <f t="shared" si="0"/>
        <v>Error?</v>
      </c>
      <c r="G91" s="1899">
        <v>102640400</v>
      </c>
    </row>
    <row r="92" spans="1:7" ht="15" x14ac:dyDescent="0.25">
      <c r="A92" s="5">
        <v>31</v>
      </c>
      <c r="B92" s="1832">
        <f>'Assets-Liab 5-6'!C39</f>
        <v>4142100</v>
      </c>
      <c r="D92" s="2" t="str">
        <f t="shared" si="0"/>
        <v>Error?</v>
      </c>
      <c r="G92" s="1899">
        <v>102640600</v>
      </c>
    </row>
    <row r="93" spans="1:7" ht="15" x14ac:dyDescent="0.25">
      <c r="A93" s="5">
        <v>32</v>
      </c>
      <c r="B93" s="1832">
        <f>'Assets-Liab 5-6'!C41</f>
        <v>24275174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1161019</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4675102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81</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1858270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1949589</v>
      </c>
      <c r="C122" s="2" t="s">
        <v>569</v>
      </c>
      <c r="D122" s="2" t="str">
        <f t="shared" si="0"/>
        <v>Error?</v>
      </c>
      <c r="G122" s="1899">
        <v>203000300</v>
      </c>
    </row>
    <row r="123" spans="1:7" ht="15" x14ac:dyDescent="0.25">
      <c r="A123" s="5">
        <v>62</v>
      </c>
      <c r="B123" s="1832">
        <f>'Assets-Liab 5-6'!D39</f>
        <v>2261195</v>
      </c>
      <c r="D123" s="2" t="str">
        <f t="shared" si="0"/>
        <v>Error?</v>
      </c>
      <c r="G123" s="1899">
        <v>203000400</v>
      </c>
    </row>
    <row r="124" spans="1:7" ht="15" x14ac:dyDescent="0.25">
      <c r="A124" s="5">
        <v>63</v>
      </c>
      <c r="B124" s="1832">
        <f>'Assets-Liab 5-6'!D41</f>
        <v>4675102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1533227</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3405199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2434037</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2434037</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3405199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601194</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2702606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-418</v>
      </c>
      <c r="D164" s="2" t="str">
        <f t="shared" si="1"/>
        <v>Error?</v>
      </c>
    </row>
    <row r="165" spans="1:4" x14ac:dyDescent="0.2">
      <c r="A165" s="10">
        <v>104</v>
      </c>
      <c r="B165" s="1832"/>
      <c r="D165" s="2" t="str">
        <f t="shared" si="1"/>
        <v>OK</v>
      </c>
    </row>
    <row r="166" spans="1:4" x14ac:dyDescent="0.2">
      <c r="A166" s="5">
        <v>105</v>
      </c>
      <c r="B166" s="1832">
        <f>'Assets-Liab 5-6'!F32</f>
        <v>1088785</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1092071</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2702606</v>
      </c>
      <c r="C171" s="2" t="s">
        <v>569</v>
      </c>
      <c r="D171" s="2" t="str">
        <f t="shared" si="1"/>
        <v>Error?</v>
      </c>
    </row>
    <row r="172" spans="1:4" x14ac:dyDescent="0.2">
      <c r="A172" s="10">
        <v>111</v>
      </c>
      <c r="B172" s="1832"/>
      <c r="D172" s="2" t="str">
        <f t="shared" si="1"/>
        <v>OK</v>
      </c>
    </row>
    <row r="173" spans="1:4" x14ac:dyDescent="0.2">
      <c r="A173" s="5">
        <v>112</v>
      </c>
      <c r="B173" s="1832">
        <f>'Assets-Liab 5-6'!G6</f>
        <v>419180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1750924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5132</v>
      </c>
      <c r="D184" s="2" t="str">
        <f t="shared" si="1"/>
        <v>Error?</v>
      </c>
    </row>
    <row r="185" spans="1:4" x14ac:dyDescent="0.2">
      <c r="A185" s="5">
        <v>124</v>
      </c>
      <c r="B185" s="1832">
        <f>'Assets-Liab 5-6'!G32</f>
        <v>663364</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668496</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1750924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761964</v>
      </c>
      <c r="C211" s="2" t="s">
        <v>569</v>
      </c>
      <c r="D211" s="2" t="str">
        <f t="shared" si="2"/>
        <v>Error?</v>
      </c>
    </row>
    <row r="212" spans="1:4" x14ac:dyDescent="0.2">
      <c r="A212" s="5">
        <v>151</v>
      </c>
      <c r="B212" s="1832">
        <f>'Assets-Liab 5-6'!H39</f>
        <v>-761964</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3546438</v>
      </c>
      <c r="D273" s="2" t="str">
        <f t="shared" si="3"/>
        <v>Error?</v>
      </c>
    </row>
    <row r="274" spans="1:4" x14ac:dyDescent="0.2">
      <c r="A274" s="5">
        <v>213</v>
      </c>
      <c r="B274" s="1832">
        <f>'Assets-Liab 5-6'!M17</f>
        <v>27328357</v>
      </c>
      <c r="D274" s="2" t="str">
        <f t="shared" si="3"/>
        <v>Error?</v>
      </c>
    </row>
    <row r="275" spans="1:4" x14ac:dyDescent="0.2">
      <c r="A275" s="5">
        <v>214</v>
      </c>
      <c r="B275" s="1832">
        <f>'Assets-Liab 5-6'!M18</f>
        <v>1866044</v>
      </c>
      <c r="D275" s="2" t="str">
        <f t="shared" si="3"/>
        <v>Error?</v>
      </c>
    </row>
    <row r="276" spans="1:4" x14ac:dyDescent="0.2">
      <c r="A276" s="5">
        <v>215</v>
      </c>
      <c r="B276" s="1832">
        <f>'Assets-Liab 5-6'!M19</f>
        <v>649644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39144655</v>
      </c>
      <c r="C279" s="2" t="s">
        <v>569</v>
      </c>
      <c r="D279" s="2" t="str">
        <f t="shared" si="3"/>
        <v>Error?</v>
      </c>
    </row>
    <row r="280" spans="1:4" x14ac:dyDescent="0.2">
      <c r="A280" s="5">
        <v>219</v>
      </c>
      <c r="B280" s="1832">
        <f>'Assets-Liab 5-6'!M40</f>
        <v>39144655</v>
      </c>
      <c r="D280" s="2" t="str">
        <f t="shared" si="3"/>
        <v>Error?</v>
      </c>
    </row>
    <row r="281" spans="1:4" x14ac:dyDescent="0.2">
      <c r="A281" s="5">
        <v>220</v>
      </c>
      <c r="B281" s="1832">
        <f>'Assets-Liab 5-6'!M41</f>
        <v>39144655</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14325000</v>
      </c>
      <c r="D283" s="2" t="str">
        <f t="shared" si="3"/>
        <v>Error?</v>
      </c>
    </row>
    <row r="284" spans="1:4" x14ac:dyDescent="0.2">
      <c r="A284" s="5">
        <v>223</v>
      </c>
      <c r="B284" s="1832">
        <f>'Assets-Liab 5-6'!N23</f>
        <v>14325000</v>
      </c>
      <c r="C284" s="2" t="s">
        <v>569</v>
      </c>
      <c r="D284" s="2" t="str">
        <f t="shared" si="3"/>
        <v>Error?</v>
      </c>
    </row>
    <row r="285" spans="1:4" x14ac:dyDescent="0.2">
      <c r="A285" s="5">
        <v>224</v>
      </c>
      <c r="B285" s="1832">
        <f>'Assets-Liab 5-6'!N36</f>
        <v>14325000</v>
      </c>
      <c r="D285" s="2" t="str">
        <f t="shared" si="3"/>
        <v>Error?</v>
      </c>
    </row>
    <row r="286" spans="1:4" x14ac:dyDescent="0.2">
      <c r="A286" s="10">
        <v>225</v>
      </c>
      <c r="B286" s="1832"/>
      <c r="D286" s="2" t="str">
        <f t="shared" si="3"/>
        <v>OK</v>
      </c>
    </row>
    <row r="287" spans="1:4" x14ac:dyDescent="0.2">
      <c r="A287" s="5">
        <v>226</v>
      </c>
      <c r="B287" s="1832">
        <f>'Assets-Liab 5-6'!N37</f>
        <v>14325000</v>
      </c>
      <c r="C287" s="2" t="s">
        <v>569</v>
      </c>
      <c r="D287" s="2" t="str">
        <f t="shared" si="3"/>
        <v>Error?</v>
      </c>
    </row>
    <row r="288" spans="1:4" x14ac:dyDescent="0.2">
      <c r="A288" s="5">
        <v>227</v>
      </c>
      <c r="B288" s="1832">
        <f>'Assets-Liab 5-6'!N41</f>
        <v>14325000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6867617</v>
      </c>
      <c r="D705" s="2" t="str">
        <f t="shared" si="10"/>
        <v>Error?</v>
      </c>
    </row>
    <row r="706" spans="1:4" x14ac:dyDescent="0.2">
      <c r="A706" s="5">
        <v>645</v>
      </c>
      <c r="B706" s="1832">
        <f>'Expenditures 15-22'!C16</f>
        <v>183369</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715876</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68535</v>
      </c>
      <c r="D718" s="2" t="str">
        <f t="shared" si="10"/>
        <v>Error?</v>
      </c>
    </row>
    <row r="719" spans="1:4" x14ac:dyDescent="0.2">
      <c r="A719" s="5">
        <v>658</v>
      </c>
      <c r="B719" s="1832">
        <f>'Expenditures 15-22'!C15</f>
        <v>93639</v>
      </c>
      <c r="D719" s="2" t="str">
        <f t="shared" si="10"/>
        <v>Error?</v>
      </c>
    </row>
    <row r="720" spans="1:4" x14ac:dyDescent="0.2">
      <c r="A720" s="5">
        <v>659</v>
      </c>
      <c r="B720" s="1832">
        <f>'Expenditures 15-22'!C33</f>
        <v>10945155</v>
      </c>
      <c r="C720" s="2" t="s">
        <v>569</v>
      </c>
      <c r="D720" s="2" t="str">
        <f t="shared" si="10"/>
        <v>Error?</v>
      </c>
    </row>
    <row r="721" spans="1:4" x14ac:dyDescent="0.2">
      <c r="A721" s="5">
        <v>660</v>
      </c>
      <c r="B721" s="1832">
        <f>'Expenditures 15-22'!C36</f>
        <v>515679</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524657</v>
      </c>
      <c r="D723" s="2" t="str">
        <f t="shared" si="10"/>
        <v>Error?</v>
      </c>
    </row>
    <row r="724" spans="1:4" x14ac:dyDescent="0.2">
      <c r="A724" s="5">
        <v>663</v>
      </c>
      <c r="B724" s="1832">
        <f>'Expenditures 15-22'!C39</f>
        <v>381447</v>
      </c>
      <c r="D724" s="2" t="str">
        <f t="shared" si="10"/>
        <v>Error?</v>
      </c>
    </row>
    <row r="725" spans="1:4" x14ac:dyDescent="0.2">
      <c r="A725" s="5">
        <v>664</v>
      </c>
      <c r="B725" s="1832">
        <f>'Expenditures 15-22'!C40</f>
        <v>621803</v>
      </c>
      <c r="D725" s="2" t="str">
        <f t="shared" si="10"/>
        <v>Error?</v>
      </c>
    </row>
    <row r="726" spans="1:4" x14ac:dyDescent="0.2">
      <c r="A726" s="5">
        <v>665</v>
      </c>
      <c r="B726" s="1832">
        <f>'Expenditures 15-22'!C41</f>
        <v>122997</v>
      </c>
      <c r="D726" s="2" t="str">
        <f t="shared" si="10"/>
        <v>Error?</v>
      </c>
    </row>
    <row r="727" spans="1:4" x14ac:dyDescent="0.2">
      <c r="A727" s="5">
        <v>666</v>
      </c>
      <c r="B727" s="1832">
        <f>'Expenditures 15-22'!C42</f>
        <v>2166583</v>
      </c>
      <c r="C727" s="2" t="s">
        <v>569</v>
      </c>
      <c r="D727" s="2" t="str">
        <f t="shared" si="10"/>
        <v>Error?</v>
      </c>
    </row>
    <row r="728" spans="1:4" x14ac:dyDescent="0.2">
      <c r="A728" s="5">
        <v>667</v>
      </c>
      <c r="B728" s="1832">
        <f>'Expenditures 15-22'!C44</f>
        <v>320631</v>
      </c>
      <c r="D728" s="2" t="str">
        <f t="shared" si="10"/>
        <v>Error?</v>
      </c>
    </row>
    <row r="729" spans="1:4" x14ac:dyDescent="0.2">
      <c r="A729" s="5">
        <v>668</v>
      </c>
      <c r="B729" s="1832">
        <f>'Expenditures 15-22'!C45</f>
        <v>512529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833160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224981</v>
      </c>
      <c r="D733" s="2" t="str">
        <f t="shared" si="10"/>
        <v>Error?</v>
      </c>
    </row>
    <row r="734" spans="1:4" x14ac:dyDescent="0.2">
      <c r="A734" s="5">
        <v>673</v>
      </c>
      <c r="B734" s="1832">
        <f>'Expenditures 15-22'!C53</f>
        <v>390968</v>
      </c>
      <c r="C734" s="2" t="s">
        <v>569</v>
      </c>
      <c r="D734" s="2" t="str">
        <f t="shared" si="10"/>
        <v>Error?</v>
      </c>
    </row>
    <row r="735" spans="1:4" x14ac:dyDescent="0.2">
      <c r="A735" s="5">
        <v>674</v>
      </c>
      <c r="B735" s="1832">
        <f>'Expenditures 15-22'!C55</f>
        <v>874464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874464</v>
      </c>
      <c r="C737" s="2" t="s">
        <v>569</v>
      </c>
      <c r="D737" s="2" t="str">
        <f t="shared" si="10"/>
        <v>Error?</v>
      </c>
    </row>
    <row r="738" spans="1:4" x14ac:dyDescent="0.2">
      <c r="A738" s="5">
        <v>677</v>
      </c>
      <c r="B738" s="1832">
        <f>'Expenditures 15-22'!C59</f>
        <v>104504</v>
      </c>
      <c r="D738" s="2" t="str">
        <f t="shared" si="10"/>
        <v>Error?</v>
      </c>
    </row>
    <row r="739" spans="1:4" x14ac:dyDescent="0.2">
      <c r="A739" s="5">
        <v>678</v>
      </c>
      <c r="B739" s="1832">
        <f>'Expenditures 15-22'!C60</f>
        <v>164589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269093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66758</v>
      </c>
      <c r="D749" s="2" t="str">
        <f t="shared" si="10"/>
        <v>Error?</v>
      </c>
    </row>
    <row r="750" spans="1:4" x14ac:dyDescent="0.2">
      <c r="A750" s="10">
        <v>689</v>
      </c>
      <c r="B750" s="1832"/>
      <c r="D750" s="2" t="str">
        <f t="shared" si="10"/>
        <v>OK</v>
      </c>
    </row>
    <row r="751" spans="1:4" x14ac:dyDescent="0.2">
      <c r="A751" s="5">
        <v>690</v>
      </c>
      <c r="B751" s="1832">
        <f>'Expenditures 15-22'!C71</f>
        <v>282851</v>
      </c>
      <c r="D751" s="2" t="str">
        <f t="shared" si="10"/>
        <v>Error?</v>
      </c>
    </row>
    <row r="752" spans="1:4" x14ac:dyDescent="0.2">
      <c r="A752" s="10">
        <v>691</v>
      </c>
      <c r="B752" s="1832"/>
      <c r="D752" s="2" t="str">
        <f t="shared" si="10"/>
        <v>OK</v>
      </c>
    </row>
    <row r="753" spans="1:4" x14ac:dyDescent="0.2">
      <c r="A753" s="5">
        <v>692</v>
      </c>
      <c r="B753" s="1832">
        <f>'Expenditures 15-22'!C72</f>
        <v>349609</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4883877</v>
      </c>
      <c r="C755" s="2" t="s">
        <v>569</v>
      </c>
      <c r="D755" s="2" t="str">
        <f t="shared" si="10"/>
        <v>Error?</v>
      </c>
    </row>
    <row r="756" spans="1:4" x14ac:dyDescent="0.2">
      <c r="A756" s="5">
        <v>695</v>
      </c>
      <c r="B756" s="1832">
        <f>'Expenditures 15-22'!C75</f>
        <v>48399</v>
      </c>
      <c r="D756" s="2" t="str">
        <f t="shared" si="10"/>
        <v>Error?</v>
      </c>
    </row>
    <row r="757" spans="1:4" x14ac:dyDescent="0.2">
      <c r="A757" s="5">
        <v>696</v>
      </c>
      <c r="B757" s="1832">
        <f>'Expenditures 15-22'!C114</f>
        <v>15877431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1152917</v>
      </c>
      <c r="D763" s="2" t="str">
        <f t="shared" si="10"/>
        <v>Error?</v>
      </c>
    </row>
    <row r="764" spans="1:4" x14ac:dyDescent="0.2">
      <c r="A764" s="5">
        <v>703</v>
      </c>
      <c r="B764" s="1832">
        <f>'Expenditures 15-22'!D16</f>
        <v>35354</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117460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3440</v>
      </c>
      <c r="D776" s="2" t="str">
        <f t="shared" si="11"/>
        <v>Error?</v>
      </c>
    </row>
    <row r="777" spans="1:4" x14ac:dyDescent="0.2">
      <c r="A777" s="5">
        <v>716</v>
      </c>
      <c r="B777" s="1832">
        <f>'Expenditures 15-22'!D15</f>
        <v>14412</v>
      </c>
      <c r="D777" s="2" t="str">
        <f t="shared" si="11"/>
        <v>Error?</v>
      </c>
    </row>
    <row r="778" spans="1:4" x14ac:dyDescent="0.2">
      <c r="A778" s="5">
        <v>717</v>
      </c>
      <c r="B778" s="1832">
        <f>'Expenditures 15-22'!D33</f>
        <v>1997362</v>
      </c>
      <c r="C778" s="2" t="s">
        <v>569</v>
      </c>
      <c r="D778" s="2" t="str">
        <f t="shared" si="11"/>
        <v>Error?</v>
      </c>
    </row>
    <row r="779" spans="1:4" x14ac:dyDescent="0.2">
      <c r="A779" s="5">
        <v>718</v>
      </c>
      <c r="B779" s="1832">
        <f>'Expenditures 15-22'!D36</f>
        <v>87178</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76246</v>
      </c>
      <c r="D781" s="2" t="str">
        <f t="shared" si="11"/>
        <v>Error?</v>
      </c>
    </row>
    <row r="782" spans="1:4" x14ac:dyDescent="0.2">
      <c r="A782" s="5">
        <v>721</v>
      </c>
      <c r="B782" s="1832">
        <f>'Expenditures 15-22'!D39</f>
        <v>68065</v>
      </c>
      <c r="D782" s="2" t="str">
        <f t="shared" si="11"/>
        <v>Error?</v>
      </c>
    </row>
    <row r="783" spans="1:4" x14ac:dyDescent="0.2">
      <c r="A783" s="5">
        <v>722</v>
      </c>
      <c r="B783" s="1832">
        <f>'Expenditures 15-22'!D40</f>
        <v>83307</v>
      </c>
      <c r="D783" s="2" t="str">
        <f t="shared" si="11"/>
        <v>Error?</v>
      </c>
    </row>
    <row r="784" spans="1:4" x14ac:dyDescent="0.2">
      <c r="A784" s="5">
        <v>723</v>
      </c>
      <c r="B784" s="1832">
        <f>'Expenditures 15-22'!D41</f>
        <v>1151</v>
      </c>
      <c r="D784" s="2" t="str">
        <f t="shared" si="11"/>
        <v>Error?</v>
      </c>
    </row>
    <row r="785" spans="1:4" x14ac:dyDescent="0.2">
      <c r="A785" s="5">
        <v>724</v>
      </c>
      <c r="B785" s="1832">
        <f>'Expenditures 15-22'!D42</f>
        <v>315947</v>
      </c>
      <c r="C785" s="2" t="s">
        <v>569</v>
      </c>
      <c r="D785" s="2" t="str">
        <f t="shared" si="11"/>
        <v>Error?</v>
      </c>
    </row>
    <row r="786" spans="1:4" x14ac:dyDescent="0.2">
      <c r="A786" s="5">
        <v>725</v>
      </c>
      <c r="B786" s="1832">
        <f>'Expenditures 15-22'!D44</f>
        <v>74602</v>
      </c>
      <c r="D786" s="2" t="str">
        <f t="shared" si="11"/>
        <v>Error?</v>
      </c>
    </row>
    <row r="787" spans="1:4" x14ac:dyDescent="0.2">
      <c r="A787" s="5">
        <v>726</v>
      </c>
      <c r="B787" s="1832">
        <f>'Expenditures 15-22'!D45</f>
        <v>91645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166247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54132</v>
      </c>
      <c r="D791" s="2" t="str">
        <f t="shared" si="11"/>
        <v>Error?</v>
      </c>
    </row>
    <row r="792" spans="1:4" x14ac:dyDescent="0.2">
      <c r="A792" s="5">
        <v>731</v>
      </c>
      <c r="B792" s="1832">
        <f>'Expenditures 15-22'!D53</f>
        <v>100335</v>
      </c>
      <c r="C792" s="2" t="s">
        <v>569</v>
      </c>
      <c r="D792" s="2" t="str">
        <f t="shared" si="11"/>
        <v>Error?</v>
      </c>
    </row>
    <row r="793" spans="1:4" x14ac:dyDescent="0.2">
      <c r="A793" s="5">
        <v>732</v>
      </c>
      <c r="B793" s="1832">
        <f>'Expenditures 15-22'!D55</f>
        <v>294909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294909</v>
      </c>
      <c r="C795" s="2" t="s">
        <v>569</v>
      </c>
      <c r="D795" s="2" t="str">
        <f t="shared" si="11"/>
        <v>Error?</v>
      </c>
    </row>
    <row r="796" spans="1:4" x14ac:dyDescent="0.2">
      <c r="A796" s="5">
        <v>735</v>
      </c>
      <c r="B796" s="1832">
        <f>'Expenditures 15-22'!D59</f>
        <v>26019</v>
      </c>
      <c r="D796" s="2" t="str">
        <f t="shared" si="11"/>
        <v>Error?</v>
      </c>
    </row>
    <row r="797" spans="1:4" x14ac:dyDescent="0.2">
      <c r="A797" s="5">
        <v>736</v>
      </c>
      <c r="B797" s="1832">
        <f>'Expenditures 15-22'!D60</f>
        <v>41053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67072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20670</v>
      </c>
      <c r="D807" s="2" t="str">
        <f t="shared" si="11"/>
        <v>Error?</v>
      </c>
    </row>
    <row r="808" spans="1:4" x14ac:dyDescent="0.2">
      <c r="A808" s="10">
        <v>747</v>
      </c>
      <c r="B808" s="1832"/>
      <c r="D808" s="2" t="str">
        <f t="shared" si="11"/>
        <v>OK</v>
      </c>
    </row>
    <row r="809" spans="1:4" x14ac:dyDescent="0.2">
      <c r="A809" s="5">
        <v>748</v>
      </c>
      <c r="B809" s="1832">
        <f>'Expenditures 15-22'!D71</f>
        <v>57340</v>
      </c>
      <c r="D809" s="2" t="str">
        <f t="shared" si="11"/>
        <v>Error?</v>
      </c>
    </row>
    <row r="810" spans="1:4" x14ac:dyDescent="0.2">
      <c r="A810" s="10">
        <v>749</v>
      </c>
      <c r="B810" s="1832"/>
      <c r="D810" s="2" t="str">
        <f t="shared" si="11"/>
        <v>OK</v>
      </c>
    </row>
    <row r="811" spans="1:4" x14ac:dyDescent="0.2">
      <c r="A811" s="5">
        <v>750</v>
      </c>
      <c r="B811" s="1832">
        <f>'Expenditures 15-22'!D72</f>
        <v>78010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1022520</v>
      </c>
      <c r="C813" s="2" t="s">
        <v>569</v>
      </c>
      <c r="D813" s="2" t="str">
        <f t="shared" si="11"/>
        <v>Error?</v>
      </c>
    </row>
    <row r="814" spans="1:4" x14ac:dyDescent="0.2">
      <c r="A814" s="5">
        <v>753</v>
      </c>
      <c r="B814" s="1832">
        <f>'Expenditures 15-22'!D75</f>
        <v>6596</v>
      </c>
      <c r="D814" s="2" t="str">
        <f t="shared" si="11"/>
        <v>Error?</v>
      </c>
    </row>
    <row r="815" spans="1:4" x14ac:dyDescent="0.2">
      <c r="A815" s="5">
        <v>754</v>
      </c>
      <c r="B815" s="1832">
        <f>'Expenditures 15-22'!D114</f>
        <v>3026478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168646</v>
      </c>
      <c r="D821" s="2" t="str">
        <f t="shared" si="11"/>
        <v>Error?</v>
      </c>
    </row>
    <row r="822" spans="1:4" x14ac:dyDescent="0.2">
      <c r="A822" s="5">
        <v>761</v>
      </c>
      <c r="B822" s="1832">
        <f>'Expenditures 15-22'!E16</f>
        <v>1182</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4963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178757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869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5000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5869</v>
      </c>
      <c r="C843" s="2" t="s">
        <v>569</v>
      </c>
      <c r="D843" s="2" t="str">
        <f t="shared" si="12"/>
        <v>Error?</v>
      </c>
    </row>
    <row r="844" spans="1:4" x14ac:dyDescent="0.2">
      <c r="A844" s="5">
        <v>783</v>
      </c>
      <c r="B844" s="1832">
        <f>'Expenditures 15-22'!E44</f>
        <v>212989</v>
      </c>
      <c r="D844" s="2" t="str">
        <f t="shared" si="12"/>
        <v>Error?</v>
      </c>
    </row>
    <row r="845" spans="1:4" x14ac:dyDescent="0.2">
      <c r="A845" s="5">
        <v>784</v>
      </c>
      <c r="B845" s="1832">
        <f>'Expenditures 15-22'!E45</f>
        <v>31345</v>
      </c>
      <c r="D845" s="2" t="str">
        <f t="shared" si="12"/>
        <v>Error?</v>
      </c>
    </row>
    <row r="846" spans="1:4" x14ac:dyDescent="0.2">
      <c r="A846" s="5">
        <v>785</v>
      </c>
      <c r="B846" s="1832">
        <f>'Expenditures 15-22'!E46</f>
        <v>58834</v>
      </c>
      <c r="D846" s="2" t="str">
        <f t="shared" si="12"/>
        <v>Error?</v>
      </c>
    </row>
    <row r="847" spans="1:4" x14ac:dyDescent="0.2">
      <c r="A847" s="5">
        <v>786</v>
      </c>
      <c r="B847" s="1832">
        <f>'Expenditures 15-22'!E47</f>
        <v>303168</v>
      </c>
      <c r="C847" s="2" t="s">
        <v>569</v>
      </c>
      <c r="D847" s="2" t="str">
        <f t="shared" si="12"/>
        <v>Error?</v>
      </c>
    </row>
    <row r="848" spans="1:4" x14ac:dyDescent="0.2">
      <c r="A848" s="5">
        <v>787</v>
      </c>
      <c r="B848" s="1832">
        <f>'Expenditures 15-22'!E49</f>
        <v>13839</v>
      </c>
      <c r="D848" s="2" t="str">
        <f t="shared" si="12"/>
        <v>Error?</v>
      </c>
    </row>
    <row r="849" spans="1:4" x14ac:dyDescent="0.2">
      <c r="A849" s="5">
        <v>788</v>
      </c>
      <c r="B849" s="1832">
        <f>'Expenditures 15-22'!E50</f>
        <v>9830</v>
      </c>
      <c r="D849" s="2" t="str">
        <f t="shared" si="12"/>
        <v>Error?</v>
      </c>
    </row>
    <row r="850" spans="1:4" x14ac:dyDescent="0.2">
      <c r="A850" s="5">
        <v>789</v>
      </c>
      <c r="B850" s="1832">
        <f>'Expenditures 15-22'!E53</f>
        <v>255170</v>
      </c>
      <c r="C850" s="2" t="s">
        <v>569</v>
      </c>
      <c r="D850" s="2" t="str">
        <f t="shared" si="12"/>
        <v>Error?</v>
      </c>
    </row>
    <row r="851" spans="1:4" x14ac:dyDescent="0.2">
      <c r="A851" s="5">
        <v>790</v>
      </c>
      <c r="B851" s="1832">
        <f>'Expenditures 15-22'!E55</f>
        <v>2243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2243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98086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510482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608568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5020</v>
      </c>
      <c r="D864" s="2" t="str">
        <f t="shared" si="12"/>
        <v>Error?</v>
      </c>
    </row>
    <row r="865" spans="1:4" x14ac:dyDescent="0.2">
      <c r="A865" s="5">
        <v>804</v>
      </c>
      <c r="B865" s="1832">
        <f>'Expenditures 15-22'!E70</f>
        <v>15260</v>
      </c>
      <c r="D865" s="2" t="str">
        <f t="shared" si="12"/>
        <v>Error?</v>
      </c>
    </row>
    <row r="866" spans="1:4" x14ac:dyDescent="0.2">
      <c r="A866" s="10">
        <v>805</v>
      </c>
      <c r="B866" s="1832"/>
      <c r="D866" s="2" t="str">
        <f t="shared" si="12"/>
        <v>OK</v>
      </c>
    </row>
    <row r="867" spans="1:4" x14ac:dyDescent="0.2">
      <c r="A867" s="5">
        <v>806</v>
      </c>
      <c r="B867" s="1832">
        <f>'Expenditures 15-22'!E71</f>
        <v>125531</v>
      </c>
      <c r="D867" s="2" t="str">
        <f t="shared" si="12"/>
        <v>Error?</v>
      </c>
    </row>
    <row r="868" spans="1:4" x14ac:dyDescent="0.2">
      <c r="A868" s="10">
        <v>807</v>
      </c>
      <c r="B868" s="1832"/>
      <c r="D868" s="2" t="str">
        <f t="shared" si="12"/>
        <v>OK</v>
      </c>
    </row>
    <row r="869" spans="1:4" x14ac:dyDescent="0.2">
      <c r="A869" s="5">
        <v>808</v>
      </c>
      <c r="B869" s="1832">
        <f>'Expenditures 15-22'!E72</f>
        <v>145811</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1320829</v>
      </c>
      <c r="C871" s="2" t="s">
        <v>569</v>
      </c>
      <c r="D871" s="2" t="str">
        <f t="shared" si="12"/>
        <v>Error?</v>
      </c>
    </row>
    <row r="872" spans="1:4" x14ac:dyDescent="0.2">
      <c r="A872" s="5">
        <v>811</v>
      </c>
      <c r="B872" s="1832">
        <f>'Expenditures 15-22'!E75</f>
        <v>7677</v>
      </c>
      <c r="D872" s="2" t="str">
        <f t="shared" si="12"/>
        <v>Error?</v>
      </c>
    </row>
    <row r="873" spans="1:4" x14ac:dyDescent="0.2">
      <c r="A873" s="5">
        <v>812</v>
      </c>
      <c r="B873" s="1832">
        <f>'Expenditures 15-22'!E114</f>
        <v>1847364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551832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12955</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14306</v>
      </c>
      <c r="D892" s="2" t="str">
        <f t="shared" si="12"/>
        <v>Error?</v>
      </c>
    </row>
    <row r="893" spans="1:4" x14ac:dyDescent="0.2">
      <c r="A893" s="5">
        <v>832</v>
      </c>
      <c r="B893" s="1832">
        <f>'Expenditures 15-22'!F15</f>
        <v>390</v>
      </c>
      <c r="D893" s="2" t="str">
        <f t="shared" si="12"/>
        <v>Error?</v>
      </c>
    </row>
    <row r="894" spans="1:4" x14ac:dyDescent="0.2">
      <c r="A894" s="5">
        <v>833</v>
      </c>
      <c r="B894" s="1832">
        <f>'Expenditures 15-22'!F33</f>
        <v>615473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2901</v>
      </c>
      <c r="D897" s="2" t="str">
        <f t="shared" si="13"/>
        <v>Error?</v>
      </c>
    </row>
    <row r="898" spans="1:4" x14ac:dyDescent="0.2">
      <c r="A898" s="5">
        <v>837</v>
      </c>
      <c r="B898" s="1832">
        <f>'Expenditures 15-22'!F39</f>
        <v>4292</v>
      </c>
      <c r="D898" s="2" t="str">
        <f t="shared" si="13"/>
        <v>Error?</v>
      </c>
    </row>
    <row r="899" spans="1:4" x14ac:dyDescent="0.2">
      <c r="A899" s="5">
        <v>838</v>
      </c>
      <c r="B899" s="1832">
        <f>'Expenditures 15-22'!F40</f>
        <v>1484</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8677</v>
      </c>
      <c r="C901" s="2" t="s">
        <v>569</v>
      </c>
      <c r="D901" s="2" t="str">
        <f t="shared" si="13"/>
        <v>Error?</v>
      </c>
    </row>
    <row r="902" spans="1:4" x14ac:dyDescent="0.2">
      <c r="A902" s="5">
        <v>841</v>
      </c>
      <c r="B902" s="1832">
        <f>'Expenditures 15-22'!F44</f>
        <v>5101</v>
      </c>
      <c r="D902" s="2" t="str">
        <f t="shared" si="13"/>
        <v>Error?</v>
      </c>
    </row>
    <row r="903" spans="1:4" x14ac:dyDescent="0.2">
      <c r="A903" s="5">
        <v>842</v>
      </c>
      <c r="B903" s="1832">
        <f>'Expenditures 15-22'!F45</f>
        <v>89254</v>
      </c>
      <c r="D903" s="2" t="str">
        <f t="shared" si="13"/>
        <v>Error?</v>
      </c>
    </row>
    <row r="904" spans="1:4" x14ac:dyDescent="0.2">
      <c r="A904" s="5">
        <v>843</v>
      </c>
      <c r="B904" s="1832">
        <f>'Expenditures 15-22'!F46</f>
        <v>143</v>
      </c>
      <c r="D904" s="2" t="str">
        <f t="shared" si="13"/>
        <v>Error?</v>
      </c>
    </row>
    <row r="905" spans="1:4" x14ac:dyDescent="0.2">
      <c r="A905" s="5">
        <v>844</v>
      </c>
      <c r="B905" s="1832">
        <f>'Expenditures 15-22'!F47</f>
        <v>94498</v>
      </c>
      <c r="C905" s="2" t="s">
        <v>569</v>
      </c>
      <c r="D905" s="2" t="str">
        <f t="shared" si="13"/>
        <v>Error?</v>
      </c>
    </row>
    <row r="906" spans="1:4" x14ac:dyDescent="0.2">
      <c r="A906" s="5">
        <v>845</v>
      </c>
      <c r="B906" s="1832">
        <f>'Expenditures 15-22'!F49</f>
        <v>1753</v>
      </c>
      <c r="D906" s="2" t="str">
        <f t="shared" si="13"/>
        <v>Error?</v>
      </c>
    </row>
    <row r="907" spans="1:4" x14ac:dyDescent="0.2">
      <c r="A907" s="5">
        <v>846</v>
      </c>
      <c r="B907" s="1832">
        <f>'Expenditures 15-22'!F50</f>
        <v>4901</v>
      </c>
      <c r="D907" s="2" t="str">
        <f t="shared" si="13"/>
        <v>Error?</v>
      </c>
    </row>
    <row r="908" spans="1:4" x14ac:dyDescent="0.2">
      <c r="A908" s="5">
        <v>847</v>
      </c>
      <c r="B908" s="1832">
        <f>'Expenditures 15-22'!F53</f>
        <v>9858</v>
      </c>
      <c r="C908" s="2" t="s">
        <v>569</v>
      </c>
      <c r="D908" s="2" t="str">
        <f t="shared" si="13"/>
        <v>Error?</v>
      </c>
    </row>
    <row r="909" spans="1:4" x14ac:dyDescent="0.2">
      <c r="A909" s="5">
        <v>848</v>
      </c>
      <c r="B909" s="1832">
        <f>'Expenditures 15-22'!F55</f>
        <v>20623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20623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4993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7551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12544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4359</v>
      </c>
      <c r="D923" s="2" t="str">
        <f t="shared" si="13"/>
        <v>Error?</v>
      </c>
    </row>
    <row r="924" spans="1:4" x14ac:dyDescent="0.2">
      <c r="A924" s="10">
        <v>863</v>
      </c>
      <c r="B924" s="1832"/>
      <c r="D924" s="2" t="str">
        <f t="shared" si="13"/>
        <v>OK</v>
      </c>
    </row>
    <row r="925" spans="1:4" x14ac:dyDescent="0.2">
      <c r="A925" s="5">
        <v>864</v>
      </c>
      <c r="B925" s="1832">
        <f>'Expenditures 15-22'!F71</f>
        <v>164777</v>
      </c>
      <c r="D925" s="2" t="str">
        <f t="shared" si="13"/>
        <v>Error?</v>
      </c>
    </row>
    <row r="926" spans="1:4" x14ac:dyDescent="0.2">
      <c r="A926" s="10">
        <v>865</v>
      </c>
      <c r="B926" s="1832"/>
      <c r="D926" s="2" t="str">
        <f t="shared" si="13"/>
        <v>OK</v>
      </c>
    </row>
    <row r="927" spans="1:4" x14ac:dyDescent="0.2">
      <c r="A927" s="5">
        <v>866</v>
      </c>
      <c r="B927" s="1832">
        <f>'Expenditures 15-22'!F72</f>
        <v>169136</v>
      </c>
      <c r="C927" s="2" t="s">
        <v>569</v>
      </c>
      <c r="D927" s="2" t="str">
        <f t="shared" si="13"/>
        <v>Error?</v>
      </c>
    </row>
    <row r="928" spans="1:4" x14ac:dyDescent="0.2">
      <c r="A928" s="5">
        <v>867</v>
      </c>
      <c r="B928" s="1832">
        <f>'Expenditures 15-22'!F73</f>
        <v>46130</v>
      </c>
      <c r="D928" s="2" t="str">
        <f t="shared" si="13"/>
        <v>Error?</v>
      </c>
    </row>
    <row r="929" spans="1:4" x14ac:dyDescent="0.2">
      <c r="A929" s="5">
        <v>868</v>
      </c>
      <c r="B929" s="1832">
        <f>'Expenditures 15-22'!F74</f>
        <v>361466</v>
      </c>
      <c r="C929" s="2" t="s">
        <v>569</v>
      </c>
      <c r="D929" s="2" t="str">
        <f t="shared" si="13"/>
        <v>Error?</v>
      </c>
    </row>
    <row r="930" spans="1:4" x14ac:dyDescent="0.2">
      <c r="A930" s="5">
        <v>869</v>
      </c>
      <c r="B930" s="1832">
        <f>'Expenditures 15-22'!F75</f>
        <v>2429</v>
      </c>
      <c r="D930" s="2" t="str">
        <f t="shared" si="13"/>
        <v>Error?</v>
      </c>
    </row>
    <row r="931" spans="1:4" x14ac:dyDescent="0.2">
      <c r="A931" s="5">
        <v>870</v>
      </c>
      <c r="B931" s="1832">
        <f>'Expenditures 15-22'!F114</f>
        <v>979368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1589</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695711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1727</v>
      </c>
      <c r="D1022" s="2" t="str">
        <f t="shared" si="14"/>
        <v>Error?</v>
      </c>
    </row>
    <row r="1023" spans="1:4" x14ac:dyDescent="0.2">
      <c r="A1023" s="5">
        <v>962</v>
      </c>
      <c r="B1023" s="1832">
        <f>'Expenditures 15-22'!H50</f>
        <v>1570</v>
      </c>
      <c r="D1023" s="2" t="str">
        <f t="shared" ref="D1023:D1086" si="15">IF(ISBLANK(B1023),"OK",IF(A1023-B1023=0,"OK","Error?"))</f>
        <v>Error?</v>
      </c>
    </row>
    <row r="1024" spans="1:4" x14ac:dyDescent="0.2">
      <c r="A1024" s="5">
        <v>963</v>
      </c>
      <c r="B1024" s="1832">
        <f>'Expenditures 15-22'!H53</f>
        <v>3297</v>
      </c>
      <c r="C1024" s="2" t="s">
        <v>569</v>
      </c>
      <c r="D1024" s="2" t="str">
        <f t="shared" si="15"/>
        <v>Error?</v>
      </c>
    </row>
    <row r="1025" spans="1:4" x14ac:dyDescent="0.2">
      <c r="A1025" s="5">
        <v>964</v>
      </c>
      <c r="B1025" s="1832">
        <f>'Expenditures 15-22'!H55</f>
        <v>512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512</v>
      </c>
      <c r="C1027" s="2" t="s">
        <v>569</v>
      </c>
      <c r="D1027" s="2" t="str">
        <f t="shared" si="15"/>
        <v>Error?</v>
      </c>
    </row>
    <row r="1028" spans="1:4" x14ac:dyDescent="0.2">
      <c r="A1028" s="5">
        <v>967</v>
      </c>
      <c r="B1028" s="1832">
        <f>'Expenditures 15-22'!H59</f>
        <v>615</v>
      </c>
      <c r="D1028" s="2" t="str">
        <f t="shared" si="15"/>
        <v>Error?</v>
      </c>
    </row>
    <row r="1029" spans="1:4" x14ac:dyDescent="0.2">
      <c r="A1029" s="5">
        <v>968</v>
      </c>
      <c r="B1029" s="1832">
        <f>'Expenditures 15-22'!H60</f>
        <v>7723</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8338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12147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106658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814516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8742061</v>
      </c>
      <c r="C1093" s="2" t="s">
        <v>569</v>
      </c>
      <c r="D1093" s="2" t="str">
        <f t="shared" si="16"/>
        <v>Error?</v>
      </c>
    </row>
    <row r="1094" spans="1:4" x14ac:dyDescent="0.2">
      <c r="A1094" s="5">
        <v>1033</v>
      </c>
      <c r="B1094" s="1832">
        <f>'Expenditures 15-22'!K16</f>
        <v>219905</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846291</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92833</v>
      </c>
      <c r="C1106" s="2" t="s">
        <v>569</v>
      </c>
      <c r="D1106" s="2" t="str">
        <f t="shared" si="16"/>
        <v>Error?</v>
      </c>
    </row>
    <row r="1107" spans="1:4" x14ac:dyDescent="0.2">
      <c r="A1107" s="5">
        <v>1046</v>
      </c>
      <c r="B1107" s="1832">
        <f>'Expenditures 15-22'!K15</f>
        <v>108441</v>
      </c>
      <c r="C1107" s="2" t="s">
        <v>569</v>
      </c>
      <c r="D1107" s="2" t="str">
        <f t="shared" si="16"/>
        <v>Error?</v>
      </c>
    </row>
    <row r="1108" spans="1:4" x14ac:dyDescent="0.2">
      <c r="A1108" s="5">
        <v>1047</v>
      </c>
      <c r="B1108" s="1832">
        <f>'Expenditures 15-22'!K33</f>
        <v>14433507</v>
      </c>
      <c r="C1108" s="2" t="s">
        <v>569</v>
      </c>
      <c r="D1108" s="2" t="str">
        <f t="shared" si="16"/>
        <v>Error?</v>
      </c>
    </row>
    <row r="1109" spans="1:4" x14ac:dyDescent="0.2">
      <c r="A1109" s="5">
        <v>1048</v>
      </c>
      <c r="B1109" s="1832">
        <f>'Expenditures 15-22'!K36</f>
        <v>602857</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604673</v>
      </c>
      <c r="C1111" s="2" t="s">
        <v>569</v>
      </c>
      <c r="D1111" s="2" t="str">
        <f t="shared" si="16"/>
        <v>Error?</v>
      </c>
    </row>
    <row r="1112" spans="1:4" x14ac:dyDescent="0.2">
      <c r="A1112" s="5">
        <v>1051</v>
      </c>
      <c r="B1112" s="1832">
        <f>'Expenditures 15-22'!K39</f>
        <v>453804</v>
      </c>
      <c r="C1112" s="2" t="s">
        <v>569</v>
      </c>
      <c r="D1112" s="2" t="str">
        <f t="shared" si="16"/>
        <v>Error?</v>
      </c>
    </row>
    <row r="1113" spans="1:4" x14ac:dyDescent="0.2">
      <c r="A1113" s="5">
        <v>1052</v>
      </c>
      <c r="B1113" s="1832">
        <f>'Expenditures 15-22'!K40</f>
        <v>711594</v>
      </c>
      <c r="C1113" s="2" t="s">
        <v>569</v>
      </c>
      <c r="D1113" s="2" t="str">
        <f t="shared" si="16"/>
        <v>Error?</v>
      </c>
    </row>
    <row r="1114" spans="1:4" x14ac:dyDescent="0.2">
      <c r="A1114" s="5">
        <v>1053</v>
      </c>
      <c r="B1114" s="1832">
        <f>'Expenditures 15-22'!K41</f>
        <v>130593</v>
      </c>
      <c r="C1114" s="2" t="s">
        <v>569</v>
      </c>
      <c r="D1114" s="2" t="str">
        <f t="shared" si="16"/>
        <v>Error?</v>
      </c>
    </row>
    <row r="1115" spans="1:4" x14ac:dyDescent="0.2">
      <c r="A1115" s="5">
        <v>1054</v>
      </c>
      <c r="B1115" s="1832">
        <f>'Expenditures 15-22'!K42</f>
        <v>2503521</v>
      </c>
      <c r="C1115" s="2" t="s">
        <v>569</v>
      </c>
      <c r="D1115" s="2" t="str">
        <f t="shared" si="16"/>
        <v>Error?</v>
      </c>
    </row>
    <row r="1116" spans="1:4" x14ac:dyDescent="0.2">
      <c r="A1116" s="5">
        <v>1055</v>
      </c>
      <c r="B1116" s="1832">
        <f>'Expenditures 15-22'!K44</f>
        <v>613323</v>
      </c>
      <c r="C1116" s="2" t="s">
        <v>569</v>
      </c>
      <c r="D1116" s="2" t="str">
        <f t="shared" si="16"/>
        <v>Error?</v>
      </c>
    </row>
    <row r="1117" spans="1:4" x14ac:dyDescent="0.2">
      <c r="A1117" s="5">
        <v>1056</v>
      </c>
      <c r="B1117" s="1832">
        <f>'Expenditures 15-22'!K45</f>
        <v>724773</v>
      </c>
      <c r="C1117" s="2" t="s">
        <v>569</v>
      </c>
      <c r="D1117" s="2" t="str">
        <f t="shared" si="16"/>
        <v>Error?</v>
      </c>
    </row>
    <row r="1118" spans="1:4" x14ac:dyDescent="0.2">
      <c r="A1118" s="5">
        <v>1057</v>
      </c>
      <c r="B1118" s="1832">
        <f>'Expenditures 15-22'!K46</f>
        <v>58977</v>
      </c>
      <c r="C1118" s="2" t="s">
        <v>569</v>
      </c>
      <c r="D1118" s="2" t="str">
        <f t="shared" si="16"/>
        <v>Error?</v>
      </c>
    </row>
    <row r="1119" spans="1:4" x14ac:dyDescent="0.2">
      <c r="A1119" s="5">
        <v>1058</v>
      </c>
      <c r="B1119" s="1832">
        <f>'Expenditures 15-22'!K47</f>
        <v>1397073</v>
      </c>
      <c r="C1119" s="2" t="s">
        <v>569</v>
      </c>
      <c r="D1119" s="2" t="str">
        <f t="shared" si="16"/>
        <v>Error?</v>
      </c>
    </row>
    <row r="1120" spans="1:4" x14ac:dyDescent="0.2">
      <c r="A1120" s="5">
        <v>1059</v>
      </c>
      <c r="B1120" s="1832">
        <f>'Expenditures 15-22'!K49</f>
        <v>17319</v>
      </c>
      <c r="C1120" s="2" t="s">
        <v>569</v>
      </c>
      <c r="D1120" s="2" t="str">
        <f t="shared" si="16"/>
        <v>Error?</v>
      </c>
    </row>
    <row r="1121" spans="1:4" x14ac:dyDescent="0.2">
      <c r="A1121" s="5">
        <v>1060</v>
      </c>
      <c r="B1121" s="1832">
        <f>'Expenditures 15-22'!K50</f>
        <v>295414</v>
      </c>
      <c r="C1121" s="2" t="s">
        <v>569</v>
      </c>
      <c r="D1121" s="2" t="str">
        <f t="shared" si="16"/>
        <v>Error?</v>
      </c>
    </row>
    <row r="1122" spans="1:4" x14ac:dyDescent="0.2">
      <c r="A1122" s="5">
        <v>1061</v>
      </c>
      <c r="B1122" s="1832">
        <f>'Expenditures 15-22'!K53</f>
        <v>759628</v>
      </c>
      <c r="C1122" s="2" t="s">
        <v>569</v>
      </c>
      <c r="D1122" s="2" t="str">
        <f t="shared" si="16"/>
        <v>Error?</v>
      </c>
    </row>
    <row r="1123" spans="1:4" x14ac:dyDescent="0.2">
      <c r="A1123" s="5">
        <v>1062</v>
      </c>
      <c r="B1123" s="1832">
        <f>'Expenditures 15-22'!K55</f>
        <v>1192751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1192751</v>
      </c>
      <c r="C1125" s="2" t="s">
        <v>569</v>
      </c>
      <c r="D1125" s="2" t="str">
        <f t="shared" si="16"/>
        <v>Error?</v>
      </c>
    </row>
    <row r="1126" spans="1:4" x14ac:dyDescent="0.2">
      <c r="A1126" s="5">
        <v>1065</v>
      </c>
      <c r="B1126" s="1832">
        <f>'Expenditures 15-22'!K59</f>
        <v>131138</v>
      </c>
      <c r="C1126" s="2" t="s">
        <v>569</v>
      </c>
      <c r="D1126" s="2" t="str">
        <f t="shared" si="16"/>
        <v>Error?</v>
      </c>
    </row>
    <row r="1127" spans="1:4" x14ac:dyDescent="0.2">
      <c r="A1127" s="5">
        <v>1066</v>
      </c>
      <c r="B1127" s="1832">
        <f>'Expenditures 15-22'!K60</f>
        <v>348846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518033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998017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5020</v>
      </c>
      <c r="C1136" s="2" t="s">
        <v>569</v>
      </c>
      <c r="D1136" s="2" t="str">
        <f t="shared" si="16"/>
        <v>Error?</v>
      </c>
    </row>
    <row r="1137" spans="1:4" x14ac:dyDescent="0.2">
      <c r="A1137" s="5">
        <v>1076</v>
      </c>
      <c r="B1137" s="1832">
        <f>'Expenditures 15-22'!K70</f>
        <v>107047</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999007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1111074</v>
      </c>
      <c r="C1141" s="2" t="s">
        <v>569</v>
      </c>
      <c r="D1141" s="2" t="str">
        <f t="shared" si="16"/>
        <v>Error?</v>
      </c>
    </row>
    <row r="1142" spans="1:4" x14ac:dyDescent="0.2">
      <c r="A1142" s="5">
        <v>1081</v>
      </c>
      <c r="B1142" s="1832">
        <f>'Expenditures 15-22'!K73</f>
        <v>46130</v>
      </c>
      <c r="C1142" s="2" t="s">
        <v>569</v>
      </c>
      <c r="D1142" s="2" t="str">
        <f t="shared" si="16"/>
        <v>Error?</v>
      </c>
    </row>
    <row r="1143" spans="1:4" x14ac:dyDescent="0.2">
      <c r="A1143" s="5">
        <v>1082</v>
      </c>
      <c r="B1143" s="1832">
        <f>'Expenditures 15-22'!K74</f>
        <v>8008194</v>
      </c>
      <c r="C1143" s="2" t="s">
        <v>569</v>
      </c>
      <c r="D1143" s="2" t="str">
        <f t="shared" si="16"/>
        <v>Error?</v>
      </c>
    </row>
    <row r="1144" spans="1:4" x14ac:dyDescent="0.2">
      <c r="A1144" s="5">
        <v>1083</v>
      </c>
      <c r="B1144" s="1832">
        <f>'Expenditures 15-22'!K75</f>
        <v>65101</v>
      </c>
      <c r="C1144" s="2" t="s">
        <v>569</v>
      </c>
      <c r="D1144" s="2" t="str">
        <f t="shared" si="16"/>
        <v>Error?</v>
      </c>
    </row>
    <row r="1145" spans="1:4" x14ac:dyDescent="0.2">
      <c r="A1145" s="5">
        <v>1084</v>
      </c>
      <c r="B1145" s="1832">
        <f>'Expenditures 15-22'!K102</f>
        <v>446759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22953561</v>
      </c>
      <c r="C1152" s="2" t="s">
        <v>569</v>
      </c>
      <c r="D1152" s="2" t="str">
        <f t="shared" si="17"/>
        <v>Error?</v>
      </c>
    </row>
    <row r="1153" spans="1:4" x14ac:dyDescent="0.2">
      <c r="A1153" s="5">
        <v>1092</v>
      </c>
      <c r="B1153" s="1832">
        <f>'Expenditures 15-22'!K115</f>
        <v>1598325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250</v>
      </c>
      <c r="D1220" s="2" t="str">
        <f t="shared" si="18"/>
        <v>Error?</v>
      </c>
    </row>
    <row r="1221" spans="1:4" x14ac:dyDescent="0.2">
      <c r="A1221" s="5">
        <v>1160</v>
      </c>
      <c r="B1221" s="1832">
        <f>'Expenditures 15-22'!C124</f>
        <v>114006</v>
      </c>
      <c r="D1221" s="2" t="str">
        <f t="shared" si="18"/>
        <v>Error?</v>
      </c>
    </row>
    <row r="1222" spans="1:4" x14ac:dyDescent="0.2">
      <c r="A1222" s="10">
        <v>1161</v>
      </c>
      <c r="B1222" s="1832"/>
      <c r="D1222" s="2" t="str">
        <f t="shared" si="18"/>
        <v>OK</v>
      </c>
    </row>
    <row r="1223" spans="1:4" x14ac:dyDescent="0.2">
      <c r="A1223" s="5">
        <v>1162</v>
      </c>
      <c r="B1223" s="1832">
        <f>'Expenditures 15-22'!C127</f>
        <v>114256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114256</v>
      </c>
      <c r="C1225" s="2" t="s">
        <v>569</v>
      </c>
      <c r="D1225" s="2" t="str">
        <f t="shared" si="18"/>
        <v>Error?</v>
      </c>
    </row>
    <row r="1226" spans="1:4" x14ac:dyDescent="0.2">
      <c r="A1226" s="5">
        <v>1165</v>
      </c>
      <c r="B1226" s="1832">
        <f>'Expenditures 15-22'!C151</f>
        <v>114256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13362</v>
      </c>
      <c r="D1229" s="2" t="str">
        <f t="shared" si="18"/>
        <v>Error?</v>
      </c>
    </row>
    <row r="1230" spans="1:4" x14ac:dyDescent="0.2">
      <c r="A1230" s="10">
        <v>1169</v>
      </c>
      <c r="B1230" s="1832"/>
      <c r="D1230" s="2" t="str">
        <f t="shared" si="18"/>
        <v>OK</v>
      </c>
    </row>
    <row r="1231" spans="1:4" x14ac:dyDescent="0.2">
      <c r="A1231" s="5">
        <v>1170</v>
      </c>
      <c r="B1231" s="1832">
        <f>'Expenditures 15-22'!D127</f>
        <v>13362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13362</v>
      </c>
      <c r="C1233" s="2" t="s">
        <v>569</v>
      </c>
      <c r="D1233" s="2" t="str">
        <f t="shared" si="18"/>
        <v>Error?</v>
      </c>
    </row>
    <row r="1234" spans="1:4" x14ac:dyDescent="0.2">
      <c r="A1234" s="5">
        <v>1173</v>
      </c>
      <c r="B1234" s="1832">
        <f>'Expenditures 15-22'!D151</f>
        <v>13362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1416707</v>
      </c>
      <c r="D1237" s="2" t="str">
        <f t="shared" si="18"/>
        <v>Error?</v>
      </c>
    </row>
    <row r="1238" spans="1:4" x14ac:dyDescent="0.2">
      <c r="A1238" s="10">
        <v>1177</v>
      </c>
      <c r="B1238" s="1832"/>
      <c r="D1238" s="2" t="str">
        <f t="shared" si="18"/>
        <v>OK</v>
      </c>
    </row>
    <row r="1239" spans="1:4" x14ac:dyDescent="0.2">
      <c r="A1239" s="5">
        <v>1178</v>
      </c>
      <c r="B1239" s="1832">
        <f>'Expenditures 15-22'!E127</f>
        <v>1416707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1416707</v>
      </c>
      <c r="C1241" s="2" t="s">
        <v>569</v>
      </c>
      <c r="D1241" s="2" t="str">
        <f t="shared" si="18"/>
        <v>Error?</v>
      </c>
    </row>
    <row r="1242" spans="1:4" x14ac:dyDescent="0.2">
      <c r="A1242" s="5">
        <v>1181</v>
      </c>
      <c r="B1242" s="1832">
        <f>'Expenditures 15-22'!E151</f>
        <v>1416707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481257</v>
      </c>
      <c r="D1245" s="2" t="str">
        <f t="shared" si="18"/>
        <v>Error?</v>
      </c>
    </row>
    <row r="1246" spans="1:4" x14ac:dyDescent="0.2">
      <c r="A1246" s="10">
        <v>1185</v>
      </c>
      <c r="B1246" s="1832"/>
      <c r="D1246" s="2" t="str">
        <f t="shared" si="18"/>
        <v>OK</v>
      </c>
    </row>
    <row r="1247" spans="1:4" x14ac:dyDescent="0.2">
      <c r="A1247" s="5">
        <v>1186</v>
      </c>
      <c r="B1247" s="1832">
        <f>'Expenditures 15-22'!F127</f>
        <v>481257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481257</v>
      </c>
      <c r="C1249" s="2" t="s">
        <v>569</v>
      </c>
      <c r="D1249" s="2" t="str">
        <f t="shared" si="18"/>
        <v>Error?</v>
      </c>
    </row>
    <row r="1250" spans="1:4" x14ac:dyDescent="0.2">
      <c r="A1250" s="5">
        <v>1189</v>
      </c>
      <c r="B1250" s="1832">
        <f>'Expenditures 15-22'!F151</f>
        <v>481257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250</v>
      </c>
      <c r="C1275" s="2" t="s">
        <v>569</v>
      </c>
      <c r="D1275" s="2" t="str">
        <f t="shared" si="18"/>
        <v>Error?</v>
      </c>
    </row>
    <row r="1276" spans="1:4" x14ac:dyDescent="0.2">
      <c r="A1276" s="5">
        <v>1215</v>
      </c>
      <c r="B1276" s="1832">
        <f>'Expenditures 15-22'!K124</f>
        <v>2066639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2066889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2066889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2066889</v>
      </c>
      <c r="C1288" s="2" t="s">
        <v>569</v>
      </c>
      <c r="D1288" s="2" t="str">
        <f t="shared" si="19"/>
        <v>Error?</v>
      </c>
    </row>
    <row r="1289" spans="1:4" x14ac:dyDescent="0.2">
      <c r="A1289" s="5">
        <v>1228</v>
      </c>
      <c r="B1289" s="1832">
        <f>'Expenditures 15-22'!K152</f>
        <v>206714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496910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4625000</v>
      </c>
      <c r="D1315" s="2" t="str">
        <f t="shared" si="19"/>
        <v>Error?</v>
      </c>
    </row>
    <row r="1316" spans="1:4" x14ac:dyDescent="0.2">
      <c r="A1316" s="5">
        <v>1255</v>
      </c>
      <c r="B1316" s="1832">
        <f>'Expenditures 15-22'!H171</f>
        <v>845</v>
      </c>
      <c r="D1316" s="2" t="str">
        <f t="shared" si="19"/>
        <v>Error?</v>
      </c>
    </row>
    <row r="1317" spans="1:4" x14ac:dyDescent="0.2">
      <c r="A1317" s="5">
        <v>1256</v>
      </c>
      <c r="B1317" s="1832">
        <f>'Expenditures 15-22'!H172</f>
        <v>5122755</v>
      </c>
      <c r="C1317" s="2" t="s">
        <v>569</v>
      </c>
      <c r="D1317" s="2" t="str">
        <f t="shared" si="19"/>
        <v>Error?</v>
      </c>
    </row>
    <row r="1318" spans="1:4" x14ac:dyDescent="0.2">
      <c r="A1318" s="5">
        <v>1257</v>
      </c>
      <c r="B1318" s="1832">
        <f>'Expenditures 15-22'!H174</f>
        <v>5122755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496910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4625000</v>
      </c>
      <c r="C1329" s="2" t="s">
        <v>569</v>
      </c>
      <c r="D1329" s="2" t="str">
        <f t="shared" si="19"/>
        <v>Error?</v>
      </c>
    </row>
    <row r="1330" spans="1:4" x14ac:dyDescent="0.2">
      <c r="A1330" s="5">
        <v>1269</v>
      </c>
      <c r="B1330" s="1832">
        <f>'Expenditures 15-22'!K171</f>
        <v>845</v>
      </c>
      <c r="C1330" s="2" t="s">
        <v>569</v>
      </c>
      <c r="D1330" s="2" t="str">
        <f t="shared" si="19"/>
        <v>Error?</v>
      </c>
    </row>
    <row r="1331" spans="1:4" x14ac:dyDescent="0.2">
      <c r="A1331" s="5">
        <v>1270</v>
      </c>
      <c r="B1331" s="1832">
        <f>'Expenditures 15-22'!K172</f>
        <v>5122755</v>
      </c>
      <c r="C1331" s="2" t="s">
        <v>569</v>
      </c>
      <c r="D1331" s="2" t="str">
        <f t="shared" si="19"/>
        <v>Error?</v>
      </c>
    </row>
    <row r="1332" spans="1:4" x14ac:dyDescent="0.2">
      <c r="A1332" s="5">
        <v>1271</v>
      </c>
      <c r="B1332" s="1832">
        <f>'Expenditures 15-22'!K174</f>
        <v>5122755</v>
      </c>
      <c r="C1332" s="2" t="s">
        <v>569</v>
      </c>
      <c r="D1332" s="2" t="str">
        <f t="shared" si="19"/>
        <v>Error?</v>
      </c>
    </row>
    <row r="1333" spans="1:4" x14ac:dyDescent="0.2">
      <c r="A1333" s="5">
        <v>1272</v>
      </c>
      <c r="B1333" s="1832">
        <f>'Expenditures 15-22'!K175</f>
        <v>-2382885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700524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700524</v>
      </c>
      <c r="C1339" s="2" t="s">
        <v>569</v>
      </c>
      <c r="D1339" s="2" t="str">
        <f t="shared" si="19"/>
        <v>Error?</v>
      </c>
    </row>
    <row r="1340" spans="1:4" x14ac:dyDescent="0.2">
      <c r="A1340" s="5">
        <v>1279</v>
      </c>
      <c r="B1340" s="1832">
        <f>'Expenditures 15-22'!C210</f>
        <v>700524</v>
      </c>
      <c r="C1340" s="2" t="s">
        <v>569</v>
      </c>
      <c r="D1340" s="2" t="str">
        <f t="shared" si="19"/>
        <v>Error?</v>
      </c>
    </row>
    <row r="1341" spans="1:4" x14ac:dyDescent="0.2">
      <c r="A1341" s="5">
        <v>1280</v>
      </c>
      <c r="B1341" s="1832">
        <f>'Expenditures 15-22'!D182</f>
        <v>119312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119312</v>
      </c>
      <c r="C1345" s="2" t="s">
        <v>569</v>
      </c>
      <c r="D1345" s="2" t="str">
        <f t="shared" si="20"/>
        <v>Error?</v>
      </c>
    </row>
    <row r="1346" spans="1:4" x14ac:dyDescent="0.2">
      <c r="A1346" s="5">
        <v>1285</v>
      </c>
      <c r="B1346" s="1832">
        <f>'Expenditures 15-22'!D210</f>
        <v>119312</v>
      </c>
      <c r="C1346" s="2" t="s">
        <v>569</v>
      </c>
      <c r="D1346" s="2" t="str">
        <f t="shared" si="20"/>
        <v>Error?</v>
      </c>
    </row>
    <row r="1347" spans="1:4" x14ac:dyDescent="0.2">
      <c r="A1347" s="5">
        <v>1286</v>
      </c>
      <c r="B1347" s="1832">
        <f>'Expenditures 15-22'!E182</f>
        <v>586478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586478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586478</v>
      </c>
      <c r="C1353" s="2" t="s">
        <v>569</v>
      </c>
      <c r="D1353" s="2" t="str">
        <f t="shared" si="20"/>
        <v>Error?</v>
      </c>
    </row>
    <row r="1354" spans="1:4" x14ac:dyDescent="0.2">
      <c r="A1354" s="5">
        <v>1293</v>
      </c>
      <c r="B1354" s="1832">
        <f>'Expenditures 15-22'!F182</f>
        <v>78279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78279</v>
      </c>
      <c r="C1358" s="2" t="s">
        <v>569</v>
      </c>
      <c r="D1358" s="2" t="str">
        <f t="shared" si="20"/>
        <v>Error?</v>
      </c>
    </row>
    <row r="1359" spans="1:4" x14ac:dyDescent="0.2">
      <c r="A1359" s="5">
        <v>1298</v>
      </c>
      <c r="B1359" s="1832">
        <f>'Expenditures 15-22'!F210</f>
        <v>78279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20902</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20902</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20902</v>
      </c>
      <c r="C1376" s="2" t="s">
        <v>569</v>
      </c>
      <c r="D1376" s="2" t="str">
        <f t="shared" si="20"/>
        <v>Error?</v>
      </c>
    </row>
    <row r="1377" spans="1:4" x14ac:dyDescent="0.2">
      <c r="A1377" s="5">
        <v>1316</v>
      </c>
      <c r="B1377" s="1832">
        <f>'Expenditures 15-22'!K182</f>
        <v>1505495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1505495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1505495</v>
      </c>
      <c r="C1388" s="2" t="s">
        <v>569</v>
      </c>
      <c r="D1388" s="2" t="str">
        <f t="shared" si="20"/>
        <v>Error?</v>
      </c>
    </row>
    <row r="1389" spans="1:4" x14ac:dyDescent="0.2">
      <c r="A1389" s="5">
        <v>1328</v>
      </c>
      <c r="B1389" s="1832">
        <f>'Expenditures 15-22'!K211</f>
        <v>122499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2425</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15774</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1275</v>
      </c>
      <c r="D1408" s="2" t="str">
        <f t="shared" si="21"/>
        <v>Error?</v>
      </c>
    </row>
    <row r="1409" spans="1:4" x14ac:dyDescent="0.2">
      <c r="A1409" s="5">
        <v>1348</v>
      </c>
      <c r="B1409" s="1832">
        <f>'Expenditures 15-22'!D224</f>
        <v>880</v>
      </c>
      <c r="D1409" s="2" t="str">
        <f t="shared" si="21"/>
        <v>Error?</v>
      </c>
    </row>
    <row r="1410" spans="1:4" x14ac:dyDescent="0.2">
      <c r="A1410" s="5">
        <v>1349</v>
      </c>
      <c r="B1410" s="1832">
        <f>'Expenditures 15-22'!D229</f>
        <v>287078</v>
      </c>
      <c r="C1410" s="2" t="s">
        <v>569</v>
      </c>
      <c r="D1410" s="2" t="str">
        <f t="shared" si="21"/>
        <v>Error?</v>
      </c>
    </row>
    <row r="1411" spans="1:4" x14ac:dyDescent="0.2">
      <c r="A1411" s="5">
        <v>1350</v>
      </c>
      <c r="B1411" s="1832">
        <f>'Expenditures 15-22'!D232</f>
        <v>5325</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106783</v>
      </c>
      <c r="D1413" s="2" t="str">
        <f t="shared" si="21"/>
        <v>Error?</v>
      </c>
    </row>
    <row r="1414" spans="1:4" x14ac:dyDescent="0.2">
      <c r="A1414" s="5">
        <v>1353</v>
      </c>
      <c r="B1414" s="1832">
        <f>'Expenditures 15-22'!D235</f>
        <v>5121</v>
      </c>
      <c r="D1414" s="2" t="str">
        <f t="shared" si="21"/>
        <v>Error?</v>
      </c>
    </row>
    <row r="1415" spans="1:4" x14ac:dyDescent="0.2">
      <c r="A1415" s="5">
        <v>1354</v>
      </c>
      <c r="B1415" s="1832">
        <f>'Expenditures 15-22'!D236</f>
        <v>8813</v>
      </c>
      <c r="D1415" s="2" t="str">
        <f t="shared" si="21"/>
        <v>Error?</v>
      </c>
    </row>
    <row r="1416" spans="1:4" x14ac:dyDescent="0.2">
      <c r="A1416" s="5">
        <v>1355</v>
      </c>
      <c r="B1416" s="1832">
        <f>'Expenditures 15-22'!D237</f>
        <v>6326</v>
      </c>
      <c r="D1416" s="2" t="str">
        <f t="shared" si="21"/>
        <v>Error?</v>
      </c>
    </row>
    <row r="1417" spans="1:4" x14ac:dyDescent="0.2">
      <c r="A1417" s="5">
        <v>1356</v>
      </c>
      <c r="B1417" s="1832">
        <f>'Expenditures 15-22'!D238</f>
        <v>132368</v>
      </c>
      <c r="C1417" s="2" t="s">
        <v>569</v>
      </c>
      <c r="D1417" s="2" t="str">
        <f t="shared" si="21"/>
        <v>Error?</v>
      </c>
    </row>
    <row r="1418" spans="1:4" x14ac:dyDescent="0.2">
      <c r="A1418" s="5">
        <v>1357</v>
      </c>
      <c r="B1418" s="1832">
        <f>'Expenditures 15-22'!D240</f>
        <v>18157</v>
      </c>
      <c r="D1418" s="2" t="str">
        <f t="shared" si="21"/>
        <v>Error?</v>
      </c>
    </row>
    <row r="1419" spans="1:4" x14ac:dyDescent="0.2">
      <c r="A1419" s="5">
        <v>1358</v>
      </c>
      <c r="B1419" s="1832">
        <f>'Expenditures 15-22'!D241</f>
        <v>27127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45284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12137</v>
      </c>
      <c r="D1423" s="2" t="str">
        <f t="shared" si="21"/>
        <v>Error?</v>
      </c>
    </row>
    <row r="1424" spans="1:4" x14ac:dyDescent="0.2">
      <c r="A1424" s="5">
        <v>1363</v>
      </c>
      <c r="B1424" s="1832">
        <f>'Expenditures 15-22'!D257</f>
        <v>22799</v>
      </c>
      <c r="C1424" s="2" t="s">
        <v>569</v>
      </c>
      <c r="D1424" s="2" t="str">
        <f t="shared" si="21"/>
        <v>Error?</v>
      </c>
    </row>
    <row r="1425" spans="1:4" x14ac:dyDescent="0.2">
      <c r="A1425" s="5">
        <v>1364</v>
      </c>
      <c r="B1425" s="1832">
        <f>'Expenditures 15-22'!D259</f>
        <v>54522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54522</v>
      </c>
      <c r="C1427" s="2" t="s">
        <v>569</v>
      </c>
      <c r="D1427" s="2" t="str">
        <f t="shared" si="21"/>
        <v>Error?</v>
      </c>
    </row>
    <row r="1428" spans="1:4" x14ac:dyDescent="0.2">
      <c r="A1428" s="5">
        <v>1367</v>
      </c>
      <c r="B1428" s="1832">
        <f>'Expenditures 15-22'!D263</f>
        <v>1511</v>
      </c>
      <c r="D1428" s="2" t="str">
        <f t="shared" si="21"/>
        <v>Error?</v>
      </c>
    </row>
    <row r="1429" spans="1:4" x14ac:dyDescent="0.2">
      <c r="A1429" s="5">
        <v>1368</v>
      </c>
      <c r="B1429" s="1832">
        <f>'Expenditures 15-22'!D264</f>
        <v>33974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22962</v>
      </c>
      <c r="D1431" s="2" t="str">
        <f t="shared" si="21"/>
        <v>Error?</v>
      </c>
    </row>
    <row r="1432" spans="1:4" x14ac:dyDescent="0.2">
      <c r="A1432" s="5">
        <v>1371</v>
      </c>
      <c r="B1432" s="1832">
        <f>'Expenditures 15-22'!D267</f>
        <v>133190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191637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10755</v>
      </c>
      <c r="D1440" s="2" t="str">
        <f t="shared" si="21"/>
        <v>Error?</v>
      </c>
    </row>
    <row r="1441" spans="1:4" x14ac:dyDescent="0.2">
      <c r="A1441" s="10">
        <v>1380</v>
      </c>
      <c r="B1441" s="1832"/>
      <c r="D1441" s="2" t="str">
        <f t="shared" si="21"/>
        <v>OK</v>
      </c>
    </row>
    <row r="1442" spans="1:4" x14ac:dyDescent="0.2">
      <c r="A1442" s="5">
        <v>1381</v>
      </c>
      <c r="B1442" s="1832">
        <f>'Expenditures 15-22'!D276</f>
        <v>55656</v>
      </c>
      <c r="D1442" s="2" t="str">
        <f t="shared" si="21"/>
        <v>Error?</v>
      </c>
    </row>
    <row r="1443" spans="1:4" x14ac:dyDescent="0.2">
      <c r="A1443" s="10">
        <v>1382</v>
      </c>
      <c r="B1443" s="1832"/>
      <c r="D1443" s="2" t="str">
        <f t="shared" si="21"/>
        <v>OK</v>
      </c>
    </row>
    <row r="1444" spans="1:4" x14ac:dyDescent="0.2">
      <c r="A1444" s="5">
        <v>1383</v>
      </c>
      <c r="B1444" s="1832">
        <f>'Expenditures 15-22'!D277</f>
        <v>66411</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513021</v>
      </c>
      <c r="C1446" s="2" t="s">
        <v>569</v>
      </c>
      <c r="D1446" s="2" t="str">
        <f t="shared" si="21"/>
        <v>Error?</v>
      </c>
    </row>
    <row r="1447" spans="1:4" x14ac:dyDescent="0.2">
      <c r="A1447" s="5">
        <v>1386</v>
      </c>
      <c r="B1447" s="1832">
        <f>'Expenditures 15-22'!D280</f>
        <v>390</v>
      </c>
      <c r="D1447" s="2" t="str">
        <f t="shared" si="21"/>
        <v>Error?</v>
      </c>
    </row>
    <row r="1448" spans="1:4" x14ac:dyDescent="0.2">
      <c r="A1448" s="5">
        <v>1387</v>
      </c>
      <c r="B1448" s="1832">
        <f>'Expenditures 15-22'!D295</f>
        <v>800489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2425</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15774</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1275</v>
      </c>
      <c r="C1472" s="2" t="s">
        <v>569</v>
      </c>
      <c r="D1472" s="2" t="str">
        <f t="shared" si="22"/>
        <v>Error?</v>
      </c>
    </row>
    <row r="1473" spans="1:4" x14ac:dyDescent="0.2">
      <c r="A1473" s="5">
        <v>1412</v>
      </c>
      <c r="B1473" s="1832">
        <f>'Expenditures 15-22'!K224</f>
        <v>880</v>
      </c>
      <c r="C1473" s="2" t="s">
        <v>569</v>
      </c>
      <c r="D1473" s="2" t="str">
        <f t="shared" si="22"/>
        <v>Error?</v>
      </c>
    </row>
    <row r="1474" spans="1:4" x14ac:dyDescent="0.2">
      <c r="A1474" s="5">
        <v>1413</v>
      </c>
      <c r="B1474" s="1832">
        <f>'Expenditures 15-22'!K229</f>
        <v>287078</v>
      </c>
      <c r="C1474" s="2" t="s">
        <v>569</v>
      </c>
      <c r="D1474" s="2" t="str">
        <f t="shared" si="22"/>
        <v>Error?</v>
      </c>
    </row>
    <row r="1475" spans="1:4" x14ac:dyDescent="0.2">
      <c r="A1475" s="5">
        <v>1414</v>
      </c>
      <c r="B1475" s="1832">
        <f>'Expenditures 15-22'!K232</f>
        <v>5325</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106783</v>
      </c>
      <c r="C1477" s="2" t="s">
        <v>569</v>
      </c>
      <c r="D1477" s="2" t="str">
        <f t="shared" si="22"/>
        <v>Error?</v>
      </c>
    </row>
    <row r="1478" spans="1:4" x14ac:dyDescent="0.2">
      <c r="A1478" s="5">
        <v>1417</v>
      </c>
      <c r="B1478" s="1832">
        <f>'Expenditures 15-22'!K235</f>
        <v>5121</v>
      </c>
      <c r="C1478" s="2" t="s">
        <v>569</v>
      </c>
      <c r="D1478" s="2" t="str">
        <f t="shared" si="22"/>
        <v>Error?</v>
      </c>
    </row>
    <row r="1479" spans="1:4" x14ac:dyDescent="0.2">
      <c r="A1479" s="5">
        <v>1418</v>
      </c>
      <c r="B1479" s="1832">
        <f>'Expenditures 15-22'!K236</f>
        <v>8813</v>
      </c>
      <c r="C1479" s="2" t="s">
        <v>569</v>
      </c>
      <c r="D1479" s="2" t="str">
        <f t="shared" si="22"/>
        <v>Error?</v>
      </c>
    </row>
    <row r="1480" spans="1:4" x14ac:dyDescent="0.2">
      <c r="A1480" s="5">
        <v>1419</v>
      </c>
      <c r="B1480" s="1832">
        <f>'Expenditures 15-22'!K237</f>
        <v>6326</v>
      </c>
      <c r="C1480" s="2" t="s">
        <v>569</v>
      </c>
      <c r="D1480" s="2" t="str">
        <f t="shared" si="22"/>
        <v>Error?</v>
      </c>
    </row>
    <row r="1481" spans="1:4" x14ac:dyDescent="0.2">
      <c r="A1481" s="5">
        <v>1420</v>
      </c>
      <c r="B1481" s="1832">
        <f>'Expenditures 15-22'!K238</f>
        <v>132368</v>
      </c>
      <c r="C1481" s="2" t="s">
        <v>569</v>
      </c>
      <c r="D1481" s="2" t="str">
        <f t="shared" si="22"/>
        <v>Error?</v>
      </c>
    </row>
    <row r="1482" spans="1:4" x14ac:dyDescent="0.2">
      <c r="A1482" s="5">
        <v>1421</v>
      </c>
      <c r="B1482" s="1832">
        <f>'Expenditures 15-22'!K240</f>
        <v>18157</v>
      </c>
      <c r="C1482" s="2" t="s">
        <v>569</v>
      </c>
      <c r="D1482" s="2" t="str">
        <f t="shared" si="22"/>
        <v>Error?</v>
      </c>
    </row>
    <row r="1483" spans="1:4" x14ac:dyDescent="0.2">
      <c r="A1483" s="5">
        <v>1422</v>
      </c>
      <c r="B1483" s="1832">
        <f>'Expenditures 15-22'!K241</f>
        <v>27127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45284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12137</v>
      </c>
      <c r="C1487" s="2" t="s">
        <v>569</v>
      </c>
      <c r="D1487" s="2" t="str">
        <f t="shared" si="22"/>
        <v>Error?</v>
      </c>
    </row>
    <row r="1488" spans="1:4" x14ac:dyDescent="0.2">
      <c r="A1488" s="5">
        <v>1427</v>
      </c>
      <c r="B1488" s="1832">
        <f>'Expenditures 15-22'!K257</f>
        <v>22799</v>
      </c>
      <c r="C1488" s="2" t="s">
        <v>569</v>
      </c>
      <c r="D1488" s="2" t="str">
        <f t="shared" si="22"/>
        <v>Error?</v>
      </c>
    </row>
    <row r="1489" spans="1:4" x14ac:dyDescent="0.2">
      <c r="A1489" s="5">
        <v>1428</v>
      </c>
      <c r="B1489" s="1832">
        <f>'Expenditures 15-22'!K259</f>
        <v>54522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54522</v>
      </c>
      <c r="C1491" s="2" t="s">
        <v>569</v>
      </c>
      <c r="D1491" s="2" t="str">
        <f t="shared" si="22"/>
        <v>Error?</v>
      </c>
    </row>
    <row r="1492" spans="1:4" x14ac:dyDescent="0.2">
      <c r="A1492" s="5">
        <v>1431</v>
      </c>
      <c r="B1492" s="1832">
        <f>'Expenditures 15-22'!K263</f>
        <v>1511</v>
      </c>
      <c r="C1492" s="2" t="s">
        <v>569</v>
      </c>
      <c r="D1492" s="2" t="str">
        <f t="shared" si="22"/>
        <v>Error?</v>
      </c>
    </row>
    <row r="1493" spans="1:4" x14ac:dyDescent="0.2">
      <c r="A1493" s="5">
        <v>1432</v>
      </c>
      <c r="B1493" s="1832">
        <f>'Expenditures 15-22'!K264</f>
        <v>33974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22962</v>
      </c>
      <c r="C1495" s="2" t="s">
        <v>569</v>
      </c>
      <c r="D1495" s="2" t="str">
        <f t="shared" si="22"/>
        <v>Error?</v>
      </c>
    </row>
    <row r="1496" spans="1:4" x14ac:dyDescent="0.2">
      <c r="A1496" s="5">
        <v>1435</v>
      </c>
      <c r="B1496" s="1832">
        <f>'Expenditures 15-22'!K267</f>
        <v>133190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191637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10755</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55656</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66411</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513021</v>
      </c>
      <c r="C1510" s="2" t="s">
        <v>569</v>
      </c>
      <c r="D1510" s="2" t="str">
        <f t="shared" si="22"/>
        <v>Error?</v>
      </c>
    </row>
    <row r="1511" spans="1:4" x14ac:dyDescent="0.2">
      <c r="A1511" s="5">
        <v>1450</v>
      </c>
      <c r="B1511" s="1832">
        <f>'Expenditures 15-22'!K280</f>
        <v>390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800489</v>
      </c>
      <c r="C1517" s="2" t="s">
        <v>569</v>
      </c>
      <c r="D1517" s="2" t="str">
        <f t="shared" si="22"/>
        <v>Error?</v>
      </c>
    </row>
    <row r="1518" spans="1:4" x14ac:dyDescent="0.2">
      <c r="A1518" s="5">
        <v>1457</v>
      </c>
      <c r="B1518" s="1832">
        <f>'Expenditures 15-22'!K296</f>
        <v>154581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285110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285110</v>
      </c>
      <c r="C1535" s="2" t="s">
        <v>569</v>
      </c>
      <c r="D1535" s="2" t="str">
        <f t="shared" ref="D1535:D1598" si="23">IF(ISBLANK(B1535),"OK",IF(A1535-B1535=0,"OK","Error?"))</f>
        <v>Error?</v>
      </c>
    </row>
    <row r="1536" spans="1:4" x14ac:dyDescent="0.2">
      <c r="A1536" s="5">
        <v>1475</v>
      </c>
      <c r="B1536" s="1832">
        <f>'Expenditures 15-22'!E312</f>
        <v>285110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1088711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1088711</v>
      </c>
      <c r="C1547" s="2" t="s">
        <v>569</v>
      </c>
      <c r="D1547" s="2" t="str">
        <f t="shared" si="23"/>
        <v>Error?</v>
      </c>
    </row>
    <row r="1548" spans="1:4" x14ac:dyDescent="0.2">
      <c r="A1548" s="5">
        <v>1487</v>
      </c>
      <c r="B1548" s="1832">
        <f>'Expenditures 15-22'!G312</f>
        <v>1088711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1404035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1404035</v>
      </c>
      <c r="C1559" s="2" t="s">
        <v>569</v>
      </c>
      <c r="D1559" s="2" t="str">
        <f t="shared" si="23"/>
        <v>Error?</v>
      </c>
    </row>
    <row r="1560" spans="1:4" x14ac:dyDescent="0.2">
      <c r="A1560" s="5">
        <v>1499</v>
      </c>
      <c r="B1560" s="1832">
        <f>'Expenditures 15-22'!K312</f>
        <v>1404035</v>
      </c>
      <c r="C1560" s="2" t="s">
        <v>569</v>
      </c>
      <c r="D1560" s="2" t="str">
        <f t="shared" si="23"/>
        <v>Error?</v>
      </c>
    </row>
    <row r="1561" spans="1:4" x14ac:dyDescent="0.2">
      <c r="A1561" s="5">
        <v>1500</v>
      </c>
      <c r="B1561" s="1832">
        <f>'Expenditures 15-22'!K313</f>
        <v>-341262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5132345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4580670</v>
      </c>
      <c r="C1630" s="2" t="s">
        <v>569</v>
      </c>
      <c r="D1630" s="2" t="str">
        <f t="shared" si="24"/>
        <v>Error?</v>
      </c>
    </row>
    <row r="1631" spans="1:4" x14ac:dyDescent="0.2">
      <c r="A1631" s="5">
        <v>1570</v>
      </c>
      <c r="B1631" s="1832">
        <f>'Acct Summary 7-8'!D79</f>
        <v>2518799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2725513</v>
      </c>
      <c r="C1644" s="2" t="s">
        <v>569</v>
      </c>
      <c r="D1644" s="2" t="str">
        <f t="shared" si="24"/>
        <v>Error?</v>
      </c>
    </row>
    <row r="1645" spans="1:4" x14ac:dyDescent="0.2">
      <c r="A1645" s="5">
        <v>1584</v>
      </c>
      <c r="B1645" s="1832">
        <f>'Acct Summary 7-8'!E79</f>
        <v>404047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971162</v>
      </c>
      <c r="C1658" s="2" t="s">
        <v>569</v>
      </c>
      <c r="D1658" s="2" t="str">
        <f t="shared" si="24"/>
        <v>Error?</v>
      </c>
    </row>
    <row r="1659" spans="1:4" x14ac:dyDescent="0.2">
      <c r="A1659" s="5">
        <v>1598</v>
      </c>
      <c r="B1659" s="1832">
        <f>'Acct Summary 7-8'!F79</f>
        <v>2288036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1610535</v>
      </c>
      <c r="C1672" s="2" t="s">
        <v>569</v>
      </c>
      <c r="D1672" s="2" t="str">
        <f t="shared" si="25"/>
        <v>Error?</v>
      </c>
    </row>
    <row r="1673" spans="1:4" x14ac:dyDescent="0.2">
      <c r="A1673" s="5">
        <v>1612</v>
      </c>
      <c r="B1673" s="1832">
        <f>'Acct Summary 7-8'!G79</f>
        <v>927847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1082428</v>
      </c>
      <c r="C1686" s="2" t="s">
        <v>569</v>
      </c>
      <c r="D1686" s="2" t="str">
        <f t="shared" si="25"/>
        <v>Error?</v>
      </c>
    </row>
    <row r="1687" spans="1:4" x14ac:dyDescent="0.2">
      <c r="A1687" s="5">
        <v>1626</v>
      </c>
      <c r="B1687" s="1832">
        <f>'Acct Summary 7-8'!H79</f>
        <v>-420702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-761964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18092464</v>
      </c>
      <c r="C1744" s="2" t="s">
        <v>569</v>
      </c>
      <c r="D1744" s="2" t="str">
        <f t="shared" si="26"/>
        <v>Error?</v>
      </c>
    </row>
    <row r="1745" spans="1:5" x14ac:dyDescent="0.2">
      <c r="A1745" s="5">
        <v>1684</v>
      </c>
      <c r="B1745" s="1832">
        <f>'Tax Sched 23'!B5</f>
        <v>1994357</v>
      </c>
      <c r="C1745" s="2" t="s">
        <v>569</v>
      </c>
      <c r="D1745" s="2" t="str">
        <f t="shared" si="26"/>
        <v>Error?</v>
      </c>
    </row>
    <row r="1746" spans="1:5" x14ac:dyDescent="0.2">
      <c r="A1746" s="5">
        <v>1685</v>
      </c>
      <c r="B1746" s="1832">
        <f>'Tax Sched 23'!B6</f>
        <v>2713591</v>
      </c>
      <c r="C1746" s="2" t="s">
        <v>569</v>
      </c>
      <c r="D1746" s="2" t="str">
        <f t="shared" si="26"/>
        <v>Error?</v>
      </c>
    </row>
    <row r="1747" spans="1:5" x14ac:dyDescent="0.2">
      <c r="A1747" s="5">
        <v>1686</v>
      </c>
      <c r="B1747" s="1832">
        <f>'Tax Sched 23'!B7</f>
        <v>1088800</v>
      </c>
      <c r="C1747" s="2" t="s">
        <v>569</v>
      </c>
      <c r="D1747" s="2" t="str">
        <f t="shared" si="26"/>
        <v>Error?</v>
      </c>
    </row>
    <row r="1748" spans="1:5" x14ac:dyDescent="0.2">
      <c r="A1748" s="5">
        <v>1687</v>
      </c>
      <c r="B1748" s="1832">
        <f>'Tax Sched 23'!B8</f>
        <v>459323</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269335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25094617</v>
      </c>
      <c r="C1759" s="2" t="s">
        <v>569</v>
      </c>
      <c r="D1759" s="2" t="str">
        <f t="shared" si="26"/>
        <v>Error?</v>
      </c>
    </row>
    <row r="1760" spans="1:5" x14ac:dyDescent="0.2">
      <c r="A1760" s="5">
        <v>1699</v>
      </c>
      <c r="B1760" s="1832">
        <f>'Tax Sched 23'!D4</f>
        <v>9845177</v>
      </c>
      <c r="C1760" s="2" t="s">
        <v>569</v>
      </c>
      <c r="D1760" s="2" t="str">
        <f t="shared" si="26"/>
        <v>Error?</v>
      </c>
    </row>
    <row r="1761" spans="1:7" x14ac:dyDescent="0.2">
      <c r="A1761" s="5">
        <v>1700</v>
      </c>
      <c r="B1761" s="1832">
        <f>'Tax Sched 23'!D5</f>
        <v>1058478</v>
      </c>
      <c r="C1761" s="2" t="s">
        <v>569</v>
      </c>
      <c r="D1761" s="2" t="str">
        <f t="shared" si="26"/>
        <v>Error?</v>
      </c>
    </row>
    <row r="1762" spans="1:7" s="8" customFormat="1" x14ac:dyDescent="0.2">
      <c r="A1762" s="5">
        <v>1701</v>
      </c>
      <c r="B1762" s="1832">
        <f>'Tax Sched 23'!D6</f>
        <v>1480868</v>
      </c>
      <c r="C1762" s="2" t="s">
        <v>569</v>
      </c>
      <c r="D1762" s="2" t="str">
        <f t="shared" si="26"/>
        <v>Error?</v>
      </c>
      <c r="E1762" s="9"/>
      <c r="G1762"/>
    </row>
    <row r="1763" spans="1:7" x14ac:dyDescent="0.2">
      <c r="A1763" s="5">
        <v>1702</v>
      </c>
      <c r="B1763" s="1832">
        <f>'Tax Sched 23'!D7</f>
        <v>604187</v>
      </c>
      <c r="C1763" s="2" t="s">
        <v>569</v>
      </c>
      <c r="D1763" s="2" t="str">
        <f t="shared" si="26"/>
        <v>Error?</v>
      </c>
    </row>
    <row r="1764" spans="1:7" x14ac:dyDescent="0.2">
      <c r="A1764" s="5">
        <v>1703</v>
      </c>
      <c r="B1764" s="1832">
        <f>'Tax Sched 23'!D8</f>
        <v>290376</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142624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13729510</v>
      </c>
      <c r="C1775" s="2" t="s">
        <v>569</v>
      </c>
      <c r="D1775" s="2" t="str">
        <f t="shared" si="26"/>
        <v>Error?</v>
      </c>
    </row>
    <row r="1776" spans="1:7" x14ac:dyDescent="0.2">
      <c r="A1776" s="5">
        <v>1715</v>
      </c>
      <c r="B1776" s="1832">
        <f>'Tax Sched 23'!C4</f>
        <v>8247287</v>
      </c>
      <c r="D1776" s="2" t="str">
        <f t="shared" si="26"/>
        <v>Error?</v>
      </c>
    </row>
    <row r="1777" spans="1:4" x14ac:dyDescent="0.2">
      <c r="A1777" s="5">
        <v>1716</v>
      </c>
      <c r="B1777" s="1832">
        <f>'Tax Sched 23'!C5</f>
        <v>935879</v>
      </c>
      <c r="D1777" s="2" t="str">
        <f t="shared" si="26"/>
        <v>Error?</v>
      </c>
    </row>
    <row r="1778" spans="1:4" x14ac:dyDescent="0.2">
      <c r="A1778" s="5">
        <v>1717</v>
      </c>
      <c r="B1778" s="1832">
        <f>'Tax Sched 23'!C6</f>
        <v>1232723</v>
      </c>
      <c r="D1778" s="2" t="str">
        <f t="shared" si="26"/>
        <v>Error?</v>
      </c>
    </row>
    <row r="1779" spans="1:4" x14ac:dyDescent="0.2">
      <c r="A1779" s="5">
        <v>1718</v>
      </c>
      <c r="B1779" s="1832">
        <f>'Tax Sched 23'!C7</f>
        <v>484613</v>
      </c>
      <c r="D1779" s="2" t="str">
        <f t="shared" si="26"/>
        <v>Error?</v>
      </c>
    </row>
    <row r="1780" spans="1:4" x14ac:dyDescent="0.2">
      <c r="A1780" s="5">
        <v>1719</v>
      </c>
      <c r="B1780" s="1832">
        <f>'Tax Sched 23'!C8</f>
        <v>168947</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126711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11365107</v>
      </c>
      <c r="C1791" s="2" t="s">
        <v>569</v>
      </c>
      <c r="D1791" s="2" t="str">
        <f t="shared" ref="D1791:D1854" si="27">IF(ISBLANK(B1791),"OK",IF(A1791-B1791=0,"OK","Error?"))</f>
        <v>Error?</v>
      </c>
    </row>
    <row r="1792" spans="1:4" x14ac:dyDescent="0.2">
      <c r="A1792" s="5">
        <v>1731</v>
      </c>
      <c r="B1792" s="1832">
        <f>'Tax Sched 23'!F4</f>
        <v>10231297</v>
      </c>
      <c r="C1792" s="2" t="s">
        <v>569</v>
      </c>
      <c r="D1792" s="2" t="str">
        <f t="shared" si="27"/>
        <v>Error?</v>
      </c>
    </row>
    <row r="1793" spans="1:4" x14ac:dyDescent="0.2">
      <c r="A1793" s="5">
        <v>1732</v>
      </c>
      <c r="B1793" s="1832">
        <f>'Tax Sched 23'!F5</f>
        <v>1161019</v>
      </c>
      <c r="C1793" s="2" t="s">
        <v>569</v>
      </c>
      <c r="D1793" s="2" t="str">
        <f t="shared" si="27"/>
        <v>Error?</v>
      </c>
    </row>
    <row r="1794" spans="1:4" x14ac:dyDescent="0.2">
      <c r="A1794" s="5">
        <v>1733</v>
      </c>
      <c r="B1794" s="1832">
        <f>'Tax Sched 23'!F6</f>
        <v>1533228</v>
      </c>
      <c r="C1794" s="2" t="s">
        <v>569</v>
      </c>
      <c r="D1794" s="2" t="str">
        <f t="shared" si="27"/>
        <v>Error?</v>
      </c>
    </row>
    <row r="1795" spans="1:4" x14ac:dyDescent="0.2">
      <c r="A1795" s="5">
        <v>1734</v>
      </c>
      <c r="B1795" s="1832">
        <f>'Tax Sched 23'!F7</f>
        <v>601194</v>
      </c>
      <c r="C1795" s="2" t="s">
        <v>569</v>
      </c>
      <c r="D1795" s="2" t="str">
        <f t="shared" si="27"/>
        <v>Error?</v>
      </c>
    </row>
    <row r="1796" spans="1:4" x14ac:dyDescent="0.2">
      <c r="A1796" s="5">
        <v>1735</v>
      </c>
      <c r="B1796" s="1832">
        <f>'Tax Sched 23'!F8</f>
        <v>209590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157193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14103111</v>
      </c>
      <c r="C1807" s="2" t="s">
        <v>569</v>
      </c>
      <c r="D1807" s="2" t="str">
        <f t="shared" si="27"/>
        <v>Error?</v>
      </c>
    </row>
    <row r="1808" spans="1:4" x14ac:dyDescent="0.2">
      <c r="A1808" s="5">
        <v>1747</v>
      </c>
      <c r="B1808" s="1832">
        <f>'Tax Sched 23'!E4</f>
        <v>18478584</v>
      </c>
      <c r="D1808" s="2" t="str">
        <f t="shared" si="27"/>
        <v>Error?</v>
      </c>
    </row>
    <row r="1809" spans="1:4" x14ac:dyDescent="0.2">
      <c r="A1809" s="5">
        <v>1748</v>
      </c>
      <c r="B1809" s="1832">
        <f>'Tax Sched 23'!E5</f>
        <v>2096898</v>
      </c>
      <c r="D1809" s="2" t="str">
        <f t="shared" si="27"/>
        <v>Error?</v>
      </c>
    </row>
    <row r="1810" spans="1:4" x14ac:dyDescent="0.2">
      <c r="A1810" s="5">
        <v>1749</v>
      </c>
      <c r="B1810" s="1832">
        <f>'Tax Sched 23'!E6</f>
        <v>2765951</v>
      </c>
      <c r="D1810" s="2" t="str">
        <f t="shared" si="27"/>
        <v>Error?</v>
      </c>
    </row>
    <row r="1811" spans="1:4" x14ac:dyDescent="0.2">
      <c r="A1811" s="5">
        <v>1750</v>
      </c>
      <c r="B1811" s="1832">
        <f>'Tax Sched 23'!E7</f>
        <v>1085807</v>
      </c>
      <c r="D1811" s="2" t="str">
        <f t="shared" si="27"/>
        <v>Error?</v>
      </c>
    </row>
    <row r="1812" spans="1:4" x14ac:dyDescent="0.2">
      <c r="A1812" s="5">
        <v>1751</v>
      </c>
      <c r="B1812" s="1832">
        <f>'Tax Sched 23'!E8</f>
        <v>378537</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283904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25468218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18950000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269335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269335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269335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3546438</v>
      </c>
      <c r="D2008" s="2" t="str">
        <f t="shared" si="30"/>
        <v>Error?</v>
      </c>
    </row>
    <row r="2009" spans="1:4" x14ac:dyDescent="0.2">
      <c r="A2009" s="5">
        <v>1948</v>
      </c>
      <c r="B2009" s="1832">
        <f>'Cap Outlay Deprec 26'!C8</f>
        <v>52959346</v>
      </c>
      <c r="D2009" s="2" t="str">
        <f t="shared" si="30"/>
        <v>Error?</v>
      </c>
    </row>
    <row r="2010" spans="1:4" x14ac:dyDescent="0.2">
      <c r="A2010" s="5">
        <v>1949</v>
      </c>
      <c r="B2010" s="1832">
        <f>'Cap Outlay Deprec 26'!C10</f>
        <v>2258320</v>
      </c>
      <c r="D2010" s="2" t="str">
        <f t="shared" si="30"/>
        <v>Error?</v>
      </c>
    </row>
    <row r="2011" spans="1:4" x14ac:dyDescent="0.2">
      <c r="A2011" s="5">
        <v>1950</v>
      </c>
      <c r="B2011" s="1832">
        <f>'Cap Outlay Deprec 26'!C12</f>
        <v>1072296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64501861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1088711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3546438</v>
      </c>
      <c r="C2026" s="2" t="s">
        <v>569</v>
      </c>
      <c r="D2026" s="2" t="str">
        <f t="shared" si="30"/>
        <v>Error?</v>
      </c>
    </row>
    <row r="2027" spans="1:4" x14ac:dyDescent="0.2">
      <c r="A2027" s="5">
        <v>1966</v>
      </c>
      <c r="B2027" s="1832">
        <f>'Cap Outlay Deprec 26'!F8</f>
        <v>52959346</v>
      </c>
      <c r="C2027" s="2" t="s">
        <v>569</v>
      </c>
      <c r="D2027" s="2" t="str">
        <f t="shared" si="30"/>
        <v>Error?</v>
      </c>
    </row>
    <row r="2028" spans="1:4" x14ac:dyDescent="0.2">
      <c r="A2028" s="5">
        <v>1967</v>
      </c>
      <c r="B2028" s="1832">
        <f>'Cap Outlay Deprec 26'!F10</f>
        <v>2258320</v>
      </c>
      <c r="C2028" s="2" t="s">
        <v>569</v>
      </c>
      <c r="D2028" s="2" t="str">
        <f t="shared" si="30"/>
        <v>Error?</v>
      </c>
    </row>
    <row r="2029" spans="1:4" x14ac:dyDescent="0.2">
      <c r="A2029" s="5">
        <v>1968</v>
      </c>
      <c r="B2029" s="1832">
        <f>'Cap Outlay Deprec 26'!F12</f>
        <v>1072296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65590572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24426433</v>
      </c>
      <c r="D2033" s="2" t="str">
        <f t="shared" si="30"/>
        <v>Error?</v>
      </c>
    </row>
    <row r="2034" spans="1:4" x14ac:dyDescent="0.2">
      <c r="A2034" s="5">
        <v>1973</v>
      </c>
      <c r="B2034" s="1832">
        <f>'Cap Outlay Deprec 26'!H10</f>
        <v>1810393</v>
      </c>
      <c r="D2034" s="2" t="str">
        <f t="shared" si="30"/>
        <v>Error?</v>
      </c>
    </row>
    <row r="2035" spans="1:4" x14ac:dyDescent="0.2">
      <c r="A2035" s="5">
        <v>1974</v>
      </c>
      <c r="B2035" s="1832">
        <f>'Cap Outlay Deprec 26'!H12</f>
        <v>511937</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26748763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1204556</v>
      </c>
      <c r="D2039" s="2" t="str">
        <f t="shared" si="30"/>
        <v>Error?</v>
      </c>
    </row>
    <row r="2040" spans="1:4" x14ac:dyDescent="0.2">
      <c r="A2040" s="5">
        <v>1979</v>
      </c>
      <c r="B2040" s="1832">
        <f>'Cap Outlay Deprec 26'!I10</f>
        <v>55651</v>
      </c>
      <c r="D2040" s="2" t="str">
        <f t="shared" si="30"/>
        <v>Error?</v>
      </c>
    </row>
    <row r="2041" spans="1:4" x14ac:dyDescent="0.2">
      <c r="A2041" s="5">
        <v>1980</v>
      </c>
      <c r="B2041" s="1832">
        <f>'Cap Outlay Deprec 26'!I12</f>
        <v>137707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1397914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25630989</v>
      </c>
      <c r="C2051" s="2" t="s">
        <v>569</v>
      </c>
      <c r="D2051" s="2" t="str">
        <f t="shared" si="31"/>
        <v>Error?</v>
      </c>
    </row>
    <row r="2052" spans="1:4" x14ac:dyDescent="0.2">
      <c r="A2052" s="5">
        <v>1991</v>
      </c>
      <c r="B2052" s="1832">
        <f>'Cap Outlay Deprec 26'!K10</f>
        <v>1866044</v>
      </c>
      <c r="C2052" s="2" t="s">
        <v>569</v>
      </c>
      <c r="D2052" s="2" t="str">
        <f t="shared" si="31"/>
        <v>Error?</v>
      </c>
    </row>
    <row r="2053" spans="1:4" x14ac:dyDescent="0.2">
      <c r="A2053" s="5">
        <v>1992</v>
      </c>
      <c r="B2053" s="1832">
        <f>'Cap Outlay Deprec 26'!K12</f>
        <v>649644</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28146677</v>
      </c>
      <c r="C2055" s="2" t="s">
        <v>569</v>
      </c>
      <c r="D2055" s="2" t="str">
        <f t="shared" si="31"/>
        <v>Error?</v>
      </c>
    </row>
    <row r="2056" spans="1:4" x14ac:dyDescent="0.2">
      <c r="A2056" s="5">
        <v>1995</v>
      </c>
      <c r="B2056" s="1832">
        <f>'Cap Outlay Deprec 26'!L5</f>
        <v>3546438</v>
      </c>
      <c r="C2056" s="2" t="s">
        <v>569</v>
      </c>
      <c r="D2056" s="2" t="str">
        <f t="shared" si="31"/>
        <v>Error?</v>
      </c>
    </row>
    <row r="2057" spans="1:4" x14ac:dyDescent="0.2">
      <c r="A2057" s="5">
        <v>1996</v>
      </c>
      <c r="B2057" s="1832">
        <f>'Cap Outlay Deprec 26'!L8</f>
        <v>27328357</v>
      </c>
      <c r="C2057" s="2" t="s">
        <v>569</v>
      </c>
      <c r="D2057" s="2" t="str">
        <f t="shared" si="31"/>
        <v>Error?</v>
      </c>
    </row>
    <row r="2058" spans="1:4" x14ac:dyDescent="0.2">
      <c r="A2058" s="5">
        <v>1997</v>
      </c>
      <c r="B2058" s="1832">
        <f>'Cap Outlay Deprec 26'!L10</f>
        <v>392276</v>
      </c>
      <c r="C2058" s="2" t="s">
        <v>569</v>
      </c>
      <c r="D2058" s="2" t="str">
        <f t="shared" si="31"/>
        <v>Error?</v>
      </c>
    </row>
    <row r="2059" spans="1:4" x14ac:dyDescent="0.2">
      <c r="A2059" s="5">
        <v>1998</v>
      </c>
      <c r="B2059" s="1832">
        <f>'Cap Outlay Deprec 26'!L12</f>
        <v>422652</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37443895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106658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446759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438570</v>
      </c>
      <c r="D2435" s="2" t="str">
        <f t="shared" si="37"/>
        <v>Error?</v>
      </c>
    </row>
    <row r="2436" spans="1:4" x14ac:dyDescent="0.2">
      <c r="A2436" s="10">
        <v>2375</v>
      </c>
      <c r="B2436" s="1832"/>
      <c r="D2436" s="2" t="str">
        <f t="shared" si="37"/>
        <v>OK</v>
      </c>
    </row>
    <row r="2437" spans="1:4" x14ac:dyDescent="0.2">
      <c r="A2437" s="5">
        <v>2376</v>
      </c>
      <c r="B2437" s="1832">
        <f>'Assets-Liab 5-6'!D38</f>
        <v>464318</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1610535</v>
      </c>
      <c r="D2475" s="2" t="str">
        <f t="shared" si="37"/>
        <v>Error?</v>
      </c>
    </row>
    <row r="2476" spans="1:4" x14ac:dyDescent="0.2">
      <c r="A2476" s="10">
        <v>2415</v>
      </c>
      <c r="B2476" s="1832"/>
      <c r="D2476" s="2" t="str">
        <f t="shared" si="37"/>
        <v>OK</v>
      </c>
    </row>
    <row r="2477" spans="1:4" x14ac:dyDescent="0.2">
      <c r="A2477" s="5">
        <v>2416</v>
      </c>
      <c r="B2477" s="1832">
        <f>'Assets-Liab 5-6'!G38</f>
        <v>1082428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971162</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20006102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2608233</v>
      </c>
      <c r="C2553" s="2" t="s">
        <v>569</v>
      </c>
      <c r="D2553" s="2" t="str">
        <f t="shared" si="38"/>
        <v>Error?</v>
      </c>
    </row>
    <row r="2554" spans="1:4" x14ac:dyDescent="0.2">
      <c r="A2554" s="5">
        <v>2493</v>
      </c>
      <c r="B2554" s="1832">
        <f>'Acct Summary 7-8'!C7</f>
        <v>1937551</v>
      </c>
      <c r="C2554" s="2" t="s">
        <v>569</v>
      </c>
      <c r="D2554" s="2" t="str">
        <f t="shared" si="38"/>
        <v>Error?</v>
      </c>
    </row>
    <row r="2555" spans="1:4" x14ac:dyDescent="0.2">
      <c r="A2555" s="5">
        <v>2494</v>
      </c>
      <c r="B2555" s="1832">
        <f>'Acct Summary 7-8'!C8</f>
        <v>24551886</v>
      </c>
      <c r="C2555" s="2" t="s">
        <v>569</v>
      </c>
      <c r="D2555" s="2" t="str">
        <f t="shared" si="38"/>
        <v>Error?</v>
      </c>
    </row>
    <row r="2556" spans="1:4" x14ac:dyDescent="0.2">
      <c r="A2556" s="5">
        <v>2495</v>
      </c>
      <c r="B2556" s="1832">
        <f>'Acct Summary 7-8'!C12</f>
        <v>14433507</v>
      </c>
      <c r="C2556" s="2" t="s">
        <v>569</v>
      </c>
      <c r="D2556" s="2" t="str">
        <f t="shared" si="38"/>
        <v>Error?</v>
      </c>
    </row>
    <row r="2557" spans="1:4" x14ac:dyDescent="0.2">
      <c r="A2557" s="5">
        <v>2496</v>
      </c>
      <c r="B2557" s="1832">
        <f>'Acct Summary 7-8'!C13</f>
        <v>8008194</v>
      </c>
      <c r="C2557" s="2" t="s">
        <v>569</v>
      </c>
      <c r="D2557" s="2" t="str">
        <f t="shared" si="38"/>
        <v>Error?</v>
      </c>
    </row>
    <row r="2558" spans="1:4" x14ac:dyDescent="0.2">
      <c r="A2558" s="5">
        <v>2497</v>
      </c>
      <c r="B2558" s="1832">
        <f>'Acct Summary 7-8'!C14</f>
        <v>65101</v>
      </c>
      <c r="C2558" s="2" t="s">
        <v>569</v>
      </c>
      <c r="D2558" s="2" t="str">
        <f t="shared" si="38"/>
        <v>Error?</v>
      </c>
    </row>
    <row r="2559" spans="1:4" x14ac:dyDescent="0.2">
      <c r="A2559" s="5">
        <v>2498</v>
      </c>
      <c r="B2559" s="1832">
        <f>'Acct Summary 7-8'!C15</f>
        <v>446759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22953561</v>
      </c>
      <c r="C2561" s="2" t="s">
        <v>569</v>
      </c>
      <c r="D2561" s="2" t="str">
        <f t="shared" si="39"/>
        <v>Error?</v>
      </c>
    </row>
    <row r="2562" spans="1:4" x14ac:dyDescent="0.2">
      <c r="A2562" s="5">
        <v>2501</v>
      </c>
      <c r="B2562" s="1832">
        <f>'Acct Summary 7-8'!C20</f>
        <v>1598325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2273603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2273603</v>
      </c>
      <c r="C2568" s="2" t="s">
        <v>569</v>
      </c>
      <c r="D2568" s="2" t="str">
        <f t="shared" si="39"/>
        <v>Error?</v>
      </c>
    </row>
    <row r="2569" spans="1:4" x14ac:dyDescent="0.2">
      <c r="A2569" s="5">
        <v>2508</v>
      </c>
      <c r="B2569" s="1832">
        <f>'Acct Summary 7-8'!D13</f>
        <v>2066889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2066889</v>
      </c>
      <c r="C2573" s="2" t="s">
        <v>569</v>
      </c>
      <c r="D2573" s="2" t="str">
        <f t="shared" si="39"/>
        <v>Error?</v>
      </c>
    </row>
    <row r="2574" spans="1:4" x14ac:dyDescent="0.2">
      <c r="A2574" s="5">
        <v>2513</v>
      </c>
      <c r="B2574" s="1832">
        <f>'Acct Summary 7-8'!D20</f>
        <v>206714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1094668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533326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1627994</v>
      </c>
      <c r="C2595" s="2" t="s">
        <v>569</v>
      </c>
      <c r="D2595" s="2" t="str">
        <f t="shared" si="39"/>
        <v>Error?</v>
      </c>
    </row>
    <row r="2596" spans="1:4" x14ac:dyDescent="0.2">
      <c r="A2596" s="5">
        <v>2535</v>
      </c>
      <c r="B2596" s="1832">
        <f>'Acct Summary 7-8'!F13</f>
        <v>1505495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1505495</v>
      </c>
      <c r="C2600" s="2" t="s">
        <v>569</v>
      </c>
      <c r="D2600" s="2" t="str">
        <f t="shared" si="39"/>
        <v>Error?</v>
      </c>
    </row>
    <row r="2601" spans="1:4" x14ac:dyDescent="0.2">
      <c r="A2601" s="5">
        <v>2540</v>
      </c>
      <c r="B2601" s="1832">
        <f>'Acct Summary 7-8'!F20</f>
        <v>122499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955070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955070</v>
      </c>
      <c r="C2606" s="2" t="s">
        <v>569</v>
      </c>
      <c r="D2606" s="2" t="str">
        <f t="shared" si="39"/>
        <v>Error?</v>
      </c>
    </row>
    <row r="2607" spans="1:4" x14ac:dyDescent="0.2">
      <c r="A2607" s="5">
        <v>2546</v>
      </c>
      <c r="B2607" s="1832">
        <f>'Acct Summary 7-8'!G12</f>
        <v>287078</v>
      </c>
      <c r="C2607" s="2" t="s">
        <v>569</v>
      </c>
      <c r="D2607" s="2" t="str">
        <f t="shared" si="39"/>
        <v>Error?</v>
      </c>
    </row>
    <row r="2608" spans="1:4" x14ac:dyDescent="0.2">
      <c r="A2608" s="5">
        <v>2547</v>
      </c>
      <c r="B2608" s="1832">
        <f>'Acct Summary 7-8'!G13</f>
        <v>513021</v>
      </c>
      <c r="C2608" s="2" t="s">
        <v>569</v>
      </c>
      <c r="D2608" s="2" t="str">
        <f t="shared" si="39"/>
        <v>Error?</v>
      </c>
    </row>
    <row r="2609" spans="1:4" x14ac:dyDescent="0.2">
      <c r="A2609" s="5">
        <v>2548</v>
      </c>
      <c r="B2609" s="1832">
        <f>'Acct Summary 7-8'!G14</f>
        <v>390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800489</v>
      </c>
      <c r="C2612" s="2" t="s">
        <v>569</v>
      </c>
      <c r="D2612" s="2" t="str">
        <f t="shared" si="39"/>
        <v>Error?</v>
      </c>
    </row>
    <row r="2613" spans="1:4" x14ac:dyDescent="0.2">
      <c r="A2613" s="5">
        <v>2552</v>
      </c>
      <c r="B2613" s="1832">
        <f>'Acct Summary 7-8'!G20</f>
        <v>154581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2739870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2739870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5122755</v>
      </c>
      <c r="C2634" s="2" t="s">
        <v>569</v>
      </c>
      <c r="D2634" s="2" t="str">
        <f t="shared" si="40"/>
        <v>Error?</v>
      </c>
    </row>
    <row r="2635" spans="1:4" x14ac:dyDescent="0.2">
      <c r="A2635" s="5">
        <v>2574</v>
      </c>
      <c r="B2635" s="1832">
        <f>'Acct Summary 7-8'!E17</f>
        <v>5122755</v>
      </c>
      <c r="C2635" s="2" t="s">
        <v>569</v>
      </c>
      <c r="D2635" s="2" t="str">
        <f t="shared" si="40"/>
        <v>Error?</v>
      </c>
    </row>
    <row r="2636" spans="1:4" x14ac:dyDescent="0.2">
      <c r="A2636" s="5">
        <v>2575</v>
      </c>
      <c r="B2636" s="1832">
        <f>'Acct Summary 7-8'!E20</f>
        <v>-2382885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12773</v>
      </c>
      <c r="C2655" s="2" t="s">
        <v>569</v>
      </c>
      <c r="D2655" s="2" t="str">
        <f t="shared" si="40"/>
        <v>Error?</v>
      </c>
    </row>
    <row r="2656" spans="1:4" x14ac:dyDescent="0.2">
      <c r="A2656" s="5">
        <v>2595</v>
      </c>
      <c r="B2656" s="1832">
        <f>'Acct Summary 7-8'!H6</f>
        <v>1050000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1062773</v>
      </c>
      <c r="C2658" s="2" t="s">
        <v>569</v>
      </c>
      <c r="D2658" s="2" t="str">
        <f t="shared" si="40"/>
        <v>Error?</v>
      </c>
    </row>
    <row r="2659" spans="1:4" x14ac:dyDescent="0.2">
      <c r="A2659" s="5">
        <v>2598</v>
      </c>
      <c r="B2659" s="1832">
        <f>'Acct Summary 7-8'!H13</f>
        <v>1404035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1404035</v>
      </c>
      <c r="C2661" s="2" t="s">
        <v>569</v>
      </c>
      <c r="D2661" s="2" t="str">
        <f t="shared" si="40"/>
        <v>Error?</v>
      </c>
    </row>
    <row r="2662" spans="1:4" x14ac:dyDescent="0.2">
      <c r="A2662" s="5">
        <v>2601</v>
      </c>
      <c r="B2662" s="1832">
        <f>'Acct Summary 7-8'!H20</f>
        <v>-341262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165987</v>
      </c>
      <c r="D2718" s="2" t="str">
        <f t="shared" si="41"/>
        <v>Error?</v>
      </c>
    </row>
    <row r="2719" spans="1:4" x14ac:dyDescent="0.2">
      <c r="A2719" s="5">
        <v>2658</v>
      </c>
      <c r="B2719" s="1832">
        <f>'Expenditures 15-22'!D51</f>
        <v>46203</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3204</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215394</v>
      </c>
      <c r="C2724" s="2" t="s">
        <v>569</v>
      </c>
      <c r="D2724" s="2" t="str">
        <f t="shared" si="41"/>
        <v>Error?</v>
      </c>
    </row>
    <row r="2725" spans="1:4" x14ac:dyDescent="0.2">
      <c r="A2725" s="5">
        <v>2664</v>
      </c>
      <c r="B2725" s="1832">
        <f>'Expenditures 15-22'!D247</f>
        <v>10662</v>
      </c>
      <c r="D2725" s="2" t="str">
        <f t="shared" si="41"/>
        <v>Error?</v>
      </c>
    </row>
    <row r="2726" spans="1:4" x14ac:dyDescent="0.2">
      <c r="A2726" s="5">
        <v>2665</v>
      </c>
      <c r="B2726" s="1832">
        <f>'Expenditures 15-22'!K247</f>
        <v>10662</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340101</v>
      </c>
      <c r="C2789" s="2" t="s">
        <v>569</v>
      </c>
      <c r="D2789" s="2" t="str">
        <f t="shared" si="42"/>
        <v>Error?</v>
      </c>
    </row>
    <row r="2790" spans="1:4" x14ac:dyDescent="0.2">
      <c r="A2790" s="5">
        <v>2729</v>
      </c>
      <c r="B2790" s="1832">
        <f>'Expenditures 15-22'!E102</f>
        <v>340101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5754172</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403196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7733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403196</v>
      </c>
      <c r="D2912" s="2" t="str">
        <f t="shared" si="44"/>
        <v>Error?</v>
      </c>
    </row>
    <row r="2913" spans="1:4" x14ac:dyDescent="0.2">
      <c r="A2913" s="5">
        <v>2852</v>
      </c>
      <c r="B2913" s="1832">
        <f>'Assets-Liab 5-6'!I41</f>
        <v>403196</v>
      </c>
      <c r="C2913" s="2" t="s">
        <v>569</v>
      </c>
      <c r="D2913" s="2" t="str">
        <f t="shared" si="44"/>
        <v>Error?</v>
      </c>
    </row>
    <row r="2914" spans="1:4" x14ac:dyDescent="0.2">
      <c r="A2914" s="5">
        <v>2853</v>
      </c>
      <c r="B2914" s="1832">
        <f>'Assets-Liab 5-6'!L33</f>
        <v>7733</v>
      </c>
      <c r="D2914" s="2" t="str">
        <f t="shared" si="44"/>
        <v>Error?</v>
      </c>
    </row>
    <row r="2915" spans="1:4" x14ac:dyDescent="0.2">
      <c r="A2915" s="10">
        <v>2854</v>
      </c>
      <c r="B2915" s="1832"/>
      <c r="D2915" s="2" t="str">
        <f t="shared" si="44"/>
        <v>OK</v>
      </c>
    </row>
    <row r="2916" spans="1:4" x14ac:dyDescent="0.2">
      <c r="A2916" s="5">
        <v>2855</v>
      </c>
      <c r="B2916" s="1832">
        <f>'Assets-Liab 5-6'!L34</f>
        <v>7733</v>
      </c>
      <c r="C2916" s="2" t="s">
        <v>569</v>
      </c>
      <c r="D2916" s="2" t="str">
        <f t="shared" si="44"/>
        <v>Error?</v>
      </c>
    </row>
    <row r="2917" spans="1:4" x14ac:dyDescent="0.2">
      <c r="A2917" s="5">
        <v>2856</v>
      </c>
      <c r="B2917" s="1832">
        <f>'Assets-Liab 5-6'!L41</f>
        <v>7733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340101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22104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84554</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362205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84554</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800000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2950000</v>
      </c>
      <c r="C3231" s="2" t="s">
        <v>569</v>
      </c>
      <c r="D3231" s="2" t="str">
        <f t="shared" si="49"/>
        <v>Error?</v>
      </c>
    </row>
    <row r="3232" spans="1:4" x14ac:dyDescent="0.2">
      <c r="A3232" s="5">
        <v>3171</v>
      </c>
      <c r="B3232" s="1832">
        <f>'Acct Summary 7-8'!C77</f>
        <v>-2150000</v>
      </c>
      <c r="C3232" s="2" t="s">
        <v>569</v>
      </c>
      <c r="D3232" s="2" t="str">
        <f t="shared" si="49"/>
        <v>Error?</v>
      </c>
    </row>
    <row r="3233" spans="1:4" x14ac:dyDescent="0.2">
      <c r="A3233" s="5">
        <v>3172</v>
      </c>
      <c r="B3233" s="1832">
        <f>'Acct Summary 7-8'!C78</f>
        <v>-551675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206714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800000</v>
      </c>
      <c r="C3254" s="2" t="s">
        <v>569</v>
      </c>
      <c r="D3254" s="2" t="str">
        <f t="shared" si="49"/>
        <v>Error?</v>
      </c>
    </row>
    <row r="3255" spans="1:4" x14ac:dyDescent="0.2">
      <c r="A3255" s="5">
        <v>3194</v>
      </c>
      <c r="B3255" s="1832">
        <f>'Acct Summary 7-8'!F77</f>
        <v>-800000</v>
      </c>
      <c r="C3255" s="2" t="s">
        <v>569</v>
      </c>
      <c r="D3255" s="2" t="str">
        <f t="shared" si="49"/>
        <v>Error?</v>
      </c>
    </row>
    <row r="3256" spans="1:4" x14ac:dyDescent="0.2">
      <c r="A3256" s="5">
        <v>3195</v>
      </c>
      <c r="B3256" s="1832">
        <f>'Acct Summary 7-8'!F78</f>
        <v>-677501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154581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2950000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2950000</v>
      </c>
      <c r="C3277" s="2" t="s">
        <v>569</v>
      </c>
      <c r="D3277" s="2" t="str">
        <f t="shared" si="50"/>
        <v>Error?</v>
      </c>
    </row>
    <row r="3278" spans="1:4" x14ac:dyDescent="0.2">
      <c r="A3278" s="5">
        <v>3217</v>
      </c>
      <c r="B3278" s="1832">
        <f>'Acct Summary 7-8'!E78</f>
        <v>567115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-341262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403196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403196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2668582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612904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3966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29621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3315073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97911</v>
      </c>
      <c r="D3387" s="2" t="str">
        <f t="shared" si="51"/>
        <v>Error?</v>
      </c>
    </row>
    <row r="3388" spans="1:4" x14ac:dyDescent="0.2">
      <c r="A3388" s="5">
        <v>3327</v>
      </c>
      <c r="B3388" s="1832">
        <f>'Expenditures 15-22'!D217</f>
        <v>168305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97911</v>
      </c>
      <c r="C3390" s="2" t="s">
        <v>569</v>
      </c>
      <c r="D3390" s="2" t="str">
        <f t="shared" si="51"/>
        <v>Error?</v>
      </c>
    </row>
    <row r="3391" spans="1:4" x14ac:dyDescent="0.2">
      <c r="A3391" s="5">
        <v>3330</v>
      </c>
      <c r="B3391" s="1832">
        <f>'Expenditures 15-22'!K217</f>
        <v>168305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12638445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3489065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1871972</v>
      </c>
      <c r="D3417" s="2" t="str">
        <f t="shared" si="52"/>
        <v>Error?</v>
      </c>
    </row>
    <row r="3418" spans="1:4" x14ac:dyDescent="0.2">
      <c r="A3418" s="10">
        <v>3357</v>
      </c>
      <c r="B3418" s="1832"/>
      <c r="D3418" s="2" t="str">
        <f t="shared" si="52"/>
        <v>OK</v>
      </c>
    </row>
    <row r="3419" spans="1:4" x14ac:dyDescent="0.2">
      <c r="A3419" s="5">
        <v>3358</v>
      </c>
      <c r="B3419" s="1832">
        <f>'Assets-Liab 5-6'!F4</f>
        <v>1485477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1331744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403196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7733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476747</v>
      </c>
      <c r="C3446" s="2" t="s">
        <v>569</v>
      </c>
      <c r="D3446" s="2" t="str">
        <f t="shared" si="52"/>
        <v>Error?</v>
      </c>
    </row>
    <row r="3447" spans="1:4" x14ac:dyDescent="0.2">
      <c r="A3447" s="5">
        <v>3386</v>
      </c>
      <c r="B3447" s="1832">
        <f>'Tax Sched 23'!D16</f>
        <v>307800</v>
      </c>
      <c r="C3447" s="2" t="s">
        <v>569</v>
      </c>
      <c r="D3447" s="2" t="str">
        <f t="shared" si="52"/>
        <v>Error?</v>
      </c>
    </row>
    <row r="3448" spans="1:4" x14ac:dyDescent="0.2">
      <c r="A3448" s="5">
        <v>3387</v>
      </c>
      <c r="B3448" s="1832">
        <f>'Tax Sched 23'!C16</f>
        <v>168947</v>
      </c>
      <c r="D3448" s="2" t="str">
        <f t="shared" si="52"/>
        <v>Error?</v>
      </c>
    </row>
    <row r="3449" spans="1:4" x14ac:dyDescent="0.2">
      <c r="A3449" s="5">
        <v>3388</v>
      </c>
      <c r="B3449" s="1832">
        <f>'Tax Sched 23'!F16</f>
        <v>209590</v>
      </c>
      <c r="C3449" s="2" t="s">
        <v>569</v>
      </c>
      <c r="D3449" s="2" t="str">
        <f t="shared" si="52"/>
        <v>Error?</v>
      </c>
    </row>
    <row r="3450" spans="1:4" x14ac:dyDescent="0.2">
      <c r="A3450" s="5">
        <v>3389</v>
      </c>
      <c r="B3450" s="1832">
        <f>'Tax Sched 23'!E16</f>
        <v>378537</v>
      </c>
      <c r="D3450" s="2" t="str">
        <f t="shared" si="52"/>
        <v>Error?</v>
      </c>
    </row>
    <row r="3451" spans="1:4" x14ac:dyDescent="0.2">
      <c r="A3451" s="5">
        <v>3390</v>
      </c>
      <c r="B3451" s="1832">
        <f>'Cap Outlay Deprec 26'!C15</f>
        <v>4665461</v>
      </c>
      <c r="D3451" s="2" t="str">
        <f t="shared" si="52"/>
        <v>Error?</v>
      </c>
    </row>
    <row r="3452" spans="1:4" x14ac:dyDescent="0.2">
      <c r="A3452" s="5">
        <v>3391</v>
      </c>
      <c r="B3452" s="1832">
        <f>'Cap Outlay Deprec 26'!D15</f>
        <v>1088711</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5754172</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5754172</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10077136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34629022</v>
      </c>
      <c r="C4122" s="2" t="s">
        <v>569</v>
      </c>
      <c r="D4122" s="2" t="str">
        <f t="shared" si="63"/>
        <v>Error?</v>
      </c>
    </row>
    <row r="4123" spans="1:4" x14ac:dyDescent="0.2">
      <c r="A4123" s="5">
        <v>4062</v>
      </c>
      <c r="B4123" s="1832">
        <f>'Acct Summary 7-8'!D10</f>
        <v>2273603</v>
      </c>
      <c r="C4123" s="2" t="s">
        <v>569</v>
      </c>
      <c r="D4123" s="2" t="str">
        <f t="shared" si="63"/>
        <v>Error?</v>
      </c>
    </row>
    <row r="4124" spans="1:4" x14ac:dyDescent="0.2">
      <c r="A4124" s="5">
        <v>4063</v>
      </c>
      <c r="B4124" s="1832">
        <f>'Acct Summary 7-8'!E10</f>
        <v>2739870</v>
      </c>
      <c r="C4124" s="2" t="s">
        <v>569</v>
      </c>
      <c r="D4124" s="2" t="str">
        <f t="shared" si="63"/>
        <v>Error?</v>
      </c>
    </row>
    <row r="4125" spans="1:4" x14ac:dyDescent="0.2">
      <c r="A4125" s="5">
        <v>4064</v>
      </c>
      <c r="B4125" s="1832">
        <f>'Acct Summary 7-8'!F10</f>
        <v>1627994</v>
      </c>
      <c r="C4125" s="2" t="s">
        <v>569</v>
      </c>
      <c r="D4125" s="2" t="str">
        <f t="shared" si="63"/>
        <v>Error?</v>
      </c>
    </row>
    <row r="4126" spans="1:4" x14ac:dyDescent="0.2">
      <c r="A4126" s="5">
        <v>4065</v>
      </c>
      <c r="B4126" s="1832">
        <f>'Acct Summary 7-8'!G10</f>
        <v>955070</v>
      </c>
      <c r="C4126" s="2" t="s">
        <v>569</v>
      </c>
      <c r="D4126" s="2" t="str">
        <f t="shared" si="63"/>
        <v>Error?</v>
      </c>
    </row>
    <row r="4127" spans="1:4" x14ac:dyDescent="0.2">
      <c r="A4127" s="5">
        <v>4066</v>
      </c>
      <c r="B4127" s="1832">
        <f>'Acct Summary 7-8'!H10</f>
        <v>1062773</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10077136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33030697</v>
      </c>
      <c r="C4136" s="2" t="s">
        <v>569</v>
      </c>
      <c r="D4136" s="2" t="str">
        <f t="shared" si="63"/>
        <v>Error?</v>
      </c>
    </row>
    <row r="4137" spans="1:4" x14ac:dyDescent="0.2">
      <c r="A4137" s="5">
        <v>4076</v>
      </c>
      <c r="B4137" s="1832">
        <f>'Acct Summary 7-8'!D19</f>
        <v>2066889</v>
      </c>
      <c r="C4137" s="2" t="s">
        <v>569</v>
      </c>
      <c r="D4137" s="2" t="str">
        <f t="shared" si="63"/>
        <v>Error?</v>
      </c>
    </row>
    <row r="4138" spans="1:4" x14ac:dyDescent="0.2">
      <c r="A4138" s="5">
        <v>4077</v>
      </c>
      <c r="B4138" s="1832">
        <f>'Acct Summary 7-8'!E19</f>
        <v>5122755</v>
      </c>
      <c r="C4138" s="2" t="s">
        <v>569</v>
      </c>
      <c r="D4138" s="2" t="str">
        <f t="shared" si="63"/>
        <v>Error?</v>
      </c>
    </row>
    <row r="4139" spans="1:4" x14ac:dyDescent="0.2">
      <c r="A4139" s="5">
        <v>4078</v>
      </c>
      <c r="B4139" s="1832">
        <f>'Acct Summary 7-8'!F19</f>
        <v>1505495</v>
      </c>
      <c r="C4139" s="2" t="s">
        <v>569</v>
      </c>
      <c r="D4139" s="2" t="str">
        <f t="shared" si="63"/>
        <v>Error?</v>
      </c>
    </row>
    <row r="4140" spans="1:4" x14ac:dyDescent="0.2">
      <c r="A4140" s="5">
        <v>4079</v>
      </c>
      <c r="B4140" s="1832">
        <f>'Acct Summary 7-8'!G19</f>
        <v>800489</v>
      </c>
      <c r="C4140" s="2" t="s">
        <v>569</v>
      </c>
      <c r="D4140" s="2" t="str">
        <f t="shared" si="63"/>
        <v>Error?</v>
      </c>
    </row>
    <row r="4141" spans="1:4" x14ac:dyDescent="0.2">
      <c r="A4141" s="5">
        <v>4080</v>
      </c>
      <c r="B4141" s="1832">
        <f>'Acct Summary 7-8'!H19</f>
        <v>1404035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14325000</v>
      </c>
      <c r="C4171" s="2" t="s">
        <v>569</v>
      </c>
      <c r="D4171" s="2" t="str">
        <f t="shared" si="64"/>
        <v>Error?</v>
      </c>
    </row>
    <row r="4172" spans="1:4" x14ac:dyDescent="0.2">
      <c r="A4172" s="5">
        <v>4111</v>
      </c>
      <c r="B4172" s="1832">
        <f>'Short-Term Long-Term Debt 24'!J49</f>
        <v>14325000</v>
      </c>
      <c r="C4172" s="2" t="s">
        <v>569</v>
      </c>
      <c r="D4172" s="2" t="str">
        <f t="shared" si="64"/>
        <v>Error?</v>
      </c>
    </row>
    <row r="4173" spans="1:4" x14ac:dyDescent="0.2">
      <c r="A4173" s="5">
        <v>4112</v>
      </c>
      <c r="B4173" s="1832">
        <f>'Short-Term Long-Term Debt 24'!H49</f>
        <v>4625000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2743.5029999999997</v>
      </c>
      <c r="C4265" s="2" t="s">
        <v>569</v>
      </c>
      <c r="D4265" s="2" t="str">
        <f t="shared" si="65"/>
        <v>Error?</v>
      </c>
      <c r="E4265" s="125"/>
    </row>
    <row r="4266" spans="1:5" x14ac:dyDescent="0.2">
      <c r="A4266" s="12">
        <v>4205</v>
      </c>
      <c r="B4266" s="1832">
        <f>('FP Info 3'!F10)*100000</f>
        <v>311.32499999999999</v>
      </c>
      <c r="C4266" s="2" t="s">
        <v>569</v>
      </c>
      <c r="D4266" s="2" t="str">
        <f t="shared" si="65"/>
        <v>Error?</v>
      </c>
      <c r="E4266" s="125"/>
    </row>
    <row r="4267" spans="1:5" x14ac:dyDescent="0.2">
      <c r="A4267" s="12">
        <v>4206</v>
      </c>
      <c r="B4267" s="1832">
        <f>('FP Info 3'!H10)*100000</f>
        <v>161.209</v>
      </c>
      <c r="C4267" s="2" t="s">
        <v>569</v>
      </c>
      <c r="D4267" s="2" t="str">
        <f t="shared" si="65"/>
        <v>Error?</v>
      </c>
      <c r="E4267" s="125"/>
    </row>
    <row r="4268" spans="1:5" x14ac:dyDescent="0.2">
      <c r="A4268" s="12">
        <v>4207</v>
      </c>
      <c r="B4268" s="1832">
        <f>('FP Info 3'!J10)*100000</f>
        <v>3216</v>
      </c>
      <c r="C4268" s="2" t="s">
        <v>569</v>
      </c>
      <c r="D4268" s="2" t="str">
        <f t="shared" si="65"/>
        <v>Error?</v>
      </c>
    </row>
    <row r="4269" spans="1:5" x14ac:dyDescent="0.2">
      <c r="A4269" s="12">
        <v>4208</v>
      </c>
      <c r="B4269" s="1832">
        <f>'FP Info 3'!J16</f>
        <v>9319914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77977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81849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26528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65855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58870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670878565</v>
      </c>
      <c r="D4995" s="2" t="str">
        <f t="shared" si="77"/>
        <v>Error?</v>
      </c>
    </row>
    <row r="4996" spans="1:4" x14ac:dyDescent="0.2">
      <c r="A4996" s="12">
        <v>4935</v>
      </c>
      <c r="B4996" s="1832">
        <f>'FP Info 3'!H31</f>
        <v>46290620.985000007</v>
      </c>
      <c r="D4996" s="2" t="str">
        <f t="shared" si="77"/>
        <v>Error?</v>
      </c>
    </row>
    <row r="4997" spans="1:4" x14ac:dyDescent="0.2">
      <c r="A4997" s="12">
        <v>4936</v>
      </c>
      <c r="B4997" s="1832">
        <f>'FP Info 3'!H37</f>
        <v>14325000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800000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800000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18092464</v>
      </c>
      <c r="D5061" s="2" t="str">
        <f t="shared" si="78"/>
        <v>Error?</v>
      </c>
    </row>
    <row r="5062" spans="1:4" x14ac:dyDescent="0.2">
      <c r="A5062" s="10">
        <v>5001</v>
      </c>
      <c r="B5062" s="1832"/>
      <c r="D5062" s="2" t="str">
        <f t="shared" si="78"/>
        <v>OK</v>
      </c>
    </row>
    <row r="5063" spans="1:4" x14ac:dyDescent="0.2">
      <c r="A5063" s="5">
        <v>5002</v>
      </c>
      <c r="B5063" s="1832">
        <f>'Revenues 9-14'!C7</f>
        <v>269335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18361799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304266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304266</v>
      </c>
      <c r="C5071" s="2" t="s">
        <v>569</v>
      </c>
      <c r="D5071" s="2" t="str">
        <f t="shared" si="78"/>
        <v>Error?</v>
      </c>
    </row>
    <row r="5072" spans="1:4" x14ac:dyDescent="0.2">
      <c r="A5072" s="5">
        <v>5011</v>
      </c>
      <c r="B5072" s="1832">
        <f>'Revenues 9-14'!C20</f>
        <v>53111</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183685</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236796</v>
      </c>
      <c r="C5087" s="2" t="s">
        <v>569</v>
      </c>
      <c r="D5087" s="2" t="str">
        <f t="shared" si="78"/>
        <v>Error?</v>
      </c>
    </row>
    <row r="5088" spans="1:4" x14ac:dyDescent="0.2">
      <c r="A5088" s="5">
        <v>5027</v>
      </c>
      <c r="B5088" s="1832">
        <f>'Revenues 9-14'!C65</f>
        <v>292531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292531</v>
      </c>
      <c r="C5090" s="2" t="s">
        <v>569</v>
      </c>
      <c r="D5090" s="2" t="str">
        <f t="shared" si="78"/>
        <v>Error?</v>
      </c>
    </row>
    <row r="5091" spans="1:4" x14ac:dyDescent="0.2">
      <c r="A5091" s="5">
        <v>5030</v>
      </c>
      <c r="B5091" s="1832">
        <f>'Revenues 9-14'!C70</f>
        <v>5297</v>
      </c>
      <c r="D5091" s="2" t="str">
        <f t="shared" si="78"/>
        <v>Error?</v>
      </c>
    </row>
    <row r="5092" spans="1:4" x14ac:dyDescent="0.2">
      <c r="A5092" s="5">
        <v>5031</v>
      </c>
      <c r="B5092" s="1832">
        <f>'Revenues 9-14'!C71</f>
        <v>74224</v>
      </c>
      <c r="D5092" s="2" t="str">
        <f t="shared" si="78"/>
        <v>Error?</v>
      </c>
    </row>
    <row r="5093" spans="1:4" x14ac:dyDescent="0.2">
      <c r="A5093" s="5">
        <v>5032</v>
      </c>
      <c r="B5093" s="1832">
        <f>'Revenues 9-14'!C72</f>
        <v>7795</v>
      </c>
      <c r="D5093" s="2" t="str">
        <f t="shared" si="78"/>
        <v>Error?</v>
      </c>
    </row>
    <row r="5094" spans="1:4" x14ac:dyDescent="0.2">
      <c r="A5094" s="5">
        <v>5033</v>
      </c>
      <c r="B5094" s="1832">
        <f>'Revenues 9-14'!C73</f>
        <v>5925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330980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31547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11724</v>
      </c>
      <c r="D5101" s="2" t="str">
        <f t="shared" si="78"/>
        <v>Error?</v>
      </c>
    </row>
    <row r="5102" spans="1:4" x14ac:dyDescent="0.2">
      <c r="A5102" s="5">
        <v>5041</v>
      </c>
      <c r="B5102" s="1832">
        <f>'Revenues 9-14'!C82</f>
        <v>43271</v>
      </c>
      <c r="C5102" s="2" t="s">
        <v>569</v>
      </c>
      <c r="D5102" s="2" t="str">
        <f t="shared" si="78"/>
        <v>Error?</v>
      </c>
    </row>
    <row r="5103" spans="1:4" x14ac:dyDescent="0.2">
      <c r="A5103" s="5">
        <v>5042</v>
      </c>
      <c r="B5103" s="1832">
        <f>'Revenues 9-14'!C84</f>
        <v>343794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14840</v>
      </c>
      <c r="D5111" s="2" t="str">
        <f t="shared" si="78"/>
        <v>Error?</v>
      </c>
    </row>
    <row r="5112" spans="1:4" x14ac:dyDescent="0.2">
      <c r="A5112" s="5">
        <v>5051</v>
      </c>
      <c r="B5112" s="1832">
        <f>'Revenues 9-14'!C93</f>
        <v>358634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7610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57809</v>
      </c>
      <c r="D5119" s="2" t="str">
        <f t="shared" ref="D5119:D5182" si="79">IF(ISBLANK(B5119),"OK",IF(A5119-B5119=0,"OK","Error?"))</f>
        <v>Error?</v>
      </c>
    </row>
    <row r="5120" spans="1:4" x14ac:dyDescent="0.2">
      <c r="A5120" s="5">
        <v>5059</v>
      </c>
      <c r="B5120" s="1832">
        <f>'Revenues 9-14'!C108</f>
        <v>77825</v>
      </c>
      <c r="C5120" s="2" t="s">
        <v>569</v>
      </c>
      <c r="D5120" s="2" t="str">
        <f t="shared" si="79"/>
        <v>Error?</v>
      </c>
    </row>
    <row r="5121" spans="1:4" x14ac:dyDescent="0.2">
      <c r="A5121" s="5">
        <v>5060</v>
      </c>
      <c r="B5121" s="1832">
        <f>'Revenues 9-14'!C109</f>
        <v>20006102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2356469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2356469</v>
      </c>
      <c r="C5132" s="2" t="s">
        <v>569</v>
      </c>
      <c r="D5132" s="2" t="str">
        <f t="shared" si="79"/>
        <v>Error?</v>
      </c>
    </row>
    <row r="5133" spans="1:4" x14ac:dyDescent="0.2">
      <c r="A5133" s="5">
        <v>5072</v>
      </c>
      <c r="B5133" s="1832">
        <f>'Revenues 9-14'!C125</f>
        <v>177376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177376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2548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71840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251764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2608233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383325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383325</v>
      </c>
      <c r="C5246" s="2" t="s">
        <v>569</v>
      </c>
      <c r="D5246" s="2" t="str">
        <f t="shared" si="80"/>
        <v>Error?</v>
      </c>
    </row>
    <row r="5247" spans="1:4" x14ac:dyDescent="0.2">
      <c r="A5247" s="5">
        <v>5186</v>
      </c>
      <c r="B5247" s="1832">
        <f>'Revenues 9-14'!C200</f>
        <v>391297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26528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391297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54720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656632</v>
      </c>
      <c r="D5278" s="2" t="str">
        <f t="shared" si="81"/>
        <v>Error?</v>
      </c>
    </row>
    <row r="5279" spans="1:4" x14ac:dyDescent="0.2">
      <c r="A5279" s="5">
        <v>5218</v>
      </c>
      <c r="B5279" s="1832">
        <f>'Revenues 9-14'!C214</f>
        <v>101910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813262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38588</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1937551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1937551</v>
      </c>
      <c r="C5326" s="2" t="s">
        <v>569</v>
      </c>
      <c r="D5326" s="2" t="str">
        <f t="shared" si="82"/>
        <v>Error?</v>
      </c>
    </row>
    <row r="5327" spans="1:5" x14ac:dyDescent="0.2">
      <c r="A5327" s="5">
        <v>5266</v>
      </c>
      <c r="B5327" s="1832">
        <f>'Revenues 9-14'!C268</f>
        <v>24551886</v>
      </c>
      <c r="C5327" s="2" t="s">
        <v>569</v>
      </c>
      <c r="D5327" s="2" t="str">
        <f t="shared" si="82"/>
        <v>Error?</v>
      </c>
    </row>
    <row r="5328" spans="1:5" x14ac:dyDescent="0.2">
      <c r="A5328" s="5">
        <v>5267</v>
      </c>
      <c r="B5328" s="1832">
        <f>'Revenues 9-14'!D5</f>
        <v>1994357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1994357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241219</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38027</v>
      </c>
      <c r="D5354" s="2" t="str">
        <f t="shared" si="82"/>
        <v>Error?</v>
      </c>
    </row>
    <row r="5355" spans="1:4" x14ac:dyDescent="0.2">
      <c r="A5355" s="5">
        <v>5294</v>
      </c>
      <c r="B5355" s="1832">
        <f>'Revenues 9-14'!D108</f>
        <v>279246</v>
      </c>
      <c r="C5355" s="2" t="s">
        <v>569</v>
      </c>
      <c r="D5355" s="2" t="str">
        <f t="shared" si="82"/>
        <v>Error?</v>
      </c>
    </row>
    <row r="5356" spans="1:4" x14ac:dyDescent="0.2">
      <c r="A5356" s="5">
        <v>5295</v>
      </c>
      <c r="B5356" s="1832">
        <f>'Revenues 9-14'!D109</f>
        <v>2273603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2273603</v>
      </c>
      <c r="C5508" s="2" t="s">
        <v>569</v>
      </c>
      <c r="D5508" s="2" t="str">
        <f t="shared" si="85"/>
        <v>Error?</v>
      </c>
    </row>
    <row r="5509" spans="1:4" x14ac:dyDescent="0.2">
      <c r="A5509" s="5">
        <v>5448</v>
      </c>
      <c r="B5509" s="1832">
        <f>'Revenues 9-14'!E5</f>
        <v>2713591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2713591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26279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26279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2739870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2739870</v>
      </c>
      <c r="C5552" s="2" t="s">
        <v>569</v>
      </c>
      <c r="D5552" s="2" t="str">
        <f t="shared" si="85"/>
        <v>Error?</v>
      </c>
    </row>
    <row r="5553" spans="1:4" x14ac:dyDescent="0.2">
      <c r="A5553" s="5">
        <v>5492</v>
      </c>
      <c r="B5553" s="1832">
        <f>'Revenues 9-14'!F5</f>
        <v>1088800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1088800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4508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4508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1360</v>
      </c>
      <c r="D5586" s="2" t="str">
        <f t="shared" si="86"/>
        <v>Error?</v>
      </c>
    </row>
    <row r="5587" spans="1:4" x14ac:dyDescent="0.2">
      <c r="A5587" s="5">
        <v>5526</v>
      </c>
      <c r="B5587" s="1832">
        <f>'Revenues 9-14'!F108</f>
        <v>1360</v>
      </c>
      <c r="C5587" s="2" t="s">
        <v>569</v>
      </c>
      <c r="D5587" s="2" t="str">
        <f t="shared" si="86"/>
        <v>Error?</v>
      </c>
    </row>
    <row r="5588" spans="1:4" x14ac:dyDescent="0.2">
      <c r="A5588" s="5">
        <v>5527</v>
      </c>
      <c r="B5588" s="1832">
        <f>'Revenues 9-14'!F109</f>
        <v>1094668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127214</v>
      </c>
      <c r="D5615" s="2" t="str">
        <f t="shared" si="86"/>
        <v>Error?</v>
      </c>
    </row>
    <row r="5616" spans="1:4" x14ac:dyDescent="0.2">
      <c r="A5616" s="10">
        <v>5555</v>
      </c>
      <c r="B5616" s="1832"/>
      <c r="D5616" s="2" t="str">
        <f t="shared" si="86"/>
        <v>OK</v>
      </c>
    </row>
    <row r="5617" spans="1:5" x14ac:dyDescent="0.2">
      <c r="A5617" s="5">
        <v>5556</v>
      </c>
      <c r="B5617" s="1832">
        <f>'Revenues 9-14'!F153</f>
        <v>406112</v>
      </c>
      <c r="D5617" s="2" t="str">
        <f t="shared" si="86"/>
        <v>Error?</v>
      </c>
    </row>
    <row r="5618" spans="1:5" x14ac:dyDescent="0.2">
      <c r="A5618" s="5">
        <v>5557</v>
      </c>
      <c r="B5618" s="1832">
        <f>'Revenues 9-14'!F155</f>
        <v>533326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533326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533326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1627994</v>
      </c>
      <c r="C5720" s="2" t="s">
        <v>569</v>
      </c>
      <c r="D5720" s="2" t="str">
        <f t="shared" si="88"/>
        <v>Error?</v>
      </c>
    </row>
    <row r="5721" spans="1:4" x14ac:dyDescent="0.2">
      <c r="A5721" s="5">
        <v>5660</v>
      </c>
      <c r="B5721" s="1832">
        <f>'Revenues 9-14'!G5</f>
        <v>459323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476747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936070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19000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19000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955070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12773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1000000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1050000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1062773</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955070</v>
      </c>
      <c r="C6024" s="2" t="s">
        <v>569</v>
      </c>
      <c r="D6024" s="2" t="str">
        <f t="shared" si="93"/>
        <v>Error?</v>
      </c>
    </row>
    <row r="6025" spans="1:5" x14ac:dyDescent="0.2">
      <c r="A6025" s="5">
        <v>5964</v>
      </c>
      <c r="B6025" s="1832">
        <f>'Revenues 9-14'!H109</f>
        <v>12773</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237739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80443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2396.1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347499</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462170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133558</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438570</v>
      </c>
      <c r="D6113" s="2" t="str">
        <f t="shared" si="94"/>
        <v>Error?</v>
      </c>
      <c r="E6113" s="2" t="s">
        <v>189</v>
      </c>
    </row>
    <row r="6114" spans="1:5" x14ac:dyDescent="0.2">
      <c r="A6114">
        <v>6053</v>
      </c>
      <c r="B6114" s="1832">
        <f>'Assets-Liab 5-6'!D11</f>
        <v>25018</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482377</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347499</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785717</v>
      </c>
      <c r="D6133" s="2" t="str">
        <f t="shared" si="94"/>
        <v>Error?</v>
      </c>
      <c r="E6133" s="2" t="s">
        <v>189</v>
      </c>
    </row>
    <row r="6134" spans="1:5" x14ac:dyDescent="0.2">
      <c r="A6134">
        <v>6073</v>
      </c>
      <c r="B6134" s="1832">
        <f>'Assets-Liab 5-6'!D26</f>
        <v>91238</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3704</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414465</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-551675</v>
      </c>
      <c r="D6267" s="2" t="str">
        <f t="shared" si="96"/>
        <v>Error?</v>
      </c>
      <c r="E6267" s="2" t="s">
        <v>189</v>
      </c>
    </row>
    <row r="6268" spans="1:5" x14ac:dyDescent="0.2">
      <c r="A6268">
        <v>6207</v>
      </c>
      <c r="B6268" s="1832">
        <f>'Acct Summary 7-8'!D82</f>
        <v>206714</v>
      </c>
      <c r="D6268" s="2" t="str">
        <f t="shared" si="96"/>
        <v>Error?</v>
      </c>
      <c r="E6268" s="2" t="s">
        <v>189</v>
      </c>
    </row>
    <row r="6269" spans="1:5" x14ac:dyDescent="0.2">
      <c r="A6269">
        <v>6208</v>
      </c>
      <c r="B6269" s="1832">
        <f>'Acct Summary 7-8'!E82</f>
        <v>567115</v>
      </c>
      <c r="D6269" s="2" t="str">
        <f t="shared" si="96"/>
        <v>Error?</v>
      </c>
      <c r="E6269" s="2" t="s">
        <v>189</v>
      </c>
    </row>
    <row r="6270" spans="1:5" x14ac:dyDescent="0.2">
      <c r="A6270">
        <v>6209</v>
      </c>
      <c r="B6270" s="1832">
        <f>'Acct Summary 7-8'!F82</f>
        <v>-677501</v>
      </c>
      <c r="D6270" s="2" t="str">
        <f t="shared" si="96"/>
        <v>Error?</v>
      </c>
      <c r="E6270" s="2" t="s">
        <v>189</v>
      </c>
    </row>
    <row r="6271" spans="1:5" x14ac:dyDescent="0.2">
      <c r="A6271">
        <v>6210</v>
      </c>
      <c r="B6271" s="1832">
        <f>'Acct Summary 7-8'!G82</f>
        <v>154581</v>
      </c>
      <c r="D6271" s="2" t="str">
        <f t="shared" ref="D6271:D6334" si="97">IF(ISBLANK(B6271),"OK",IF(A6271-B6271=0,"OK","Error?"))</f>
        <v>Error?</v>
      </c>
      <c r="E6271" s="2" t="s">
        <v>189</v>
      </c>
    </row>
    <row r="6272" spans="1:5" x14ac:dyDescent="0.2">
      <c r="A6272">
        <v>6211</v>
      </c>
      <c r="B6272" s="1832">
        <f>'Acct Summary 7-8'!H82</f>
        <v>-341262</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-0.12043543848388991</v>
      </c>
      <c r="D6276" s="2" t="str">
        <f t="shared" si="97"/>
        <v>Error?</v>
      </c>
      <c r="E6276" s="2" t="s">
        <v>189</v>
      </c>
    </row>
    <row r="6277" spans="1:5" x14ac:dyDescent="0.2">
      <c r="A6277">
        <v>6216</v>
      </c>
      <c r="B6277" s="1832">
        <f>'Acct Summary 7-8'!D83</f>
        <v>7.5844070455727053E-2</v>
      </c>
      <c r="D6277" s="2" t="str">
        <f t="shared" si="97"/>
        <v>Error?</v>
      </c>
      <c r="E6277" s="2" t="s">
        <v>189</v>
      </c>
    </row>
    <row r="6278" spans="1:5" x14ac:dyDescent="0.2">
      <c r="A6278">
        <v>6217</v>
      </c>
      <c r="B6278" s="1832">
        <f>'Acct Summary 7-8'!E83</f>
        <v>0.58395509708987792</v>
      </c>
      <c r="D6278" s="2" t="str">
        <f t="shared" si="97"/>
        <v>Error?</v>
      </c>
      <c r="E6278" s="2" t="s">
        <v>189</v>
      </c>
    </row>
    <row r="6279" spans="1:5" x14ac:dyDescent="0.2">
      <c r="A6279">
        <v>6218</v>
      </c>
      <c r="B6279" s="1832">
        <f>'Acct Summary 7-8'!F83</f>
        <v>-0.42066828724616356</v>
      </c>
      <c r="D6279" s="2" t="str">
        <f t="shared" si="97"/>
        <v>Error?</v>
      </c>
      <c r="E6279" s="2" t="s">
        <v>189</v>
      </c>
    </row>
    <row r="6280" spans="1:5" x14ac:dyDescent="0.2">
      <c r="A6280">
        <v>6219</v>
      </c>
      <c r="B6280" s="1832">
        <f>'Acct Summary 7-8'!G83</f>
        <v>0.14280949864563741</v>
      </c>
      <c r="D6280" s="2" t="str">
        <f t="shared" si="97"/>
        <v>Error?</v>
      </c>
      <c r="E6280" s="2" t="s">
        <v>189</v>
      </c>
    </row>
    <row r="6281" spans="1:5" x14ac:dyDescent="0.2">
      <c r="A6281">
        <v>6220</v>
      </c>
      <c r="B6281" s="1832">
        <f>'Acct Summary 7-8'!H83</f>
        <v>0.44787155298675529</v>
      </c>
      <c r="D6281" s="2" t="str">
        <f t="shared" si="97"/>
        <v>Error?</v>
      </c>
      <c r="E6281" s="2" t="s">
        <v>189</v>
      </c>
    </row>
    <row r="6282" spans="1:5" x14ac:dyDescent="0.2">
      <c r="A6282">
        <v>6221</v>
      </c>
      <c r="B6282" s="1832">
        <f>'Acct Summary 7-8'!I83</f>
        <v>0</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2950000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12406</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12773</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344734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1049</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401097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13684</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694122</v>
      </c>
      <c r="D6880" s="2" t="str">
        <f t="shared" si="106"/>
        <v>Error?</v>
      </c>
    </row>
    <row r="6881" spans="1:4" x14ac:dyDescent="0.2">
      <c r="A6881">
        <v>6820</v>
      </c>
      <c r="B6881" s="1832">
        <f>'Expenditures 15-22'!K22</f>
        <v>694122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1049</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6445</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6445</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231501</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231501</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32402</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32402</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368508</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368508</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407355</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408404</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41307</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41307</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41307</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41307</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508</v>
      </c>
      <c r="D7075" s="2" t="str">
        <f t="shared" si="109"/>
        <v>Error?</v>
      </c>
    </row>
    <row r="7076" spans="1:4" x14ac:dyDescent="0.2">
      <c r="A7076">
        <v>7015</v>
      </c>
      <c r="B7076" s="1832">
        <f>'Expenditures 15-22'!K218</f>
        <v>508</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30214</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30214</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30214</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49994</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6369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2803</v>
      </c>
      <c r="D7251" s="2" t="str">
        <f t="shared" si="112"/>
        <v>Error?</v>
      </c>
    </row>
    <row r="7252" spans="1:4" x14ac:dyDescent="0.2">
      <c r="A7252">
        <f t="shared" si="113"/>
        <v>7191</v>
      </c>
      <c r="B7252" s="1832">
        <f>'Expenditures 15-22'!D9</f>
        <v>10881</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479925</v>
      </c>
      <c r="D7624" s="2" t="str">
        <f t="shared" si="124"/>
        <v>Error?</v>
      </c>
      <c r="E7624" s="2" t="s">
        <v>19</v>
      </c>
    </row>
    <row r="7625" spans="1:5" x14ac:dyDescent="0.2">
      <c r="A7625">
        <f t="shared" si="123"/>
        <v>7564</v>
      </c>
      <c r="B7625" s="1832">
        <f>'Cap Outlay Deprec 26'!I17</f>
        <v>47992.5</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1445906.5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2950000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269335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133995</v>
      </c>
      <c r="D7758" s="2" t="str">
        <f t="shared" si="127"/>
        <v>Error?</v>
      </c>
      <c r="E7758" s="4" t="s">
        <v>1322</v>
      </c>
    </row>
    <row r="7759" spans="1:6" x14ac:dyDescent="0.2">
      <c r="A7759">
        <v>7698</v>
      </c>
      <c r="B7759" s="1832">
        <f>'Aud Quest 2'!J88</f>
        <v>177461</v>
      </c>
      <c r="D7759" s="2" t="str">
        <f t="shared" si="127"/>
        <v>Error?</v>
      </c>
      <c r="E7759" s="4" t="s">
        <v>1322</v>
      </c>
    </row>
    <row r="7760" spans="1:6" x14ac:dyDescent="0.2">
      <c r="A7760">
        <v>7699</v>
      </c>
      <c r="B7760" s="1832">
        <f>'Aud Quest 2'!J90</f>
        <v>311456</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40175000</v>
      </c>
      <c r="D7817" s="2" t="str">
        <f t="shared" si="128"/>
        <v>Error?</v>
      </c>
      <c r="E7817" s="4" t="s">
        <v>1963</v>
      </c>
    </row>
    <row r="7818" spans="1:5" x14ac:dyDescent="0.2">
      <c r="A7818">
        <v>7757</v>
      </c>
      <c r="B7818" s="1832">
        <f>'PCTC-OEPP 27-28'!F172</f>
        <v>1157215.52</v>
      </c>
      <c r="D7818" s="2" t="str">
        <f t="shared" si="128"/>
        <v>Error?</v>
      </c>
      <c r="E7818" s="4" t="s">
        <v>1977</v>
      </c>
    </row>
    <row r="7819" spans="1:5" x14ac:dyDescent="0.2">
      <c r="A7819">
        <v>7758</v>
      </c>
      <c r="B7819" s="1832">
        <f>'PCTC-OEPP 27-28'!F173</f>
        <v>82526.81</v>
      </c>
      <c r="D7819" s="2" t="str">
        <f t="shared" si="128"/>
        <v>Error?</v>
      </c>
      <c r="E7819" s="4" t="s">
        <v>1977</v>
      </c>
    </row>
    <row r="7820" spans="1:5" x14ac:dyDescent="0.2">
      <c r="A7820">
        <v>7759</v>
      </c>
      <c r="B7820" s="1832">
        <f>'ICR Computation 30'!E40</f>
        <v>-4062111</v>
      </c>
      <c r="D7820" s="2" t="str">
        <f t="shared" si="128"/>
        <v>Error?</v>
      </c>
    </row>
    <row r="7821" spans="1:5" x14ac:dyDescent="0.2">
      <c r="A7821">
        <v>7760</v>
      </c>
      <c r="B7821" s="1832">
        <f>'ICR Computation 30'!G40</f>
        <v>-4062111</v>
      </c>
      <c r="D7821" s="2" t="str">
        <f t="shared" si="128"/>
        <v>Error?</v>
      </c>
    </row>
    <row r="7822" spans="1:5" x14ac:dyDescent="0.2">
      <c r="A7822" s="1">
        <v>7761</v>
      </c>
      <c r="B7822" s="1832">
        <f>'PCTC-OEPP 27-28'!F14</f>
        <v>32449189</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401097</v>
      </c>
      <c r="D7826" s="2" t="str">
        <f t="shared" si="129"/>
        <v>Error?</v>
      </c>
      <c r="E7826" s="4" t="s">
        <v>1995</v>
      </c>
    </row>
    <row r="7827" spans="1:5" x14ac:dyDescent="0.2">
      <c r="A7827">
        <v>7766</v>
      </c>
      <c r="B7827" s="1832">
        <f>'PCTC-OEPP 27-28'!F35</f>
        <v>13684</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108441</v>
      </c>
      <c r="D7830" s="2" t="str">
        <f t="shared" si="129"/>
        <v>Error?</v>
      </c>
      <c r="E7830" s="4" t="s">
        <v>1995</v>
      </c>
    </row>
    <row r="7831" spans="1:5" x14ac:dyDescent="0.2">
      <c r="A7831">
        <v>7770</v>
      </c>
      <c r="B7831" s="1832">
        <f>'PCTC-OEPP 27-28'!F52</f>
        <v>65101</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6805693</v>
      </c>
      <c r="D7834" s="2" t="str">
        <f t="shared" si="129"/>
        <v>Error?</v>
      </c>
      <c r="E7834" s="4" t="s">
        <v>1995</v>
      </c>
    </row>
    <row r="7835" spans="1:5" x14ac:dyDescent="0.2">
      <c r="A7835">
        <v>7774</v>
      </c>
      <c r="B7835" s="1832">
        <f>'PCTC-OEPP 27-28'!F78</f>
        <v>25643496</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10702.181044196821</v>
      </c>
      <c r="D7837" s="2" t="str">
        <f t="shared" si="129"/>
        <v>Error?</v>
      </c>
      <c r="E7837" s="4" t="s">
        <v>1995</v>
      </c>
    </row>
    <row r="7838" spans="1:5" x14ac:dyDescent="0.2">
      <c r="A7838">
        <v>7777</v>
      </c>
      <c r="B7838" s="1832">
        <f>'PCTC-OEPP 27-28'!F96</f>
        <v>43271</v>
      </c>
      <c r="D7838" s="2" t="str">
        <f t="shared" si="129"/>
        <v>Error?</v>
      </c>
      <c r="E7838" s="4" t="s">
        <v>1995</v>
      </c>
    </row>
    <row r="7839" spans="1:5" x14ac:dyDescent="0.2">
      <c r="A7839">
        <v>7778</v>
      </c>
      <c r="B7839" s="1832">
        <f>'PCTC-OEPP 27-28'!F102</f>
        <v>241219</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177376</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533326</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383325</v>
      </c>
      <c r="D7858" s="2" t="str">
        <f t="shared" si="129"/>
        <v>Error?</v>
      </c>
      <c r="E7858" s="4" t="s">
        <v>1995</v>
      </c>
    </row>
    <row r="7859" spans="1:5" x14ac:dyDescent="0.2">
      <c r="A7859">
        <v>7798</v>
      </c>
      <c r="B7859" s="1832">
        <f>'PCTC-OEPP 27-28'!F127</f>
        <v>391297</v>
      </c>
      <c r="D7859" s="2" t="str">
        <f t="shared" si="129"/>
        <v>Error?</v>
      </c>
      <c r="E7859" s="4" t="s">
        <v>1995</v>
      </c>
    </row>
    <row r="7860" spans="1:5" x14ac:dyDescent="0.2">
      <c r="A7860">
        <v>7799</v>
      </c>
      <c r="B7860" s="1832">
        <f>'PCTC-OEPP 27-28'!F128</f>
        <v>26528</v>
      </c>
      <c r="D7860" s="2" t="str">
        <f t="shared" si="129"/>
        <v>Error?</v>
      </c>
      <c r="E7860" s="4" t="s">
        <v>1995</v>
      </c>
    </row>
    <row r="7861" spans="1:5" x14ac:dyDescent="0.2">
      <c r="A7861">
        <v>7800</v>
      </c>
      <c r="B7861" s="1832">
        <f>'PCTC-OEPP 27-28'!F129</f>
        <v>656632</v>
      </c>
      <c r="D7861" s="2" t="str">
        <f t="shared" si="129"/>
        <v>Error?</v>
      </c>
      <c r="E7861" s="4" t="s">
        <v>1995</v>
      </c>
    </row>
    <row r="7862" spans="1:5" x14ac:dyDescent="0.2">
      <c r="A7862">
        <v>7801</v>
      </c>
      <c r="B7862" s="1832">
        <f>'PCTC-OEPP 27-28'!F130</f>
        <v>101910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38588</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65855</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77977</v>
      </c>
      <c r="D7874" s="2" t="str">
        <f t="shared" si="129"/>
        <v>Error?</v>
      </c>
      <c r="E7874" s="4" t="s">
        <v>1995</v>
      </c>
    </row>
    <row r="7875" spans="1:5" x14ac:dyDescent="0.2">
      <c r="A7875">
        <v>7814</v>
      </c>
      <c r="B7875" s="1832">
        <f>'PCTC-OEPP 27-28'!F170</f>
        <v>81849</v>
      </c>
      <c r="D7875" s="2" t="str">
        <f t="shared" si="129"/>
        <v>Error?</v>
      </c>
      <c r="E7875" s="4" t="s">
        <v>1995</v>
      </c>
    </row>
    <row r="7876" spans="1:5" x14ac:dyDescent="0.2">
      <c r="A7876">
        <v>7815</v>
      </c>
      <c r="B7876" s="1832">
        <f>'PCTC-OEPP 27-28'!F171</f>
        <v>58870</v>
      </c>
      <c r="D7876" s="2" t="str">
        <f t="shared" si="129"/>
        <v>Error?</v>
      </c>
      <c r="E7876" s="4" t="s">
        <v>1995</v>
      </c>
    </row>
    <row r="7877" spans="1:5" x14ac:dyDescent="0.2">
      <c r="A7877">
        <v>7816</v>
      </c>
      <c r="B7877" s="1832">
        <f>'PCTC-OEPP 27-28'!F175</f>
        <v>4809927.3299999991</v>
      </c>
      <c r="D7877" s="2" t="str">
        <f t="shared" si="129"/>
        <v>Error?</v>
      </c>
      <c r="E7877" s="4" t="s">
        <v>1995</v>
      </c>
    </row>
    <row r="7878" spans="1:5" x14ac:dyDescent="0.2">
      <c r="A7878">
        <v>7817</v>
      </c>
      <c r="B7878" s="1832">
        <f>'PCTC-OEPP 27-28'!F176</f>
        <v>20833568.670000002</v>
      </c>
      <c r="D7878" s="2" t="str">
        <f t="shared" si="129"/>
        <v>Error?</v>
      </c>
      <c r="E7878" s="4" t="s">
        <v>1995</v>
      </c>
    </row>
    <row r="7879" spans="1:5" x14ac:dyDescent="0.2">
      <c r="A7879">
        <v>7818</v>
      </c>
      <c r="B7879" s="1832">
        <f>'PCTC-OEPP 27-28'!F178</f>
        <v>22279475.170000002</v>
      </c>
      <c r="D7879" s="2" t="str">
        <f t="shared" si="129"/>
        <v>Error?</v>
      </c>
      <c r="E7879" s="4" t="s">
        <v>1995</v>
      </c>
    </row>
    <row r="7880" spans="1:5" x14ac:dyDescent="0.2">
      <c r="A7880">
        <v>7819</v>
      </c>
      <c r="B7880" s="1832">
        <f>'PCTC-OEPP 27-28'!F180</f>
        <v>9298.2242686031477</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1000000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election activeCell="B46" sqref="B4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3" t="s">
        <v>1181</v>
      </c>
      <c r="B2" s="2523"/>
      <c r="C2" s="2523"/>
      <c r="D2" s="2523"/>
      <c r="E2" s="2523"/>
      <c r="F2" s="2523"/>
      <c r="G2" s="2523"/>
      <c r="H2" s="2523"/>
      <c r="I2" s="2523"/>
      <c r="J2" s="2523"/>
      <c r="K2" s="2523"/>
      <c r="L2" s="2523"/>
    </row>
    <row r="3" spans="1:29" ht="13.5" customHeight="1" x14ac:dyDescent="0.2">
      <c r="A3" s="2555" t="s">
        <v>1180</v>
      </c>
      <c r="B3" s="2555"/>
      <c r="C3" s="2555"/>
      <c r="D3" s="2555"/>
      <c r="E3" s="2555"/>
      <c r="F3" s="2555"/>
      <c r="G3" s="2555"/>
      <c r="H3" s="2555"/>
      <c r="I3" s="2555"/>
      <c r="J3" s="2555"/>
      <c r="K3" s="2555"/>
      <c r="L3" s="2555"/>
    </row>
    <row r="4" spans="1:29" ht="13.5" customHeight="1" x14ac:dyDescent="0.2">
      <c r="A4" s="2544" t="str">
        <f>"Year Ending June 30, "&amp;'AFR20'!E2</f>
        <v>Year Ending June 30, 2020</v>
      </c>
      <c r="B4" s="2545"/>
      <c r="C4" s="2545"/>
      <c r="D4" s="2545"/>
      <c r="E4" s="2545"/>
      <c r="F4" s="2545"/>
      <c r="G4" s="2545"/>
      <c r="H4" s="2545"/>
      <c r="I4" s="2545"/>
      <c r="J4" s="2545"/>
      <c r="K4" s="2545"/>
      <c r="L4" s="254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6" t="str">
        <f>COVER!A17</f>
        <v>Cary CCSD 26</v>
      </c>
      <c r="B7" s="2547"/>
      <c r="C7" s="2547"/>
      <c r="D7" s="2548"/>
      <c r="E7" s="2549">
        <f>COVER!A13</f>
        <v>44063026004</v>
      </c>
      <c r="F7" s="2550"/>
      <c r="G7" s="2556" t="str">
        <f>COVER!T23</f>
        <v>065-037815</v>
      </c>
      <c r="H7" s="2557"/>
      <c r="I7" s="2557"/>
      <c r="J7" s="2557"/>
      <c r="K7" s="2557"/>
      <c r="L7" s="255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9"/>
      <c r="B9" s="2560"/>
      <c r="C9" s="2560"/>
      <c r="D9" s="2560"/>
      <c r="E9" s="2560"/>
      <c r="F9" s="2561"/>
      <c r="G9" s="2529" t="str">
        <f>COVER!T13</f>
        <v>Lauterbach &amp; Amen, LLP</v>
      </c>
      <c r="H9" s="2562"/>
      <c r="I9" s="2562"/>
      <c r="J9" s="2562"/>
      <c r="K9" s="2562"/>
      <c r="L9" s="2563"/>
    </row>
    <row r="10" spans="1:29" ht="13.5" customHeight="1" x14ac:dyDescent="0.2">
      <c r="A10" s="2535" t="str">
        <f>COVER!A38</f>
        <v>Brian Coleman</v>
      </c>
      <c r="B10" s="2536"/>
      <c r="C10" s="2536"/>
      <c r="D10" s="2536"/>
      <c r="E10" s="2536"/>
      <c r="F10" s="2537"/>
      <c r="G10" s="2529" t="str">
        <f>COVER!T17</f>
        <v>668 N. River Road</v>
      </c>
      <c r="H10" s="2530"/>
      <c r="I10" s="2530"/>
      <c r="J10" s="2530"/>
      <c r="K10" s="2530"/>
      <c r="L10" s="2531"/>
    </row>
    <row r="11" spans="1:29" ht="13.5" customHeight="1" x14ac:dyDescent="0.2">
      <c r="A11" s="963" t="s">
        <v>1502</v>
      </c>
      <c r="B11" s="964"/>
      <c r="C11" s="965"/>
      <c r="D11" s="970"/>
      <c r="E11" s="965"/>
      <c r="F11" s="969"/>
      <c r="G11" s="2529" t="str">
        <f>COVER!T19</f>
        <v>Naperville</v>
      </c>
      <c r="H11" s="2530"/>
      <c r="I11" s="2530"/>
      <c r="J11" s="2530"/>
      <c r="K11" s="2530"/>
      <c r="L11" s="2531"/>
    </row>
    <row r="12" spans="1:29" ht="13.5" customHeight="1" x14ac:dyDescent="0.2">
      <c r="A12" s="2538" t="s">
        <v>1501</v>
      </c>
      <c r="B12" s="2539"/>
      <c r="C12" s="2539"/>
      <c r="D12" s="2539"/>
      <c r="E12" s="2539"/>
      <c r="F12" s="2540"/>
      <c r="G12" s="2532"/>
      <c r="H12" s="2533"/>
      <c r="I12" s="2533"/>
      <c r="J12" s="2533"/>
      <c r="K12" s="2533"/>
      <c r="L12" s="2534"/>
    </row>
    <row r="13" spans="1:29" ht="13.5" customHeight="1" x14ac:dyDescent="0.2">
      <c r="A13" s="2529"/>
      <c r="B13" s="2530"/>
      <c r="C13" s="2530"/>
      <c r="D13" s="2530"/>
      <c r="E13" s="2530"/>
      <c r="F13" s="2531"/>
      <c r="G13" s="2524" t="s">
        <v>1503</v>
      </c>
      <c r="H13" s="2525"/>
      <c r="I13" s="2541" t="str">
        <f>COVER!T25</f>
        <v>dshaw@lauterbachamen.com</v>
      </c>
      <c r="J13" s="2542"/>
      <c r="K13" s="2542"/>
      <c r="L13" s="2543"/>
    </row>
    <row r="14" spans="1:29" ht="13.5" customHeight="1" x14ac:dyDescent="0.2">
      <c r="A14" s="2529" t="str">
        <f>COVER!A19</f>
        <v xml:space="preserve">2155 Crystal Lake Road       </v>
      </c>
      <c r="B14" s="2530"/>
      <c r="C14" s="2530"/>
      <c r="D14" s="2530"/>
      <c r="E14" s="2530"/>
      <c r="F14" s="2531"/>
      <c r="G14" s="974" t="s">
        <v>1175</v>
      </c>
      <c r="H14" s="972"/>
      <c r="I14" s="972"/>
      <c r="J14" s="972"/>
      <c r="K14" s="972"/>
      <c r="L14" s="973"/>
    </row>
    <row r="15" spans="1:29" ht="13.5" customHeight="1" x14ac:dyDescent="0.2">
      <c r="A15" s="2529" t="str">
        <f>COVER!A21</f>
        <v xml:space="preserve">Cary       </v>
      </c>
      <c r="B15" s="2530"/>
      <c r="C15" s="2530"/>
      <c r="D15" s="2530"/>
      <c r="E15" s="2530"/>
      <c r="F15" s="2531"/>
      <c r="G15" s="2526" t="str">
        <f>COVER!T15</f>
        <v>Don Shaw</v>
      </c>
      <c r="H15" s="2527"/>
      <c r="I15" s="2527"/>
      <c r="J15" s="2527"/>
      <c r="K15" s="2527"/>
      <c r="L15" s="2528"/>
    </row>
    <row r="16" spans="1:29" ht="12.2" customHeight="1" x14ac:dyDescent="0.2">
      <c r="A16" s="2552">
        <f>COVER!A25</f>
        <v>60013</v>
      </c>
      <c r="B16" s="2553"/>
      <c r="C16" s="2553"/>
      <c r="D16" s="2553"/>
      <c r="E16" s="2553"/>
      <c r="F16" s="2554"/>
      <c r="G16" s="2564"/>
      <c r="H16" s="2565"/>
      <c r="I16" s="2565"/>
      <c r="J16" s="2565"/>
      <c r="K16" s="2565"/>
      <c r="L16" s="2566"/>
    </row>
    <row r="17" spans="1:13" ht="12.2" customHeight="1" x14ac:dyDescent="0.2">
      <c r="A17" s="2567"/>
      <c r="B17" s="2553"/>
      <c r="C17" s="2553"/>
      <c r="D17" s="2553"/>
      <c r="E17" s="2553"/>
      <c r="F17" s="2554"/>
      <c r="G17" s="974" t="s">
        <v>1174</v>
      </c>
      <c r="H17" s="972"/>
      <c r="I17" s="972"/>
      <c r="J17" s="972"/>
      <c r="K17" s="976" t="s">
        <v>1173</v>
      </c>
      <c r="L17" s="969"/>
      <c r="M17" s="962"/>
    </row>
    <row r="18" spans="1:13" ht="12.2" customHeight="1" x14ac:dyDescent="0.2">
      <c r="A18" s="2535"/>
      <c r="B18" s="2536"/>
      <c r="C18" s="2536"/>
      <c r="D18" s="2536"/>
      <c r="E18" s="2536"/>
      <c r="F18" s="2537"/>
      <c r="G18" s="2546">
        <f>COVER!T21</f>
        <v>6303931483</v>
      </c>
      <c r="H18" s="2547"/>
      <c r="I18" s="2547"/>
      <c r="J18" s="2547"/>
      <c r="K18" s="2546">
        <f>COVER!X21</f>
        <v>6303932516</v>
      </c>
      <c r="L18" s="255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t="s">
        <v>2048</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8" zoomScale="125" zoomScaleNormal="125" workbookViewId="0">
      <selection activeCell="B127" sqref="B12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8" t="str">
        <f>'Single Audit Cover'!A7</f>
        <v>Cary CCSD 26</v>
      </c>
      <c r="B1" s="2569"/>
      <c r="C1" s="2569"/>
      <c r="D1" s="2569"/>
    </row>
    <row r="2" spans="1:11" s="991" customFormat="1" ht="12.75" x14ac:dyDescent="0.2">
      <c r="A2" s="2570">
        <f>'Single Audit Cover'!E7</f>
        <v>44063026004</v>
      </c>
      <c r="B2" s="2571"/>
      <c r="C2" s="2571"/>
      <c r="D2" s="2571"/>
    </row>
    <row r="3" spans="1:11" s="991" customFormat="1" ht="12.75" x14ac:dyDescent="0.2">
      <c r="A3" s="2568" t="s">
        <v>1496</v>
      </c>
      <c r="B3" s="2569"/>
      <c r="C3" s="2569"/>
      <c r="D3" s="256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2069</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2069</v>
      </c>
      <c r="C42" s="1008">
        <v>11</v>
      </c>
      <c r="D42" s="1019" t="s">
        <v>1557</v>
      </c>
      <c r="E42" s="290"/>
    </row>
    <row r="43" spans="1:5" ht="3" customHeight="1" x14ac:dyDescent="0.2">
      <c r="A43" s="998"/>
      <c r="B43" s="1015"/>
      <c r="C43" s="1016"/>
      <c r="D43" s="997"/>
    </row>
    <row r="44" spans="1:5" x14ac:dyDescent="0.2">
      <c r="A44" s="998"/>
      <c r="B44" s="1001" t="s">
        <v>2048</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2048</v>
      </c>
      <c r="C48" s="1002">
        <f>C44+1</f>
        <v>13</v>
      </c>
      <c r="D48" s="1013" t="s">
        <v>1558</v>
      </c>
    </row>
    <row r="49" spans="1:4" ht="3" customHeight="1" x14ac:dyDescent="0.2">
      <c r="A49" s="998"/>
      <c r="B49" s="1005"/>
      <c r="C49" s="1002"/>
      <c r="D49" s="1013"/>
    </row>
    <row r="50" spans="1:4" x14ac:dyDescent="0.2">
      <c r="A50" s="998"/>
      <c r="B50" s="1001" t="s">
        <v>2048</v>
      </c>
      <c r="C50" s="1002">
        <f>C48+1</f>
        <v>14</v>
      </c>
      <c r="D50" s="1013" t="s">
        <v>1202</v>
      </c>
    </row>
    <row r="51" spans="1:4" ht="3" customHeight="1" x14ac:dyDescent="0.2">
      <c r="A51" s="998"/>
      <c r="B51" s="1005"/>
      <c r="C51" s="1002"/>
      <c r="D51" s="1013"/>
    </row>
    <row r="52" spans="1:4" x14ac:dyDescent="0.2">
      <c r="A52" s="998"/>
      <c r="B52" s="1001" t="s">
        <v>2048</v>
      </c>
      <c r="C52" s="1002">
        <f>C50+1</f>
        <v>15</v>
      </c>
      <c r="D52" s="1013" t="s">
        <v>1201</v>
      </c>
    </row>
    <row r="53" spans="1:4" ht="3" customHeight="1" x14ac:dyDescent="0.2">
      <c r="A53" s="998"/>
      <c r="B53" s="1005"/>
      <c r="C53" s="1002"/>
      <c r="D53" s="1013"/>
    </row>
    <row r="54" spans="1:4" x14ac:dyDescent="0.2">
      <c r="A54" s="998"/>
      <c r="B54" s="1001" t="s">
        <v>2069</v>
      </c>
      <c r="C54" s="1002">
        <f>C52+1</f>
        <v>16</v>
      </c>
      <c r="D54" s="1013" t="s">
        <v>1200</v>
      </c>
    </row>
    <row r="55" spans="1:4" ht="3" customHeight="1" x14ac:dyDescent="0.2">
      <c r="A55" s="998"/>
      <c r="B55" s="1005"/>
      <c r="C55" s="1002"/>
      <c r="D55" s="1013"/>
    </row>
    <row r="56" spans="1:4" x14ac:dyDescent="0.2">
      <c r="A56" s="998"/>
      <c r="B56" s="1001" t="s">
        <v>2048</v>
      </c>
      <c r="C56" s="1002">
        <f>C54+1</f>
        <v>17</v>
      </c>
      <c r="D56" s="997" t="s">
        <v>1686</v>
      </c>
    </row>
    <row r="57" spans="1:4" ht="10.5" customHeight="1" x14ac:dyDescent="0.2">
      <c r="A57" s="998"/>
      <c r="D57" s="1013" t="s">
        <v>1687</v>
      </c>
    </row>
    <row r="58" spans="1:4" x14ac:dyDescent="0.2">
      <c r="A58" s="998"/>
      <c r="C58" s="1020" t="s">
        <v>2048</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2069</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2048</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2069</v>
      </c>
      <c r="D69" s="1013" t="s">
        <v>1691</v>
      </c>
    </row>
    <row r="70" spans="1:4" x14ac:dyDescent="0.2">
      <c r="A70" s="998"/>
      <c r="D70" s="1022" t="s">
        <v>1196</v>
      </c>
    </row>
    <row r="71" spans="1:4" ht="3" customHeight="1" x14ac:dyDescent="0.2">
      <c r="A71" s="998"/>
      <c r="D71" s="997"/>
    </row>
    <row r="72" spans="1:4" x14ac:dyDescent="0.2">
      <c r="A72" s="998"/>
      <c r="B72" s="1001" t="s">
        <v>2048</v>
      </c>
      <c r="C72" s="1002">
        <f>C56+1</f>
        <v>18</v>
      </c>
      <c r="D72" s="1023" t="s">
        <v>1692</v>
      </c>
    </row>
    <row r="73" spans="1:4" ht="3" customHeight="1" x14ac:dyDescent="0.2">
      <c r="A73" s="998"/>
      <c r="B73" s="1005"/>
      <c r="C73" s="1002"/>
      <c r="D73" s="1023"/>
    </row>
    <row r="74" spans="1:4" x14ac:dyDescent="0.2">
      <c r="A74" s="998"/>
      <c r="B74" s="1001" t="s">
        <v>2048</v>
      </c>
      <c r="C74" s="1002">
        <f>C72+1</f>
        <v>19</v>
      </c>
      <c r="D74" s="1013" t="s">
        <v>1195</v>
      </c>
    </row>
    <row r="75" spans="1:4" ht="3" customHeight="1" x14ac:dyDescent="0.2">
      <c r="A75" s="998"/>
      <c r="B75" s="1005"/>
      <c r="C75" s="1002"/>
      <c r="D75" s="1013"/>
    </row>
    <row r="76" spans="1:4" x14ac:dyDescent="0.2">
      <c r="A76" s="998"/>
      <c r="B76" s="1001" t="s">
        <v>2048</v>
      </c>
      <c r="C76" s="1002">
        <f>C74+1</f>
        <v>20</v>
      </c>
      <c r="D76" s="1024" t="s">
        <v>1693</v>
      </c>
    </row>
    <row r="77" spans="1:4" ht="3" customHeight="1" x14ac:dyDescent="0.2">
      <c r="A77" s="998"/>
      <c r="B77" s="1005"/>
      <c r="C77" s="1002"/>
      <c r="D77" s="1024"/>
    </row>
    <row r="78" spans="1:4" x14ac:dyDescent="0.2">
      <c r="A78" s="998"/>
      <c r="B78" s="1001" t="s">
        <v>2048</v>
      </c>
      <c r="C78" s="1002">
        <f>C76+1</f>
        <v>21</v>
      </c>
      <c r="D78" s="997" t="s">
        <v>1694</v>
      </c>
    </row>
    <row r="79" spans="1:4" ht="3" customHeight="1" x14ac:dyDescent="0.2">
      <c r="A79" s="998"/>
      <c r="B79" s="1005"/>
      <c r="C79" s="1002"/>
      <c r="D79" s="997"/>
    </row>
    <row r="80" spans="1:4" x14ac:dyDescent="0.2">
      <c r="A80" s="998"/>
      <c r="B80" s="1001" t="s">
        <v>2048</v>
      </c>
      <c r="C80" s="1002">
        <f>C78+1</f>
        <v>22</v>
      </c>
      <c r="D80" s="1025" t="s">
        <v>1695</v>
      </c>
    </row>
    <row r="81" spans="1:4" ht="3" customHeight="1" x14ac:dyDescent="0.2">
      <c r="A81" s="998"/>
      <c r="B81" s="1005"/>
      <c r="C81" s="1002"/>
      <c r="D81" s="1025"/>
    </row>
    <row r="82" spans="1:4" x14ac:dyDescent="0.2">
      <c r="A82" s="998"/>
      <c r="B82" s="1001" t="s">
        <v>2048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2048</v>
      </c>
      <c r="C85" s="1002">
        <f>C82+1</f>
        <v>24</v>
      </c>
      <c r="D85" s="1013" t="s">
        <v>1193</v>
      </c>
    </row>
    <row r="86" spans="1:4" ht="3" customHeight="1" x14ac:dyDescent="0.2">
      <c r="A86" s="998"/>
      <c r="B86" s="1005"/>
      <c r="C86" s="1002"/>
      <c r="D86" s="1013"/>
    </row>
    <row r="87" spans="1:4" x14ac:dyDescent="0.2">
      <c r="A87" s="998"/>
      <c r="B87" s="1001" t="s">
        <v>2048</v>
      </c>
      <c r="C87" s="1002">
        <f>C85+1</f>
        <v>25</v>
      </c>
      <c r="D87" s="1013" t="s">
        <v>1192</v>
      </c>
    </row>
    <row r="88" spans="1:4" ht="3" customHeight="1" x14ac:dyDescent="0.2">
      <c r="A88" s="998"/>
      <c r="B88" s="1005"/>
      <c r="C88" s="1002"/>
      <c r="D88" s="1013"/>
    </row>
    <row r="89" spans="1:4" x14ac:dyDescent="0.2">
      <c r="A89" s="998"/>
      <c r="B89" s="1001" t="s">
        <v>2048</v>
      </c>
      <c r="C89" s="1002">
        <f>C87+1</f>
        <v>26</v>
      </c>
      <c r="D89" s="1013" t="s">
        <v>1191</v>
      </c>
    </row>
    <row r="90" spans="1:4" ht="3" customHeight="1" x14ac:dyDescent="0.2">
      <c r="A90" s="998"/>
      <c r="B90" s="1005"/>
      <c r="C90" s="1002"/>
      <c r="D90" s="1013"/>
    </row>
    <row r="91" spans="1:4" x14ac:dyDescent="0.2">
      <c r="A91" s="998"/>
      <c r="B91" s="1001" t="s">
        <v>2069</v>
      </c>
      <c r="C91" s="1002">
        <f>C89+1</f>
        <v>27</v>
      </c>
      <c r="D91" s="1013" t="s">
        <v>1697</v>
      </c>
    </row>
    <row r="92" spans="1:4" x14ac:dyDescent="0.2">
      <c r="A92" s="998"/>
      <c r="B92" s="1026"/>
      <c r="C92" s="1020" t="s">
        <v>2069</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2048</v>
      </c>
      <c r="C96" s="1002">
        <f>C91+1</f>
        <v>28</v>
      </c>
      <c r="D96" s="1013" t="s">
        <v>1698</v>
      </c>
    </row>
    <row r="97" spans="1:4" ht="3" customHeight="1" x14ac:dyDescent="0.2">
      <c r="A97" s="998"/>
      <c r="B97" s="1005"/>
      <c r="C97" s="1002"/>
      <c r="D97" s="1013"/>
    </row>
    <row r="98" spans="1:4" x14ac:dyDescent="0.2">
      <c r="A98" s="998"/>
      <c r="B98" s="1001" t="s">
        <v>2048</v>
      </c>
      <c r="C98" s="1002">
        <f>C96+1</f>
        <v>29</v>
      </c>
      <c r="D98" s="1027" t="s">
        <v>1699</v>
      </c>
    </row>
    <row r="99" spans="1:4" ht="3" customHeight="1" x14ac:dyDescent="0.2">
      <c r="A99" s="998"/>
      <c r="B99" s="1005"/>
      <c r="C99" s="1002"/>
      <c r="D99" s="1027"/>
    </row>
    <row r="100" spans="1:4" x14ac:dyDescent="0.2">
      <c r="A100" s="998"/>
      <c r="B100" s="1001" t="s">
        <v>2048</v>
      </c>
      <c r="C100" s="1002">
        <f>C98+1</f>
        <v>30</v>
      </c>
      <c r="D100" s="1013" t="s">
        <v>1700</v>
      </c>
    </row>
    <row r="101" spans="1:4" ht="3" customHeight="1" x14ac:dyDescent="0.2">
      <c r="A101" s="998"/>
      <c r="B101" s="1005"/>
      <c r="C101" s="1002"/>
      <c r="D101" s="1028"/>
    </row>
    <row r="102" spans="1:4" x14ac:dyDescent="0.2">
      <c r="A102" s="998"/>
      <c r="B102" s="1001" t="s">
        <v>2048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2069</v>
      </c>
      <c r="C106" s="1002">
        <f>C102+1</f>
        <v>32</v>
      </c>
      <c r="D106" s="997" t="s">
        <v>1563</v>
      </c>
    </row>
    <row r="107" spans="1:4" ht="3" customHeight="1" x14ac:dyDescent="0.2">
      <c r="A107" s="998"/>
      <c r="B107" s="1005"/>
      <c r="C107" s="1002"/>
      <c r="D107" s="997"/>
    </row>
    <row r="108" spans="1:4" x14ac:dyDescent="0.2">
      <c r="A108" s="998"/>
      <c r="B108" s="1001" t="s">
        <v>2069</v>
      </c>
      <c r="C108" s="1002">
        <v>33</v>
      </c>
      <c r="D108" s="997" t="s">
        <v>1701</v>
      </c>
    </row>
    <row r="109" spans="1:4" ht="3" customHeight="1" x14ac:dyDescent="0.2">
      <c r="A109" s="998"/>
      <c r="B109" s="1005"/>
      <c r="C109" s="1002"/>
      <c r="D109" s="997"/>
    </row>
    <row r="110" spans="1:4" x14ac:dyDescent="0.2">
      <c r="A110" s="998"/>
      <c r="B110" s="1001" t="s">
        <v>2069</v>
      </c>
      <c r="C110" s="1002">
        <f>C108+1</f>
        <v>34</v>
      </c>
      <c r="D110" s="997" t="s">
        <v>1188</v>
      </c>
    </row>
    <row r="111" spans="1:4" ht="3" customHeight="1" x14ac:dyDescent="0.2">
      <c r="A111" s="998"/>
      <c r="B111" s="1005"/>
      <c r="C111" s="1002"/>
      <c r="D111" s="997"/>
    </row>
    <row r="112" spans="1:4" x14ac:dyDescent="0.2">
      <c r="A112" s="998"/>
      <c r="B112" s="1001" t="s">
        <v>2069</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2069</v>
      </c>
      <c r="C115" s="1002">
        <f>C112+1</f>
        <v>36</v>
      </c>
      <c r="D115" s="1013" t="s">
        <v>1185</v>
      </c>
    </row>
    <row r="116" spans="1:4" ht="3" customHeight="1" x14ac:dyDescent="0.2">
      <c r="A116" s="998"/>
      <c r="B116" s="1005"/>
      <c r="C116" s="1002"/>
      <c r="D116" s="1013"/>
    </row>
    <row r="117" spans="1:4" x14ac:dyDescent="0.2">
      <c r="A117" s="998"/>
      <c r="B117" s="1001" t="s">
        <v>2069</v>
      </c>
      <c r="C117" s="1002">
        <f>C115+1</f>
        <v>37</v>
      </c>
      <c r="D117" s="1013" t="s">
        <v>1702</v>
      </c>
    </row>
    <row r="118" spans="1:4" ht="3" customHeight="1" x14ac:dyDescent="0.2">
      <c r="A118" s="998"/>
      <c r="B118" s="1005"/>
      <c r="C118" s="1002"/>
      <c r="D118" s="1013"/>
    </row>
    <row r="119" spans="1:4" x14ac:dyDescent="0.2">
      <c r="A119" s="998"/>
      <c r="B119" s="1001" t="s">
        <v>2069</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2069</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32" sqref="G3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3" t="str">
        <f>'Single Audit Cover'!A7</f>
        <v>Cary CCSD 26</v>
      </c>
      <c r="B1" s="2573"/>
      <c r="C1" s="2573"/>
      <c r="D1" s="2573"/>
      <c r="E1" s="2573"/>
    </row>
    <row r="2" spans="1:5" x14ac:dyDescent="0.2">
      <c r="A2" s="2574">
        <f>'Single Audit Cover'!E7</f>
        <v>44063026004</v>
      </c>
      <c r="B2" s="2574"/>
      <c r="C2" s="2574"/>
      <c r="D2" s="2574"/>
      <c r="E2" s="2574"/>
    </row>
    <row r="3" spans="1:5" ht="4.5" customHeight="1" x14ac:dyDescent="0.2"/>
    <row r="4" spans="1:5" x14ac:dyDescent="0.2">
      <c r="A4" s="2573" t="s">
        <v>1234</v>
      </c>
      <c r="B4" s="2573"/>
      <c r="C4" s="2573"/>
      <c r="D4" s="2573"/>
      <c r="E4" s="2573"/>
    </row>
    <row r="5" spans="1:5" x14ac:dyDescent="0.2">
      <c r="A5" s="2576" t="str">
        <f>'Single Audit Cover'!A4</f>
        <v>Year Ending June 30, 2020</v>
      </c>
      <c r="B5" s="2576"/>
      <c r="C5" s="2576"/>
      <c r="D5" s="2576"/>
      <c r="E5" s="2576"/>
    </row>
    <row r="6" spans="1:5" x14ac:dyDescent="0.2">
      <c r="A6" s="2573" t="s">
        <v>1233</v>
      </c>
      <c r="B6" s="2573"/>
      <c r="C6" s="2573"/>
      <c r="D6" s="2573"/>
      <c r="E6" s="2573"/>
    </row>
    <row r="8" spans="1:5" x14ac:dyDescent="0.2">
      <c r="A8" s="1036" t="s">
        <v>1232</v>
      </c>
    </row>
    <row r="10" spans="1:5" x14ac:dyDescent="0.2">
      <c r="A10" s="1037" t="s">
        <v>1231</v>
      </c>
      <c r="B10" s="1038" t="s">
        <v>1230</v>
      </c>
      <c r="C10" s="1038"/>
      <c r="D10" s="1039">
        <f>SUM('Acct Summary 7-8'!C7:K7)</f>
        <v>1937551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80443</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-81849</v>
      </c>
    </row>
    <row r="19" spans="1:4" ht="13.5" thickBot="1" x14ac:dyDescent="0.25">
      <c r="A19" s="1041" t="s">
        <v>1224</v>
      </c>
      <c r="D19" s="1042">
        <f>SUM(D10:D17)</f>
        <v>1936145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5"/>
      <c r="B24" s="2575"/>
      <c r="D24" s="1044"/>
    </row>
    <row r="25" spans="1:4" x14ac:dyDescent="0.2">
      <c r="A25" s="2572"/>
      <c r="B25" s="2572"/>
      <c r="D25" s="1044"/>
    </row>
    <row r="26" spans="1:4" x14ac:dyDescent="0.2">
      <c r="A26" s="2572"/>
      <c r="B26" s="2572"/>
      <c r="D26" s="1044"/>
    </row>
    <row r="27" spans="1:4" x14ac:dyDescent="0.2">
      <c r="A27" s="2572"/>
      <c r="B27" s="2572"/>
      <c r="D27" s="1044"/>
    </row>
    <row r="28" spans="1:4" x14ac:dyDescent="0.2">
      <c r="A28" s="2572"/>
      <c r="B28" s="2572"/>
      <c r="D28" s="1044"/>
    </row>
    <row r="29" spans="1:4" x14ac:dyDescent="0.2">
      <c r="A29" s="2572"/>
      <c r="B29" s="2572"/>
      <c r="D29" s="1044"/>
    </row>
    <row r="30" spans="1:4" x14ac:dyDescent="0.2">
      <c r="A30" s="2572"/>
      <c r="B30" s="2572"/>
      <c r="D30" s="1044"/>
    </row>
    <row r="32" spans="1:4" x14ac:dyDescent="0.2">
      <c r="A32" s="1036" t="s">
        <v>1222</v>
      </c>
      <c r="D32" s="1039">
        <f>SUM(D19:D30)</f>
        <v>1936145</v>
      </c>
    </row>
    <row r="33" spans="1:4" x14ac:dyDescent="0.2">
      <c r="D33" s="1045"/>
    </row>
    <row r="34" spans="1:4" x14ac:dyDescent="0.2">
      <c r="A34" s="295" t="s">
        <v>1221</v>
      </c>
    </row>
    <row r="35" spans="1:4" x14ac:dyDescent="0.2">
      <c r="A35" s="295" t="s">
        <v>1220</v>
      </c>
      <c r="B35" s="1034" t="s">
        <v>1219</v>
      </c>
      <c r="D35" s="1046">
        <f>' SEFA'!F55</f>
        <v>1936145</v>
      </c>
    </row>
    <row r="37" spans="1:4" x14ac:dyDescent="0.2">
      <c r="A37" s="1036" t="s">
        <v>1218</v>
      </c>
    </row>
    <row r="39" spans="1:4" ht="13.35" customHeight="1" x14ac:dyDescent="0.2">
      <c r="A39" s="1043" t="s">
        <v>1217</v>
      </c>
    </row>
    <row r="40" spans="1:4" x14ac:dyDescent="0.2">
      <c r="A40" s="2572"/>
      <c r="B40" s="2572"/>
      <c r="D40" s="1044"/>
    </row>
    <row r="41" spans="1:4" x14ac:dyDescent="0.2">
      <c r="A41" s="2572"/>
      <c r="B41" s="2572"/>
      <c r="D41" s="1047"/>
    </row>
    <row r="42" spans="1:4" x14ac:dyDescent="0.2">
      <c r="A42" s="2572"/>
      <c r="B42" s="2572"/>
      <c r="D42" s="1047"/>
    </row>
    <row r="43" spans="1:4" x14ac:dyDescent="0.2">
      <c r="A43" s="2572"/>
      <c r="B43" s="2572"/>
      <c r="D43" s="1047"/>
    </row>
    <row r="44" spans="1:4" x14ac:dyDescent="0.2">
      <c r="A44" s="2572"/>
      <c r="B44" s="2572"/>
      <c r="D44" s="1047"/>
    </row>
    <row r="45" spans="1:4" x14ac:dyDescent="0.2">
      <c r="A45" s="2572"/>
      <c r="B45" s="2572"/>
      <c r="D45" s="1047"/>
    </row>
    <row r="47" spans="1:4" x14ac:dyDescent="0.2">
      <c r="B47" s="1048" t="s">
        <v>1216</v>
      </c>
      <c r="C47" s="1048"/>
      <c r="D47" s="1049">
        <f>SUM(D35:D45)</f>
        <v>1936145</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82"/>
  <sheetViews>
    <sheetView showGridLines="0" topLeftCell="A23" zoomScaleNormal="100" workbookViewId="0">
      <selection activeCell="F51" activeCellId="3" sqref="F14:F20 F27:F30 F37:F47 F5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5" t="str">
        <f>'Single Audit Cover'!A7</f>
        <v>Cary CCSD 26</v>
      </c>
      <c r="C1" s="2577"/>
      <c r="D1" s="2577"/>
      <c r="E1" s="2577"/>
      <c r="F1" s="2577"/>
      <c r="G1" s="2577"/>
      <c r="H1" s="2577"/>
      <c r="I1" s="2577"/>
      <c r="J1" s="2577"/>
      <c r="K1" s="2577"/>
      <c r="L1" s="2577"/>
      <c r="M1" s="2577"/>
    </row>
    <row r="2" spans="2:14" ht="15" x14ac:dyDescent="0.2">
      <c r="B2" s="2578">
        <f>'Single Audit Cover'!E7</f>
        <v>44063026004</v>
      </c>
      <c r="C2" s="2578"/>
      <c r="D2" s="2578"/>
      <c r="E2" s="2578"/>
      <c r="F2" s="2578"/>
      <c r="G2" s="2578"/>
      <c r="H2" s="2578"/>
      <c r="I2" s="2578"/>
      <c r="J2" s="2578"/>
      <c r="K2" s="2578"/>
      <c r="L2" s="2578"/>
      <c r="M2" s="2578"/>
      <c r="N2" s="1078"/>
    </row>
    <row r="3" spans="2:14" ht="15" x14ac:dyDescent="0.2">
      <c r="B3" s="2579" t="s">
        <v>1208</v>
      </c>
      <c r="C3" s="2579"/>
      <c r="D3" s="2579"/>
      <c r="E3" s="2579"/>
      <c r="F3" s="2579"/>
      <c r="G3" s="2579"/>
      <c r="H3" s="2579"/>
      <c r="I3" s="2579"/>
      <c r="J3" s="2579"/>
      <c r="K3" s="2579"/>
      <c r="L3" s="2579"/>
      <c r="M3" s="2579"/>
      <c r="N3" s="1078"/>
    </row>
    <row r="4" spans="2:14" ht="15" x14ac:dyDescent="0.2">
      <c r="B4" s="2580" t="str">
        <f>'Single Audit Cover'!A4</f>
        <v>Year Ending June 30, 2020</v>
      </c>
      <c r="C4" s="2580"/>
      <c r="D4" s="2580"/>
      <c r="E4" s="2580"/>
      <c r="F4" s="2580"/>
      <c r="G4" s="2580"/>
      <c r="H4" s="2580"/>
      <c r="I4" s="2580"/>
      <c r="J4" s="2580"/>
      <c r="K4" s="2580"/>
      <c r="L4" s="2580"/>
      <c r="M4" s="2580"/>
      <c r="N4" s="1078"/>
    </row>
    <row r="5" spans="2:14" x14ac:dyDescent="0.2">
      <c r="H5" s="1917"/>
      <c r="J5" s="1917"/>
    </row>
    <row r="6" spans="2:14" x14ac:dyDescent="0.2">
      <c r="B6" s="1079"/>
      <c r="C6" s="1080"/>
      <c r="D6" s="1081" t="s">
        <v>1254</v>
      </c>
      <c r="E6" s="1082" t="s">
        <v>524</v>
      </c>
      <c r="F6" s="1083"/>
      <c r="G6" s="1084" t="s">
        <v>1708</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42" t="s">
        <v>2081</v>
      </c>
      <c r="C11" s="1821"/>
      <c r="D11" s="1822"/>
      <c r="E11" s="1823"/>
      <c r="F11" s="1823"/>
      <c r="G11" s="1823"/>
      <c r="H11" s="1823"/>
      <c r="I11" s="1823"/>
      <c r="J11" s="1823"/>
      <c r="K11" s="1823"/>
      <c r="L11" s="1823"/>
      <c r="M11" s="1823"/>
    </row>
    <row r="12" spans="2:14" ht="20.100000000000001" customHeight="1" x14ac:dyDescent="0.2">
      <c r="B12" s="2044" t="s">
        <v>2082</v>
      </c>
      <c r="C12" s="1824"/>
      <c r="D12" s="1825"/>
      <c r="E12" s="1826"/>
      <c r="F12" s="1826"/>
      <c r="G12" s="1826"/>
      <c r="H12" s="1826"/>
      <c r="I12" s="1826"/>
      <c r="J12" s="1826"/>
      <c r="K12" s="1826"/>
      <c r="L12" s="1823"/>
      <c r="M12" s="1826"/>
    </row>
    <row r="13" spans="2:14" ht="20.100000000000001" customHeight="1" x14ac:dyDescent="0.2">
      <c r="B13" s="2045" t="s">
        <v>2083</v>
      </c>
      <c r="C13" s="1824"/>
      <c r="D13" s="1825"/>
      <c r="E13" s="1826"/>
      <c r="F13" s="1826"/>
      <c r="G13" s="1826"/>
      <c r="H13" s="1826"/>
      <c r="I13" s="1826"/>
      <c r="J13" s="1826"/>
      <c r="K13" s="1826"/>
      <c r="L13" s="1823"/>
      <c r="M13" s="1826"/>
    </row>
    <row r="14" spans="2:14" ht="20.100000000000001" customHeight="1" x14ac:dyDescent="0.2">
      <c r="B14" s="2046" t="s">
        <v>1050</v>
      </c>
      <c r="C14" s="1824">
        <v>10.553000000000001</v>
      </c>
      <c r="D14" s="1825" t="s">
        <v>2088</v>
      </c>
      <c r="E14" s="1826">
        <v>12825</v>
      </c>
      <c r="F14" s="1826">
        <v>2604</v>
      </c>
      <c r="G14" s="1826">
        <f t="shared" ref="G14:G20" si="0">E14</f>
        <v>12825</v>
      </c>
      <c r="H14" s="1826">
        <v>0</v>
      </c>
      <c r="I14" s="1826">
        <v>2604</v>
      </c>
      <c r="J14" s="1826">
        <v>0</v>
      </c>
      <c r="K14" s="1826">
        <v>0</v>
      </c>
      <c r="L14" s="1823">
        <f t="shared" ref="L14:L57" si="1">+G14+I14+K14</f>
        <v>15429</v>
      </c>
      <c r="M14" s="1826"/>
    </row>
    <row r="15" spans="2:14" ht="20.100000000000001" customHeight="1" x14ac:dyDescent="0.2">
      <c r="B15" s="2046" t="s">
        <v>1050</v>
      </c>
      <c r="C15" s="1824">
        <v>10.553000000000001</v>
      </c>
      <c r="D15" s="1825" t="s">
        <v>2089</v>
      </c>
      <c r="E15" s="1826">
        <v>0</v>
      </c>
      <c r="F15" s="1826">
        <v>18546</v>
      </c>
      <c r="G15" s="1826">
        <f t="shared" si="0"/>
        <v>0</v>
      </c>
      <c r="H15" s="1826">
        <v>0</v>
      </c>
      <c r="I15" s="1826">
        <v>18546</v>
      </c>
      <c r="J15" s="1826">
        <v>0</v>
      </c>
      <c r="K15" s="1826">
        <v>0</v>
      </c>
      <c r="L15" s="1823">
        <f>G15+I15+K15</f>
        <v>18546</v>
      </c>
      <c r="M15" s="1826"/>
    </row>
    <row r="16" spans="2:14" ht="20.100000000000001" customHeight="1" x14ac:dyDescent="0.2">
      <c r="B16" s="2046" t="s">
        <v>1049</v>
      </c>
      <c r="C16" s="1824">
        <v>10.553000000000001</v>
      </c>
      <c r="D16" s="1825" t="s">
        <v>2090</v>
      </c>
      <c r="E16" s="1826">
        <v>222248</v>
      </c>
      <c r="F16" s="1826">
        <v>43647</v>
      </c>
      <c r="G16" s="1826">
        <f t="shared" si="0"/>
        <v>222248</v>
      </c>
      <c r="H16" s="1826">
        <v>0</v>
      </c>
      <c r="I16" s="1826">
        <v>43647</v>
      </c>
      <c r="J16" s="1826">
        <v>0</v>
      </c>
      <c r="K16" s="1826">
        <v>0</v>
      </c>
      <c r="L16" s="1823">
        <f t="shared" si="1"/>
        <v>265895</v>
      </c>
      <c r="M16" s="1826"/>
    </row>
    <row r="17" spans="2:13" ht="20.100000000000001" customHeight="1" x14ac:dyDescent="0.2">
      <c r="B17" s="2046" t="s">
        <v>1049</v>
      </c>
      <c r="C17" s="1824">
        <v>10.555</v>
      </c>
      <c r="D17" s="1825" t="s">
        <v>2091</v>
      </c>
      <c r="E17" s="1826">
        <v>0</v>
      </c>
      <c r="F17" s="1826">
        <v>158200</v>
      </c>
      <c r="G17" s="1826">
        <f t="shared" si="0"/>
        <v>0</v>
      </c>
      <c r="H17" s="1826">
        <v>0</v>
      </c>
      <c r="I17" s="1826">
        <v>158200</v>
      </c>
      <c r="J17" s="1826">
        <v>0</v>
      </c>
      <c r="K17" s="1826">
        <v>0</v>
      </c>
      <c r="L17" s="1823">
        <f t="shared" si="1"/>
        <v>158200</v>
      </c>
      <c r="M17" s="1826"/>
    </row>
    <row r="18" spans="2:13" ht="20.100000000000001" customHeight="1" x14ac:dyDescent="0.2">
      <c r="B18" s="2046" t="s">
        <v>1434</v>
      </c>
      <c r="C18" s="1824">
        <v>10.558999999999999</v>
      </c>
      <c r="D18" s="1825" t="s">
        <v>2109</v>
      </c>
      <c r="E18" s="1826">
        <v>0</v>
      </c>
      <c r="F18" s="1826">
        <v>160328</v>
      </c>
      <c r="G18" s="1826">
        <f t="shared" si="0"/>
        <v>0</v>
      </c>
      <c r="H18" s="1826">
        <v>0</v>
      </c>
      <c r="I18" s="1826">
        <v>160328</v>
      </c>
      <c r="J18" s="1826">
        <v>0</v>
      </c>
      <c r="K18" s="1826">
        <v>0</v>
      </c>
      <c r="L18" s="1823">
        <f>G18+I18+K18</f>
        <v>160328</v>
      </c>
      <c r="M18" s="1826"/>
    </row>
    <row r="19" spans="2:13" ht="20.100000000000001" customHeight="1" x14ac:dyDescent="0.2">
      <c r="B19" s="2046" t="s">
        <v>2084</v>
      </c>
      <c r="C19" s="1824">
        <v>10.555</v>
      </c>
      <c r="D19" s="1825" t="s">
        <v>2069</v>
      </c>
      <c r="E19" s="1826">
        <v>0</v>
      </c>
      <c r="F19" s="1826">
        <v>24336</v>
      </c>
      <c r="G19" s="1826">
        <f t="shared" si="0"/>
        <v>0</v>
      </c>
      <c r="H19" s="1826">
        <v>0</v>
      </c>
      <c r="I19" s="1826">
        <v>24336</v>
      </c>
      <c r="J19" s="1826">
        <v>0</v>
      </c>
      <c r="K19" s="1826">
        <v>0</v>
      </c>
      <c r="L19" s="1823">
        <f t="shared" si="1"/>
        <v>24336</v>
      </c>
      <c r="M19" s="1826"/>
    </row>
    <row r="20" spans="2:13" ht="20.100000000000001" customHeight="1" x14ac:dyDescent="0.2">
      <c r="B20" s="2046" t="s">
        <v>2085</v>
      </c>
      <c r="C20" s="1824">
        <v>10.555</v>
      </c>
      <c r="D20" s="1825" t="s">
        <v>2069</v>
      </c>
      <c r="E20" s="1826">
        <v>0</v>
      </c>
      <c r="F20" s="1826">
        <v>56107</v>
      </c>
      <c r="G20" s="1826">
        <f t="shared" si="0"/>
        <v>0</v>
      </c>
      <c r="H20" s="1826">
        <v>0</v>
      </c>
      <c r="I20" s="1826">
        <v>56107</v>
      </c>
      <c r="J20" s="1826">
        <v>0</v>
      </c>
      <c r="K20" s="1826">
        <v>0</v>
      </c>
      <c r="L20" s="1823">
        <f t="shared" si="1"/>
        <v>56107</v>
      </c>
      <c r="M20" s="1826"/>
    </row>
    <row r="21" spans="2:13" s="1036" customFormat="1" ht="20.100000000000001" customHeight="1" x14ac:dyDescent="0.2">
      <c r="B21" s="2043" t="s">
        <v>2086</v>
      </c>
      <c r="C21" s="2038"/>
      <c r="D21" s="2039"/>
      <c r="E21" s="2040">
        <f t="shared" ref="E21:L21" si="2">SUM(E14:E20)</f>
        <v>235073</v>
      </c>
      <c r="F21" s="2040">
        <f t="shared" si="2"/>
        <v>463768</v>
      </c>
      <c r="G21" s="2040">
        <f t="shared" si="2"/>
        <v>235073</v>
      </c>
      <c r="H21" s="2040">
        <f t="shared" si="2"/>
        <v>0</v>
      </c>
      <c r="I21" s="2040">
        <f t="shared" si="2"/>
        <v>463768</v>
      </c>
      <c r="J21" s="2040">
        <f t="shared" si="2"/>
        <v>0</v>
      </c>
      <c r="K21" s="2040">
        <f t="shared" si="2"/>
        <v>0</v>
      </c>
      <c r="L21" s="2041">
        <f t="shared" si="2"/>
        <v>698841</v>
      </c>
      <c r="M21" s="2040"/>
    </row>
    <row r="22" spans="2:13" s="1036" customFormat="1" ht="20.100000000000001" customHeight="1" x14ac:dyDescent="0.2">
      <c r="B22" s="2037" t="s">
        <v>2087</v>
      </c>
      <c r="C22" s="2038"/>
      <c r="D22" s="2039"/>
      <c r="E22" s="2040">
        <f t="shared" ref="E22:K22" si="3">E21</f>
        <v>235073</v>
      </c>
      <c r="F22" s="2040">
        <f t="shared" si="3"/>
        <v>463768</v>
      </c>
      <c r="G22" s="2040">
        <f t="shared" si="3"/>
        <v>235073</v>
      </c>
      <c r="H22" s="2040">
        <f t="shared" si="3"/>
        <v>0</v>
      </c>
      <c r="I22" s="2040">
        <f t="shared" si="3"/>
        <v>463768</v>
      </c>
      <c r="J22" s="2040">
        <f t="shared" si="3"/>
        <v>0</v>
      </c>
      <c r="K22" s="2040">
        <f t="shared" si="3"/>
        <v>0</v>
      </c>
      <c r="L22" s="2041">
        <f t="shared" si="1"/>
        <v>698841</v>
      </c>
      <c r="M22" s="2040"/>
    </row>
    <row r="23" spans="2:13" ht="20.100000000000001" customHeight="1" x14ac:dyDescent="0.2">
      <c r="B23" s="1113"/>
      <c r="C23" s="1824"/>
      <c r="D23" s="1825"/>
      <c r="E23" s="1826"/>
      <c r="F23" s="1826"/>
      <c r="G23" s="1826"/>
      <c r="H23" s="1826"/>
      <c r="I23" s="1826"/>
      <c r="J23" s="1826"/>
      <c r="K23" s="1826"/>
      <c r="L23" s="1823"/>
      <c r="M23" s="1826"/>
    </row>
    <row r="24" spans="2:13" ht="20.100000000000001" customHeight="1" x14ac:dyDescent="0.2">
      <c r="B24" s="1113" t="s">
        <v>2092</v>
      </c>
      <c r="C24" s="1824"/>
      <c r="D24" s="1825"/>
      <c r="E24" s="1826"/>
      <c r="F24" s="1826"/>
      <c r="G24" s="1826"/>
      <c r="H24" s="1826"/>
      <c r="I24" s="1826"/>
      <c r="J24" s="1826"/>
      <c r="K24" s="1826"/>
      <c r="L24" s="1823"/>
      <c r="M24" s="1826"/>
    </row>
    <row r="25" spans="2:13" ht="20.100000000000001" customHeight="1" x14ac:dyDescent="0.2">
      <c r="B25" s="2042" t="s">
        <v>2093</v>
      </c>
      <c r="C25" s="1824"/>
      <c r="D25" s="1825"/>
      <c r="E25" s="1826"/>
      <c r="F25" s="1826"/>
      <c r="G25" s="1826"/>
      <c r="H25" s="1826"/>
      <c r="I25" s="1826"/>
      <c r="J25" s="1826"/>
      <c r="K25" s="1826"/>
      <c r="L25" s="1823"/>
      <c r="M25" s="1826"/>
    </row>
    <row r="26" spans="2:13" ht="20.100000000000001" customHeight="1" x14ac:dyDescent="0.2">
      <c r="B26" s="2044" t="s">
        <v>2094</v>
      </c>
      <c r="C26" s="1824"/>
      <c r="D26" s="1825"/>
      <c r="E26" s="1826"/>
      <c r="F26" s="1826"/>
      <c r="G26" s="1826"/>
      <c r="H26" s="1826"/>
      <c r="I26" s="1826"/>
      <c r="J26" s="1826"/>
      <c r="K26" s="1826"/>
      <c r="L26" s="1823"/>
      <c r="M26" s="1826"/>
    </row>
    <row r="27" spans="2:13" ht="20.100000000000001" customHeight="1" x14ac:dyDescent="0.2">
      <c r="B27" s="2045" t="s">
        <v>2095</v>
      </c>
      <c r="C27" s="1824">
        <v>84.027000000000001</v>
      </c>
      <c r="D27" s="1825" t="s">
        <v>2111</v>
      </c>
      <c r="E27" s="1826">
        <v>797361</v>
      </c>
      <c r="F27" s="1826">
        <v>4808</v>
      </c>
      <c r="G27" s="1826">
        <f>E27</f>
        <v>797361</v>
      </c>
      <c r="H27" s="1826">
        <v>0</v>
      </c>
      <c r="I27" s="1826">
        <v>4808</v>
      </c>
      <c r="J27" s="1826">
        <v>0</v>
      </c>
      <c r="K27" s="1826">
        <v>0</v>
      </c>
      <c r="L27" s="1823">
        <f t="shared" si="1"/>
        <v>802169</v>
      </c>
      <c r="M27" s="1826"/>
    </row>
    <row r="28" spans="2:13" ht="20.100000000000001" customHeight="1" x14ac:dyDescent="0.2">
      <c r="B28" s="2045" t="s">
        <v>2095</v>
      </c>
      <c r="C28" s="1824">
        <v>84.027000000000001</v>
      </c>
      <c r="D28" s="1825" t="s">
        <v>2112</v>
      </c>
      <c r="E28" s="1826">
        <v>0</v>
      </c>
      <c r="F28" s="1826">
        <v>651824</v>
      </c>
      <c r="G28" s="1826">
        <f>E28</f>
        <v>0</v>
      </c>
      <c r="H28" s="1826">
        <v>0</v>
      </c>
      <c r="I28" s="1826">
        <v>651824</v>
      </c>
      <c r="J28" s="1826">
        <v>0</v>
      </c>
      <c r="K28" s="1826">
        <v>0</v>
      </c>
      <c r="L28" s="1823">
        <f>G28+I28+K28</f>
        <v>651824</v>
      </c>
      <c r="M28" s="1826"/>
    </row>
    <row r="29" spans="2:13" ht="20.100000000000001" customHeight="1" x14ac:dyDescent="0.2">
      <c r="B29" s="2045" t="s">
        <v>2096</v>
      </c>
      <c r="C29" s="1824">
        <v>84.027000000000001</v>
      </c>
      <c r="D29" s="1825" t="s">
        <v>2110</v>
      </c>
      <c r="E29" s="1826">
        <v>0</v>
      </c>
      <c r="F29" s="1826">
        <v>101910</v>
      </c>
      <c r="G29" s="1826">
        <f>E29</f>
        <v>0</v>
      </c>
      <c r="H29" s="1826">
        <v>0</v>
      </c>
      <c r="I29" s="1826">
        <v>101910</v>
      </c>
      <c r="J29" s="1826">
        <v>0</v>
      </c>
      <c r="K29" s="1826">
        <v>0</v>
      </c>
      <c r="L29" s="1823">
        <f t="shared" si="1"/>
        <v>101910</v>
      </c>
      <c r="M29" s="1826"/>
    </row>
    <row r="30" spans="2:13" ht="20.100000000000001" customHeight="1" x14ac:dyDescent="0.2">
      <c r="B30" s="2045" t="s">
        <v>2097</v>
      </c>
      <c r="C30" s="1824">
        <v>84.173000000000002</v>
      </c>
      <c r="D30" s="1825" t="s">
        <v>2113</v>
      </c>
      <c r="E30" s="1826">
        <v>0</v>
      </c>
      <c r="F30" s="1826">
        <v>54720</v>
      </c>
      <c r="G30" s="1826">
        <f>E30</f>
        <v>0</v>
      </c>
      <c r="H30" s="1826">
        <v>0</v>
      </c>
      <c r="I30" s="1826">
        <v>54720</v>
      </c>
      <c r="J30" s="1826">
        <v>0</v>
      </c>
      <c r="K30" s="1826">
        <v>0</v>
      </c>
      <c r="L30" s="1823">
        <f t="shared" si="1"/>
        <v>54720</v>
      </c>
      <c r="M30" s="1826"/>
    </row>
    <row r="31" spans="2:13" s="1036" customFormat="1" ht="20.100000000000001" customHeight="1" x14ac:dyDescent="0.2">
      <c r="B31" s="2043" t="s">
        <v>2098</v>
      </c>
      <c r="C31" s="2038"/>
      <c r="D31" s="2039"/>
      <c r="E31" s="2040">
        <f t="shared" ref="E31:L31" si="4">SUM(E27:E30)</f>
        <v>797361</v>
      </c>
      <c r="F31" s="2040">
        <f t="shared" si="4"/>
        <v>813262</v>
      </c>
      <c r="G31" s="2040">
        <f t="shared" si="4"/>
        <v>797361</v>
      </c>
      <c r="H31" s="2040">
        <f t="shared" si="4"/>
        <v>0</v>
      </c>
      <c r="I31" s="2040">
        <f t="shared" si="4"/>
        <v>813262</v>
      </c>
      <c r="J31" s="2040">
        <f t="shared" si="4"/>
        <v>0</v>
      </c>
      <c r="K31" s="2040">
        <f t="shared" si="4"/>
        <v>0</v>
      </c>
      <c r="L31" s="2041">
        <f t="shared" si="4"/>
        <v>1610623</v>
      </c>
      <c r="M31" s="2040"/>
    </row>
    <row r="32" spans="2:13" s="1036" customFormat="1" ht="20.100000000000001" customHeight="1" x14ac:dyDescent="0.2">
      <c r="B32" s="2037" t="s">
        <v>2099</v>
      </c>
      <c r="C32" s="2038"/>
      <c r="D32" s="2039"/>
      <c r="E32" s="2040">
        <f t="shared" ref="E32:L32" si="5">E31</f>
        <v>797361</v>
      </c>
      <c r="F32" s="2040">
        <f t="shared" si="5"/>
        <v>813262</v>
      </c>
      <c r="G32" s="2040">
        <f t="shared" si="5"/>
        <v>797361</v>
      </c>
      <c r="H32" s="2040">
        <f t="shared" si="5"/>
        <v>0</v>
      </c>
      <c r="I32" s="2040">
        <f t="shared" si="5"/>
        <v>813262</v>
      </c>
      <c r="J32" s="2040">
        <f t="shared" si="5"/>
        <v>0</v>
      </c>
      <c r="K32" s="2040">
        <f t="shared" si="5"/>
        <v>0</v>
      </c>
      <c r="L32" s="2041">
        <f t="shared" si="5"/>
        <v>1610623</v>
      </c>
      <c r="M32" s="2040"/>
    </row>
    <row r="33" spans="2:13" ht="20.100000000000001" customHeight="1" x14ac:dyDescent="0.2">
      <c r="B33" s="1113"/>
      <c r="C33" s="1824"/>
      <c r="D33" s="1825"/>
      <c r="E33" s="1826"/>
      <c r="F33" s="1826"/>
      <c r="G33" s="1826"/>
      <c r="H33" s="1826"/>
      <c r="I33" s="1826"/>
      <c r="J33" s="1826"/>
      <c r="K33" s="1826"/>
      <c r="L33" s="1823"/>
      <c r="M33" s="1826"/>
    </row>
    <row r="34" spans="2:13" ht="20.100000000000001" customHeight="1" x14ac:dyDescent="0.2">
      <c r="B34" s="1113" t="s">
        <v>2100</v>
      </c>
      <c r="C34" s="1824"/>
      <c r="D34" s="1825"/>
      <c r="E34" s="1826"/>
      <c r="F34" s="1826"/>
      <c r="G34" s="1826"/>
      <c r="H34" s="1826"/>
      <c r="I34" s="1826"/>
      <c r="J34" s="1826"/>
      <c r="K34" s="1826"/>
      <c r="L34" s="1823"/>
      <c r="M34" s="1826"/>
    </row>
    <row r="35" spans="2:13" ht="20.100000000000001" customHeight="1" x14ac:dyDescent="0.2">
      <c r="B35" s="2042" t="s">
        <v>2093</v>
      </c>
      <c r="C35" s="1824"/>
      <c r="D35" s="1825"/>
      <c r="E35" s="1826"/>
      <c r="F35" s="1826"/>
      <c r="G35" s="1826"/>
      <c r="H35" s="1826"/>
      <c r="I35" s="1826"/>
      <c r="J35" s="1826"/>
      <c r="K35" s="1826"/>
      <c r="L35" s="1823"/>
      <c r="M35" s="1826"/>
    </row>
    <row r="36" spans="2:13" ht="20.100000000000001" customHeight="1" x14ac:dyDescent="0.2">
      <c r="B36" s="2044" t="s">
        <v>2083</v>
      </c>
      <c r="C36" s="1824"/>
      <c r="D36" s="1825"/>
      <c r="E36" s="1826"/>
      <c r="F36" s="1826"/>
      <c r="G36" s="1826"/>
      <c r="H36" s="1826"/>
      <c r="I36" s="1826"/>
      <c r="J36" s="1826"/>
      <c r="K36" s="1826"/>
      <c r="L36" s="1823"/>
      <c r="M36" s="1826"/>
    </row>
    <row r="37" spans="2:13" ht="20.100000000000001" customHeight="1" x14ac:dyDescent="0.2">
      <c r="B37" s="2045" t="s">
        <v>912</v>
      </c>
      <c r="C37" s="1824">
        <v>84.01</v>
      </c>
      <c r="D37" s="1825" t="s">
        <v>2114</v>
      </c>
      <c r="E37" s="1826">
        <v>303312</v>
      </c>
      <c r="F37" s="1826">
        <v>46842</v>
      </c>
      <c r="G37" s="1826">
        <f t="shared" ref="G37:G47" si="6">E37</f>
        <v>303312</v>
      </c>
      <c r="H37" s="1826">
        <v>0</v>
      </c>
      <c r="I37" s="1826">
        <v>46842</v>
      </c>
      <c r="J37" s="1826">
        <v>0</v>
      </c>
      <c r="K37" s="1826">
        <v>0</v>
      </c>
      <c r="L37" s="1823">
        <f t="shared" ref="L37:L47" si="7">G37+I37+K37</f>
        <v>350154</v>
      </c>
      <c r="M37" s="1826"/>
    </row>
    <row r="38" spans="2:13" ht="20.100000000000001" customHeight="1" x14ac:dyDescent="0.2">
      <c r="B38" s="2045" t="s">
        <v>912</v>
      </c>
      <c r="C38" s="1824">
        <v>84.01</v>
      </c>
      <c r="D38" s="1825" t="s">
        <v>2115</v>
      </c>
      <c r="E38" s="1826">
        <v>0</v>
      </c>
      <c r="F38" s="1826">
        <v>296956</v>
      </c>
      <c r="G38" s="1826">
        <f t="shared" si="6"/>
        <v>0</v>
      </c>
      <c r="H38" s="1826">
        <v>0</v>
      </c>
      <c r="I38" s="1826">
        <v>296956</v>
      </c>
      <c r="J38" s="1826">
        <v>0</v>
      </c>
      <c r="K38" s="1826">
        <v>0</v>
      </c>
      <c r="L38" s="1823">
        <f t="shared" si="7"/>
        <v>296956</v>
      </c>
      <c r="M38" s="1826"/>
    </row>
    <row r="39" spans="2:13" ht="20.100000000000001" customHeight="1" x14ac:dyDescent="0.2">
      <c r="B39" s="2045" t="s">
        <v>2101</v>
      </c>
      <c r="C39" s="1824">
        <v>84.01</v>
      </c>
      <c r="D39" s="1825" t="s">
        <v>2116</v>
      </c>
      <c r="E39" s="1826">
        <v>70500</v>
      </c>
      <c r="F39" s="1826">
        <v>2478</v>
      </c>
      <c r="G39" s="1826">
        <f t="shared" si="6"/>
        <v>70500</v>
      </c>
      <c r="H39" s="1826">
        <v>0</v>
      </c>
      <c r="I39" s="1826">
        <v>2478</v>
      </c>
      <c r="J39" s="1826">
        <v>0</v>
      </c>
      <c r="K39" s="1826">
        <v>0</v>
      </c>
      <c r="L39" s="1823">
        <f t="shared" si="7"/>
        <v>72978</v>
      </c>
      <c r="M39" s="1826"/>
    </row>
    <row r="40" spans="2:13" ht="20.100000000000001" customHeight="1" x14ac:dyDescent="0.2">
      <c r="B40" s="2045" t="s">
        <v>2101</v>
      </c>
      <c r="C40" s="1824">
        <v>84.01</v>
      </c>
      <c r="D40" s="1825" t="s">
        <v>2117</v>
      </c>
      <c r="E40" s="1826">
        <v>0</v>
      </c>
      <c r="F40" s="1826">
        <v>45021</v>
      </c>
      <c r="G40" s="1826">
        <f t="shared" si="6"/>
        <v>0</v>
      </c>
      <c r="H40" s="1826">
        <v>0</v>
      </c>
      <c r="I40" s="1826">
        <v>45021</v>
      </c>
      <c r="J40" s="1826">
        <v>0</v>
      </c>
      <c r="K40" s="1826">
        <v>0</v>
      </c>
      <c r="L40" s="1823">
        <f t="shared" si="7"/>
        <v>45021</v>
      </c>
      <c r="M40" s="1826"/>
    </row>
    <row r="41" spans="2:13" ht="20.100000000000001" customHeight="1" x14ac:dyDescent="0.2">
      <c r="B41" s="2045" t="s">
        <v>753</v>
      </c>
      <c r="C41" s="1824">
        <v>84.367000000000004</v>
      </c>
      <c r="D41" s="1825" t="s">
        <v>2118</v>
      </c>
      <c r="E41" s="1826">
        <v>67992</v>
      </c>
      <c r="F41" s="1826">
        <v>9706</v>
      </c>
      <c r="G41" s="1826">
        <f t="shared" si="6"/>
        <v>67992</v>
      </c>
      <c r="H41" s="1826">
        <v>0</v>
      </c>
      <c r="I41" s="1826">
        <v>9706</v>
      </c>
      <c r="J41" s="1826">
        <v>0</v>
      </c>
      <c r="K41" s="1826">
        <v>0</v>
      </c>
      <c r="L41" s="1823">
        <f t="shared" si="7"/>
        <v>77698</v>
      </c>
      <c r="M41" s="1826"/>
    </row>
    <row r="42" spans="2:13" ht="20.100000000000001" customHeight="1" x14ac:dyDescent="0.2">
      <c r="B42" s="2045" t="s">
        <v>753</v>
      </c>
      <c r="C42" s="1824">
        <v>84.367000000000004</v>
      </c>
      <c r="D42" s="1825" t="s">
        <v>2119</v>
      </c>
      <c r="E42" s="1826">
        <v>0</v>
      </c>
      <c r="F42" s="1826">
        <v>56149</v>
      </c>
      <c r="G42" s="1826">
        <f t="shared" si="6"/>
        <v>0</v>
      </c>
      <c r="H42" s="1826">
        <v>0</v>
      </c>
      <c r="I42" s="1826">
        <v>56149</v>
      </c>
      <c r="J42" s="1826">
        <v>0</v>
      </c>
      <c r="K42" s="1826">
        <v>0</v>
      </c>
      <c r="L42" s="1823">
        <f t="shared" si="7"/>
        <v>56149</v>
      </c>
      <c r="M42" s="1826"/>
    </row>
    <row r="43" spans="2:13" ht="20.100000000000001" customHeight="1" x14ac:dyDescent="0.2">
      <c r="B43" s="2045" t="s">
        <v>1439</v>
      </c>
      <c r="C43" s="1824">
        <v>84.364999999999995</v>
      </c>
      <c r="D43" s="1825" t="s">
        <v>2120</v>
      </c>
      <c r="E43" s="1826">
        <v>39868</v>
      </c>
      <c r="F43" s="1826">
        <v>5704</v>
      </c>
      <c r="G43" s="1826">
        <f t="shared" si="6"/>
        <v>39868</v>
      </c>
      <c r="H43" s="1826">
        <v>0</v>
      </c>
      <c r="I43" s="1826">
        <v>5704</v>
      </c>
      <c r="J43" s="1826">
        <v>0</v>
      </c>
      <c r="K43" s="1826">
        <v>0</v>
      </c>
      <c r="L43" s="1823">
        <f t="shared" si="7"/>
        <v>45572</v>
      </c>
      <c r="M43" s="1826"/>
    </row>
    <row r="44" spans="2:13" ht="20.100000000000001" customHeight="1" x14ac:dyDescent="0.2">
      <c r="B44" s="2045" t="s">
        <v>1439</v>
      </c>
      <c r="C44" s="1824">
        <v>84.364999999999995</v>
      </c>
      <c r="D44" s="1825" t="s">
        <v>2121</v>
      </c>
      <c r="E44" s="1826">
        <v>0</v>
      </c>
      <c r="F44" s="1826">
        <v>32884</v>
      </c>
      <c r="G44" s="1826">
        <f t="shared" si="6"/>
        <v>0</v>
      </c>
      <c r="H44" s="1826">
        <v>0</v>
      </c>
      <c r="I44" s="1826">
        <v>32884</v>
      </c>
      <c r="J44" s="1826">
        <v>0</v>
      </c>
      <c r="K44" s="1826">
        <v>0</v>
      </c>
      <c r="L44" s="1823">
        <f t="shared" si="7"/>
        <v>32884</v>
      </c>
      <c r="M44" s="1826"/>
    </row>
    <row r="45" spans="2:13" ht="20.100000000000001" customHeight="1" x14ac:dyDescent="0.2">
      <c r="B45" s="2045" t="s">
        <v>2102</v>
      </c>
      <c r="C45" s="1824">
        <v>84.424000000000007</v>
      </c>
      <c r="D45" s="1825" t="s">
        <v>2122</v>
      </c>
      <c r="E45" s="1826">
        <v>25409</v>
      </c>
      <c r="F45" s="1826">
        <v>2154</v>
      </c>
      <c r="G45" s="1826">
        <f t="shared" si="6"/>
        <v>25409</v>
      </c>
      <c r="H45" s="1826">
        <v>0</v>
      </c>
      <c r="I45" s="1826">
        <v>2154</v>
      </c>
      <c r="J45" s="1826">
        <v>0</v>
      </c>
      <c r="K45" s="1826">
        <v>0</v>
      </c>
      <c r="L45" s="1823">
        <f t="shared" si="7"/>
        <v>27563</v>
      </c>
      <c r="M45" s="1826"/>
    </row>
    <row r="46" spans="2:13" ht="20.100000000000001" customHeight="1" x14ac:dyDescent="0.2">
      <c r="B46" s="2045" t="s">
        <v>2102</v>
      </c>
      <c r="C46" s="1824">
        <v>84.424000000000007</v>
      </c>
      <c r="D46" s="1825" t="s">
        <v>2123</v>
      </c>
      <c r="E46" s="1826">
        <v>0</v>
      </c>
      <c r="F46" s="1826">
        <v>24374</v>
      </c>
      <c r="G46" s="1826">
        <f t="shared" si="6"/>
        <v>0</v>
      </c>
      <c r="H46" s="1826">
        <v>0</v>
      </c>
      <c r="I46" s="1826">
        <v>24374</v>
      </c>
      <c r="J46" s="1826">
        <v>0</v>
      </c>
      <c r="K46" s="1826">
        <v>0</v>
      </c>
      <c r="L46" s="1823">
        <f t="shared" si="7"/>
        <v>24374</v>
      </c>
      <c r="M46" s="1826"/>
    </row>
    <row r="47" spans="2:13" ht="20.100000000000001" customHeight="1" x14ac:dyDescent="0.2">
      <c r="B47" s="2045" t="s">
        <v>2124</v>
      </c>
      <c r="C47" s="1824" t="s">
        <v>2125</v>
      </c>
      <c r="D47" s="1825" t="s">
        <v>2126</v>
      </c>
      <c r="E47" s="1826">
        <v>0</v>
      </c>
      <c r="F47" s="1826">
        <v>58870</v>
      </c>
      <c r="G47" s="1826">
        <f t="shared" si="6"/>
        <v>0</v>
      </c>
      <c r="H47" s="1826">
        <v>0</v>
      </c>
      <c r="I47" s="1826">
        <v>58870</v>
      </c>
      <c r="J47" s="1826">
        <v>0</v>
      </c>
      <c r="K47" s="1826">
        <v>0</v>
      </c>
      <c r="L47" s="1823">
        <f t="shared" si="7"/>
        <v>58870</v>
      </c>
      <c r="M47" s="1826"/>
    </row>
    <row r="48" spans="2:13" s="1036" customFormat="1" ht="20.100000000000001" customHeight="1" x14ac:dyDescent="0.2">
      <c r="B48" s="2043" t="s">
        <v>2098</v>
      </c>
      <c r="C48" s="2038"/>
      <c r="D48" s="2039"/>
      <c r="E48" s="2040">
        <f t="shared" ref="E48:L48" si="8">SUM(E37:E47)</f>
        <v>507081</v>
      </c>
      <c r="F48" s="2040">
        <f t="shared" si="8"/>
        <v>581138</v>
      </c>
      <c r="G48" s="2040">
        <f t="shared" si="8"/>
        <v>507081</v>
      </c>
      <c r="H48" s="2040">
        <f t="shared" si="8"/>
        <v>0</v>
      </c>
      <c r="I48" s="2040">
        <f t="shared" si="8"/>
        <v>581138</v>
      </c>
      <c r="J48" s="2040">
        <f t="shared" si="8"/>
        <v>0</v>
      </c>
      <c r="K48" s="2040">
        <f t="shared" si="8"/>
        <v>0</v>
      </c>
      <c r="L48" s="2041">
        <f t="shared" si="8"/>
        <v>1088219</v>
      </c>
      <c r="M48" s="2040"/>
    </row>
    <row r="49" spans="2:14" ht="20.100000000000001" customHeight="1" x14ac:dyDescent="0.2">
      <c r="B49" s="2042" t="s">
        <v>2103</v>
      </c>
      <c r="C49" s="1824"/>
      <c r="D49" s="1825"/>
      <c r="E49" s="1826"/>
      <c r="F49" s="1826"/>
      <c r="G49" s="1826"/>
      <c r="H49" s="1826"/>
      <c r="I49" s="1826"/>
      <c r="J49" s="1826"/>
      <c r="K49" s="1826"/>
      <c r="L49" s="1823"/>
      <c r="M49" s="1826"/>
    </row>
    <row r="50" spans="2:14" ht="20.100000000000001" customHeight="1" x14ac:dyDescent="0.2">
      <c r="B50" s="2044" t="s">
        <v>2104</v>
      </c>
      <c r="C50" s="1824"/>
      <c r="D50" s="1825"/>
      <c r="E50" s="1826"/>
      <c r="F50" s="1826"/>
      <c r="G50" s="1826"/>
      <c r="H50" s="1826"/>
      <c r="I50" s="1826"/>
      <c r="J50" s="1826"/>
      <c r="K50" s="1826"/>
      <c r="L50" s="1823"/>
      <c r="M50" s="1826"/>
    </row>
    <row r="51" spans="2:14" ht="20.100000000000001" customHeight="1" x14ac:dyDescent="0.2">
      <c r="B51" s="2045" t="s">
        <v>2105</v>
      </c>
      <c r="C51" s="1824">
        <v>93.778000000000006</v>
      </c>
      <c r="D51" s="1825" t="s">
        <v>2069</v>
      </c>
      <c r="E51" s="1826">
        <v>0</v>
      </c>
      <c r="F51" s="1826">
        <v>77977</v>
      </c>
      <c r="G51" s="1826">
        <f>E51</f>
        <v>0</v>
      </c>
      <c r="H51" s="1826">
        <v>0</v>
      </c>
      <c r="I51" s="1826">
        <v>77977</v>
      </c>
      <c r="J51" s="1826">
        <v>0</v>
      </c>
      <c r="K51" s="1826">
        <v>0</v>
      </c>
      <c r="L51" s="1823">
        <f>G51+I51+K51</f>
        <v>77977</v>
      </c>
      <c r="M51" s="1826"/>
    </row>
    <row r="52" spans="2:14" s="1036" customFormat="1" ht="20.100000000000001" customHeight="1" x14ac:dyDescent="0.2">
      <c r="B52" s="2043" t="s">
        <v>2106</v>
      </c>
      <c r="C52" s="2038"/>
      <c r="D52" s="2039"/>
      <c r="E52" s="2040">
        <f t="shared" ref="E52:L52" si="9">SUM(E51)</f>
        <v>0</v>
      </c>
      <c r="F52" s="2040">
        <f t="shared" si="9"/>
        <v>77977</v>
      </c>
      <c r="G52" s="2040">
        <f t="shared" si="9"/>
        <v>0</v>
      </c>
      <c r="H52" s="2040">
        <f t="shared" si="9"/>
        <v>0</v>
      </c>
      <c r="I52" s="2040">
        <f t="shared" si="9"/>
        <v>77977</v>
      </c>
      <c r="J52" s="2040">
        <f t="shared" si="9"/>
        <v>0</v>
      </c>
      <c r="K52" s="2040">
        <f t="shared" si="9"/>
        <v>0</v>
      </c>
      <c r="L52" s="2041">
        <f t="shared" si="9"/>
        <v>77977</v>
      </c>
      <c r="M52" s="2040"/>
    </row>
    <row r="53" spans="2:14" s="1036" customFormat="1" ht="20.100000000000001" customHeight="1" x14ac:dyDescent="0.2">
      <c r="B53" s="2037" t="s">
        <v>2107</v>
      </c>
      <c r="C53" s="2038"/>
      <c r="D53" s="2039"/>
      <c r="E53" s="2040">
        <f t="shared" ref="E53:L53" si="10">E48+E52</f>
        <v>507081</v>
      </c>
      <c r="F53" s="2040">
        <f t="shared" si="10"/>
        <v>659115</v>
      </c>
      <c r="G53" s="2040">
        <f t="shared" si="10"/>
        <v>507081</v>
      </c>
      <c r="H53" s="2040">
        <f t="shared" si="10"/>
        <v>0</v>
      </c>
      <c r="I53" s="2040">
        <f t="shared" si="10"/>
        <v>659115</v>
      </c>
      <c r="J53" s="2040">
        <f t="shared" si="10"/>
        <v>0</v>
      </c>
      <c r="K53" s="2040">
        <f t="shared" si="10"/>
        <v>0</v>
      </c>
      <c r="L53" s="2041">
        <f t="shared" si="10"/>
        <v>1166196</v>
      </c>
      <c r="M53" s="2040"/>
    </row>
    <row r="54" spans="2:14" ht="20.100000000000001" customHeight="1" x14ac:dyDescent="0.2">
      <c r="B54" s="1113"/>
      <c r="C54" s="1824"/>
      <c r="D54" s="1825"/>
      <c r="E54" s="1826"/>
      <c r="F54" s="1826"/>
      <c r="G54" s="1826"/>
      <c r="H54" s="1826"/>
      <c r="I54" s="1826"/>
      <c r="J54" s="1826"/>
      <c r="K54" s="1826"/>
      <c r="L54" s="1823"/>
      <c r="M54" s="1826"/>
    </row>
    <row r="55" spans="2:14" s="1036" customFormat="1" ht="20.100000000000001" customHeight="1" x14ac:dyDescent="0.2">
      <c r="B55" s="2037" t="s">
        <v>2108</v>
      </c>
      <c r="C55" s="2038"/>
      <c r="D55" s="2039"/>
      <c r="E55" s="2040">
        <f t="shared" ref="E55:L55" si="11">E22+E32+E53</f>
        <v>1539515</v>
      </c>
      <c r="F55" s="2040">
        <f t="shared" si="11"/>
        <v>1936145</v>
      </c>
      <c r="G55" s="2040">
        <f t="shared" si="11"/>
        <v>1539515</v>
      </c>
      <c r="H55" s="2040">
        <f t="shared" si="11"/>
        <v>0</v>
      </c>
      <c r="I55" s="2040">
        <f t="shared" si="11"/>
        <v>1936145</v>
      </c>
      <c r="J55" s="2040">
        <f t="shared" si="11"/>
        <v>0</v>
      </c>
      <c r="K55" s="2040">
        <f t="shared" si="11"/>
        <v>0</v>
      </c>
      <c r="L55" s="2041">
        <f t="shared" si="11"/>
        <v>3475660</v>
      </c>
      <c r="M55" s="2040"/>
    </row>
    <row r="56" spans="2:14" ht="20.100000000000001" customHeight="1" x14ac:dyDescent="0.2">
      <c r="B56" s="1113"/>
      <c r="C56" s="1824"/>
      <c r="D56" s="1825"/>
      <c r="E56" s="1826"/>
      <c r="F56" s="1826"/>
      <c r="G56" s="1826"/>
      <c r="H56" s="1826"/>
      <c r="I56" s="1826"/>
      <c r="J56" s="1826"/>
      <c r="K56" s="1826"/>
      <c r="L56" s="1823"/>
      <c r="M56" s="1826"/>
    </row>
    <row r="57" spans="2:14" ht="20.100000000000001" customHeight="1" x14ac:dyDescent="0.2">
      <c r="B57" s="1113"/>
      <c r="C57" s="1824"/>
      <c r="D57" s="1825"/>
      <c r="E57" s="1826"/>
      <c r="F57" s="1826"/>
      <c r="G57" s="1826"/>
      <c r="H57" s="1826"/>
      <c r="I57" s="1826"/>
      <c r="J57" s="1826"/>
      <c r="K57" s="1826"/>
      <c r="L57" s="1823">
        <f t="shared" si="1"/>
        <v>0</v>
      </c>
      <c r="M57" s="1826"/>
      <c r="N57" s="1114"/>
    </row>
    <row r="58" spans="2:14" ht="12.75" customHeight="1" x14ac:dyDescent="0.2">
      <c r="B58" s="1115"/>
      <c r="C58" s="1116"/>
      <c r="D58" s="1117"/>
      <c r="E58" s="1118"/>
      <c r="F58" s="1118"/>
      <c r="G58" s="1118"/>
      <c r="H58" s="1118"/>
      <c r="I58" s="1118"/>
      <c r="J58" s="1118"/>
      <c r="K58" s="1118"/>
      <c r="L58" s="1118"/>
      <c r="M58" s="1118"/>
      <c r="N58" s="1114"/>
    </row>
    <row r="59" spans="2:14" x14ac:dyDescent="0.2">
      <c r="B59" s="1033"/>
      <c r="C59" s="1119"/>
      <c r="D59" s="1120"/>
      <c r="E59" s="1033"/>
      <c r="F59" s="1033"/>
      <c r="G59" s="1026"/>
      <c r="H59" s="1026"/>
      <c r="I59" s="1026"/>
      <c r="J59" s="1026"/>
      <c r="K59" s="1026"/>
      <c r="L59" s="1026"/>
      <c r="M59" s="1033"/>
      <c r="N59" s="1114"/>
    </row>
    <row r="60" spans="2:14" ht="13.5" customHeight="1" x14ac:dyDescent="0.2">
      <c r="B60" s="1058" t="s">
        <v>1711</v>
      </c>
      <c r="C60" s="1119"/>
      <c r="D60" s="1120"/>
      <c r="E60" s="1033"/>
      <c r="F60" s="1033"/>
      <c r="G60" s="1026"/>
      <c r="H60" s="1026"/>
      <c r="I60" s="1026"/>
      <c r="J60" s="1026"/>
      <c r="K60" s="1026"/>
      <c r="L60" s="1026"/>
      <c r="M60" s="1033"/>
      <c r="N60" s="1114"/>
    </row>
    <row r="61" spans="2:14" ht="8.25" customHeight="1" x14ac:dyDescent="0.2">
      <c r="B61" s="1058"/>
      <c r="C61" s="1119"/>
      <c r="D61" s="1120"/>
      <c r="E61" s="1033"/>
      <c r="F61" s="1033"/>
      <c r="G61" s="1026"/>
      <c r="H61" s="1026"/>
      <c r="I61" s="1026"/>
      <c r="J61" s="1026"/>
      <c r="K61" s="1026"/>
      <c r="L61" s="1026"/>
      <c r="M61" s="1033"/>
      <c r="N61" s="1114"/>
    </row>
    <row r="62" spans="2:14" x14ac:dyDescent="0.2">
      <c r="B62" s="1121" t="s">
        <v>1809</v>
      </c>
      <c r="C62" s="1122"/>
      <c r="D62" s="1123"/>
      <c r="E62" s="1124"/>
      <c r="F62" s="1124"/>
      <c r="G62" s="1124"/>
      <c r="H62" s="1124"/>
      <c r="I62" s="295"/>
      <c r="J62" s="295"/>
    </row>
    <row r="63" spans="2:14" x14ac:dyDescent="0.2">
      <c r="B63" s="1053"/>
      <c r="C63" s="1125"/>
      <c r="D63" s="1126"/>
      <c r="E63" s="1054"/>
      <c r="F63" s="1054"/>
      <c r="G63" s="295"/>
      <c r="H63" s="295"/>
      <c r="I63" s="295"/>
      <c r="J63" s="295"/>
    </row>
    <row r="64" spans="2:14" ht="13.5" customHeight="1" x14ac:dyDescent="0.2">
      <c r="B64" s="1052" t="s">
        <v>1235</v>
      </c>
      <c r="G64" s="295"/>
      <c r="H64" s="295"/>
      <c r="I64" s="295"/>
      <c r="J64" s="295"/>
    </row>
    <row r="65" spans="2:13" ht="13.5" customHeight="1" x14ac:dyDescent="0.2">
      <c r="B65" s="1129"/>
      <c r="C65" s="1130"/>
      <c r="D65" s="1131"/>
      <c r="E65" s="1073"/>
      <c r="F65" s="1073"/>
      <c r="G65" s="1073"/>
      <c r="H65" s="1073"/>
      <c r="I65" s="1073"/>
      <c r="J65" s="1073"/>
      <c r="K65" s="1132"/>
      <c r="L65" s="1132"/>
      <c r="M65" s="1073"/>
    </row>
    <row r="66" spans="2:13" ht="9.6" customHeight="1" x14ac:dyDescent="0.2">
      <c r="B66" s="1133"/>
      <c r="G66" s="295"/>
      <c r="H66" s="295"/>
      <c r="I66" s="295"/>
      <c r="J66" s="295"/>
    </row>
    <row r="67" spans="2:13" ht="11.25" customHeight="1" x14ac:dyDescent="0.2">
      <c r="B67" s="1134" t="s">
        <v>1712</v>
      </c>
      <c r="C67" s="1135"/>
      <c r="D67" s="1135"/>
      <c r="E67" s="1135"/>
      <c r="F67" s="1135"/>
      <c r="G67" s="1135"/>
      <c r="H67" s="1135"/>
      <c r="I67" s="1136"/>
      <c r="J67" s="1136"/>
      <c r="K67" s="1136"/>
      <c r="L67" s="1136"/>
      <c r="M67" s="1136"/>
    </row>
    <row r="68" spans="2:13" ht="11.25" customHeight="1" x14ac:dyDescent="0.2">
      <c r="B68" s="1137" t="s">
        <v>1567</v>
      </c>
      <c r="C68" s="1136"/>
      <c r="D68" s="1136"/>
      <c r="E68" s="1136"/>
      <c r="F68" s="1136"/>
      <c r="G68" s="1136"/>
      <c r="H68" s="1136"/>
      <c r="I68" s="1136"/>
      <c r="J68" s="1136"/>
      <c r="K68" s="1136"/>
      <c r="L68" s="1136"/>
      <c r="M68" s="1136"/>
    </row>
    <row r="69" spans="2:13" ht="3.95" customHeight="1" x14ac:dyDescent="0.2">
      <c r="B69" s="1137"/>
      <c r="C69" s="1136"/>
      <c r="D69" s="1136"/>
      <c r="E69" s="1136"/>
      <c r="F69" s="1136"/>
      <c r="G69" s="1136"/>
      <c r="H69" s="1136"/>
      <c r="I69" s="1136"/>
      <c r="J69" s="1136"/>
      <c r="K69" s="1136"/>
      <c r="L69" s="1136"/>
      <c r="M69" s="1136"/>
    </row>
    <row r="70" spans="2:13" ht="11.25" customHeight="1" x14ac:dyDescent="0.2">
      <c r="B70" s="1134" t="s">
        <v>1713</v>
      </c>
      <c r="C70" s="1136"/>
      <c r="D70" s="1136"/>
      <c r="E70" s="1136"/>
      <c r="F70" s="1136"/>
      <c r="G70" s="1136"/>
      <c r="H70" s="1136"/>
      <c r="I70" s="1136"/>
      <c r="J70" s="1136"/>
      <c r="K70" s="1136"/>
      <c r="L70" s="1136"/>
      <c r="M70" s="1136"/>
    </row>
    <row r="71" spans="2:13" ht="11.25" customHeight="1" x14ac:dyDescent="0.2">
      <c r="B71" s="1076" t="s">
        <v>1568</v>
      </c>
      <c r="C71" s="1138"/>
      <c r="D71" s="1139"/>
      <c r="E71" s="1076"/>
      <c r="F71" s="1076"/>
      <c r="G71" s="1076"/>
      <c r="H71" s="1076"/>
      <c r="I71" s="1076"/>
      <c r="J71" s="1076"/>
      <c r="K71" s="1140"/>
      <c r="L71" s="1140"/>
      <c r="M71" s="1076"/>
    </row>
    <row r="72" spans="2:13" ht="3.95" customHeight="1" x14ac:dyDescent="0.2">
      <c r="B72" s="1076"/>
      <c r="C72" s="1138"/>
      <c r="D72" s="1139"/>
      <c r="E72" s="1076"/>
      <c r="F72" s="1076"/>
      <c r="G72" s="1076"/>
      <c r="H72" s="1076"/>
      <c r="I72" s="1076"/>
      <c r="J72" s="1076"/>
      <c r="K72" s="1140"/>
      <c r="L72" s="1140"/>
      <c r="M72" s="1076"/>
    </row>
    <row r="73" spans="2:13" ht="11.25" customHeight="1" x14ac:dyDescent="0.2">
      <c r="B73" s="1141" t="s">
        <v>1714</v>
      </c>
      <c r="C73" s="1138"/>
      <c r="D73" s="1139"/>
      <c r="E73" s="1076"/>
      <c r="F73" s="1076"/>
      <c r="G73" s="1076"/>
      <c r="H73" s="1076"/>
      <c r="I73" s="1076"/>
      <c r="J73" s="1076"/>
      <c r="K73" s="1140"/>
      <c r="L73" s="1140"/>
      <c r="M73" s="1076"/>
    </row>
    <row r="74" spans="2:13" ht="3.95" customHeight="1" x14ac:dyDescent="0.2">
      <c r="B74" s="1141"/>
      <c r="C74" s="1138"/>
      <c r="D74" s="1139"/>
      <c r="E74" s="1076"/>
      <c r="F74" s="1076"/>
      <c r="G74" s="1076"/>
      <c r="H74" s="1076"/>
      <c r="I74" s="1076"/>
      <c r="J74" s="1076"/>
      <c r="K74" s="1140"/>
      <c r="L74" s="1140"/>
      <c r="M74" s="1076"/>
    </row>
    <row r="75" spans="2:13" ht="11.25" customHeight="1" x14ac:dyDescent="0.2">
      <c r="B75" s="1142" t="s">
        <v>1715</v>
      </c>
      <c r="C75" s="1138"/>
      <c r="D75" s="1139"/>
      <c r="E75" s="1076"/>
      <c r="F75" s="1076"/>
      <c r="G75" s="1076"/>
      <c r="H75" s="1076"/>
      <c r="I75" s="1076"/>
      <c r="J75" s="1076"/>
      <c r="K75" s="1140"/>
      <c r="L75" s="1140"/>
      <c r="M75" s="1076"/>
    </row>
    <row r="76" spans="2:13" ht="11.25" customHeight="1" x14ac:dyDescent="0.2">
      <c r="B76" s="1076" t="s">
        <v>1569</v>
      </c>
      <c r="G76" s="295"/>
      <c r="H76" s="295"/>
      <c r="I76" s="295"/>
      <c r="J76" s="295"/>
    </row>
    <row r="77" spans="2:13" ht="11.1" customHeight="1" x14ac:dyDescent="0.2">
      <c r="B77" s="1076"/>
      <c r="G77" s="295"/>
      <c r="H77" s="295"/>
      <c r="I77" s="295"/>
      <c r="J77" s="295"/>
    </row>
    <row r="78" spans="2:13" ht="11.1" customHeight="1" x14ac:dyDescent="0.2">
      <c r="B78" s="1076"/>
      <c r="G78" s="295"/>
      <c r="H78" s="295"/>
      <c r="I78" s="295"/>
      <c r="J78" s="295"/>
    </row>
    <row r="79" spans="2:13" ht="13.5" customHeight="1" x14ac:dyDescent="0.2">
      <c r="M79" s="1143"/>
    </row>
    <row r="80" spans="2:13" ht="13.5" customHeight="1" x14ac:dyDescent="0.2">
      <c r="M80" s="1143"/>
    </row>
    <row r="81" spans="7:13" ht="13.5" customHeight="1" x14ac:dyDescent="0.2">
      <c r="M81" s="1143"/>
    </row>
    <row r="82" spans="7:13" ht="13.5" customHeight="1" x14ac:dyDescent="0.2">
      <c r="G82" s="295"/>
      <c r="H82" s="295"/>
      <c r="I82" s="295"/>
      <c r="J82" s="295"/>
    </row>
    <row r="83" spans="7:13" ht="13.5" customHeight="1" x14ac:dyDescent="0.2">
      <c r="G83" s="295"/>
      <c r="H83" s="295"/>
      <c r="I83" s="295"/>
      <c r="J83" s="295"/>
    </row>
    <row r="84" spans="7:13" ht="13.5" customHeight="1" x14ac:dyDescent="0.2">
      <c r="G84" s="295"/>
      <c r="H84" s="295"/>
      <c r="I84" s="295"/>
      <c r="J84" s="295"/>
    </row>
    <row r="85" spans="7:13" ht="13.5" customHeight="1" x14ac:dyDescent="0.2">
      <c r="G85" s="295"/>
      <c r="H85" s="295"/>
      <c r="I85" s="295"/>
      <c r="J85" s="295"/>
    </row>
    <row r="86" spans="7:13" ht="13.5" customHeight="1" x14ac:dyDescent="0.2">
      <c r="G86" s="295"/>
      <c r="H86" s="295"/>
      <c r="I86" s="295"/>
      <c r="J86" s="295"/>
    </row>
    <row r="87" spans="7:13" ht="13.5" customHeight="1" x14ac:dyDescent="0.2">
      <c r="G87" s="295"/>
      <c r="H87" s="295"/>
      <c r="I87" s="295"/>
      <c r="J87" s="295"/>
    </row>
    <row r="88" spans="7:13" ht="13.5" customHeight="1" x14ac:dyDescent="0.2">
      <c r="G88" s="295"/>
      <c r="H88" s="295"/>
      <c r="I88" s="295"/>
      <c r="J88" s="295"/>
    </row>
    <row r="89" spans="7:13" ht="13.5" customHeight="1" x14ac:dyDescent="0.2"/>
    <row r="90" spans="7:13" ht="13.5" customHeight="1" x14ac:dyDescent="0.2"/>
    <row r="91" spans="7:13" ht="13.5" customHeight="1" x14ac:dyDescent="0.2"/>
    <row r="92" spans="7:13" ht="25.5" customHeight="1" x14ac:dyDescent="0.2"/>
    <row r="93" spans="7:13" ht="25.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4.7" customHeight="1" x14ac:dyDescent="0.2"/>
    <row r="142" ht="12.2"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4.7" customHeight="1" x14ac:dyDescent="0.2"/>
    <row r="18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6" zoomScale="120" zoomScaleNormal="120" workbookViewId="0">
      <selection activeCell="D44" sqref="D43:D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Cary CCSD 26</v>
      </c>
      <c r="B1" s="2590"/>
      <c r="C1" s="2590"/>
      <c r="D1" s="2590"/>
      <c r="E1" s="2590"/>
      <c r="F1" s="2590"/>
    </row>
    <row r="2" spans="1:7" ht="13.5" customHeight="1" x14ac:dyDescent="0.2">
      <c r="A2" s="2578">
        <f>'Single Audit Cover'!E7</f>
        <v>44063026004</v>
      </c>
      <c r="B2" s="2578"/>
      <c r="C2" s="2578"/>
      <c r="D2" s="2578"/>
      <c r="E2" s="2578"/>
      <c r="F2" s="2578"/>
      <c r="G2" s="1051"/>
    </row>
    <row r="3" spans="1:7" ht="15.75" customHeight="1" x14ac:dyDescent="0.2">
      <c r="A3" s="2591" t="s">
        <v>1260</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5"/>
      <c r="D5" s="295"/>
    </row>
    <row r="6" spans="1:7" ht="13.5" customHeight="1" x14ac:dyDescent="0.2">
      <c r="A6" s="1052" t="s">
        <v>1705</v>
      </c>
      <c r="C6" s="295"/>
      <c r="D6" s="295"/>
    </row>
    <row r="7" spans="1:7" ht="60.95" customHeight="1" x14ac:dyDescent="0.2">
      <c r="A7" s="2589" t="s">
        <v>2127</v>
      </c>
      <c r="B7" s="2589"/>
      <c r="C7" s="2589"/>
      <c r="D7" s="2589"/>
      <c r="E7" s="2589"/>
      <c r="F7" s="258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9" t="s">
        <v>2128</v>
      </c>
      <c r="B13" s="2589"/>
      <c r="C13" s="2589"/>
      <c r="D13" s="2589"/>
      <c r="E13" s="2589"/>
      <c r="F13" s="2589"/>
    </row>
    <row r="14" spans="1:7" ht="9.75" customHeight="1" x14ac:dyDescent="0.2">
      <c r="C14" s="1036"/>
      <c r="D14" s="1036"/>
    </row>
    <row r="15" spans="1:7" ht="13.5" customHeight="1" x14ac:dyDescent="0.2">
      <c r="C15" s="1476" t="s">
        <v>1259</v>
      </c>
      <c r="D15" s="2587" t="s">
        <v>1258</v>
      </c>
      <c r="E15" s="2587"/>
      <c r="F15" s="2587"/>
    </row>
    <row r="16" spans="1:7" ht="13.5" customHeight="1" x14ac:dyDescent="0.2">
      <c r="A16" s="1058"/>
      <c r="B16" s="1052" t="s">
        <v>1257</v>
      </c>
      <c r="C16" s="1476" t="s">
        <v>1256</v>
      </c>
      <c r="D16" s="2588" t="s">
        <v>1571</v>
      </c>
      <c r="E16" s="2588"/>
      <c r="F16" s="2588"/>
    </row>
    <row r="17" spans="1:6" ht="20.45" customHeight="1" x14ac:dyDescent="0.2">
      <c r="A17" s="1059"/>
      <c r="B17" s="1060"/>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3" t="s">
        <v>2129</v>
      </c>
      <c r="B32" s="2583"/>
      <c r="C32" s="2583"/>
      <c r="D32" s="2583"/>
      <c r="E32" s="2583"/>
      <c r="F32" s="2583"/>
    </row>
    <row r="33" spans="1:6" ht="13.5" customHeight="1" x14ac:dyDescent="0.2">
      <c r="A33" s="306" t="s">
        <v>1417</v>
      </c>
      <c r="B33" s="306"/>
      <c r="C33" s="1064">
        <f>' SEFA'!F19+' SEFA'!F20</f>
        <v>80443</v>
      </c>
      <c r="D33" s="1526"/>
      <c r="E33" s="1062"/>
    </row>
    <row r="34" spans="1:6" ht="13.5" customHeight="1" x14ac:dyDescent="0.2">
      <c r="A34" s="306" t="s">
        <v>1808</v>
      </c>
      <c r="B34" s="306"/>
      <c r="C34" s="1065">
        <v>0</v>
      </c>
      <c r="D34" s="1526" t="s">
        <v>1572</v>
      </c>
      <c r="E34" s="2584">
        <f>+C33+C34</f>
        <v>80443</v>
      </c>
      <c r="F34" s="258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6" t="s">
        <v>1573</v>
      </c>
      <c r="C49" s="2586"/>
      <c r="D49" s="2586"/>
      <c r="E49" s="1168"/>
    </row>
    <row r="50" spans="1:5" s="1076" customFormat="1" ht="3.75" customHeight="1" x14ac:dyDescent="0.2">
      <c r="A50" s="1075"/>
      <c r="B50" s="1475"/>
      <c r="C50" s="1475"/>
      <c r="D50" s="1475"/>
      <c r="E50" s="1168"/>
    </row>
    <row r="51" spans="1:5" s="1076" customFormat="1" ht="20.25" customHeight="1" x14ac:dyDescent="0.2">
      <c r="A51" s="1077">
        <v>6</v>
      </c>
      <c r="B51" s="2581" t="s">
        <v>1534</v>
      </c>
      <c r="C51" s="2581"/>
      <c r="D51" s="2581"/>
    </row>
    <row r="52" spans="1:5" ht="14.25" customHeight="1" x14ac:dyDescent="0.2">
      <c r="A52" s="1077"/>
      <c r="B52" s="2581"/>
      <c r="C52" s="2581"/>
      <c r="D52" s="258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5" colorId="8" zoomScaleNormal="100" workbookViewId="0">
      <selection activeCell="I88" sqref="I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5" t="s">
        <v>1158</v>
      </c>
      <c r="B2" s="2165"/>
      <c r="C2" s="2165"/>
      <c r="D2" s="2165"/>
      <c r="E2" s="2165"/>
      <c r="F2" s="2165"/>
      <c r="G2" s="2165"/>
      <c r="H2" s="2165"/>
      <c r="I2" s="2165"/>
      <c r="J2" s="216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9" t="s">
        <v>1616</v>
      </c>
      <c r="B35" s="2180"/>
      <c r="C35" s="2180"/>
      <c r="D35" s="2180"/>
      <c r="E35" s="2181"/>
      <c r="F35" s="2181"/>
      <c r="G35" s="2181"/>
      <c r="H35" s="2181"/>
      <c r="I35" s="218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9" t="s">
        <v>310</v>
      </c>
      <c r="B47" s="2182"/>
      <c r="C47" s="2182"/>
      <c r="D47" s="2182"/>
      <c r="E47" s="2183"/>
      <c r="F47" s="2183"/>
      <c r="G47" s="2183"/>
      <c r="H47" s="2183"/>
      <c r="I47" s="218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6"/>
      <c r="C57" s="2187"/>
      <c r="D57" s="2187"/>
      <c r="E57" s="2187"/>
      <c r="F57" s="2187"/>
      <c r="G57" s="2187"/>
      <c r="H57" s="2187"/>
      <c r="I57" s="2187"/>
      <c r="J57" s="2188"/>
    </row>
    <row r="58" spans="1:10" s="176" customFormat="1" x14ac:dyDescent="0.2">
      <c r="A58" s="248"/>
      <c r="B58" s="2189"/>
      <c r="C58" s="2190"/>
      <c r="D58" s="2190"/>
      <c r="E58" s="2190"/>
      <c r="F58" s="2190"/>
      <c r="G58" s="2190"/>
      <c r="H58" s="2190"/>
      <c r="I58" s="2190"/>
      <c r="J58" s="2191"/>
    </row>
    <row r="59" spans="1:10" s="176" customFormat="1" x14ac:dyDescent="0.2">
      <c r="A59" s="248"/>
      <c r="B59" s="2189"/>
      <c r="C59" s="2190"/>
      <c r="D59" s="2190"/>
      <c r="E59" s="2190"/>
      <c r="F59" s="2190"/>
      <c r="G59" s="2190"/>
      <c r="H59" s="2190"/>
      <c r="I59" s="2190"/>
      <c r="J59" s="2191"/>
    </row>
    <row r="60" spans="1:10" s="176" customFormat="1" x14ac:dyDescent="0.2">
      <c r="A60" s="248"/>
      <c r="B60" s="2189"/>
      <c r="C60" s="2190"/>
      <c r="D60" s="2190"/>
      <c r="E60" s="2190"/>
      <c r="F60" s="2190"/>
      <c r="G60" s="2190"/>
      <c r="H60" s="2190"/>
      <c r="I60" s="2190"/>
      <c r="J60" s="2191"/>
    </row>
    <row r="61" spans="1:10" s="176" customFormat="1" x14ac:dyDescent="0.2">
      <c r="A61" s="248"/>
      <c r="B61" s="2189"/>
      <c r="C61" s="2190"/>
      <c r="D61" s="2190"/>
      <c r="E61" s="2190"/>
      <c r="F61" s="2190"/>
      <c r="G61" s="2190"/>
      <c r="H61" s="2190"/>
      <c r="I61" s="2190"/>
      <c r="J61" s="2191"/>
    </row>
    <row r="62" spans="1:10" s="176" customFormat="1" x14ac:dyDescent="0.2">
      <c r="A62" s="248"/>
      <c r="B62" s="2189"/>
      <c r="C62" s="2190"/>
      <c r="D62" s="2190"/>
      <c r="E62" s="2190"/>
      <c r="F62" s="2190"/>
      <c r="G62" s="2190"/>
      <c r="H62" s="2190"/>
      <c r="I62" s="2190"/>
      <c r="J62" s="2191"/>
    </row>
    <row r="63" spans="1:10" s="176" customFormat="1" x14ac:dyDescent="0.2">
      <c r="A63" s="248"/>
      <c r="B63" s="2189"/>
      <c r="C63" s="2190"/>
      <c r="D63" s="2190"/>
      <c r="E63" s="2190"/>
      <c r="F63" s="2190"/>
      <c r="G63" s="2190"/>
      <c r="H63" s="2190"/>
      <c r="I63" s="2190"/>
      <c r="J63" s="2191"/>
    </row>
    <row r="64" spans="1:10" s="176" customFormat="1" x14ac:dyDescent="0.2">
      <c r="A64" s="248"/>
      <c r="B64" s="2189"/>
      <c r="C64" s="2190"/>
      <c r="D64" s="2190"/>
      <c r="E64" s="2190"/>
      <c r="F64" s="2190"/>
      <c r="G64" s="2190"/>
      <c r="H64" s="2190"/>
      <c r="I64" s="2190"/>
      <c r="J64" s="2191"/>
    </row>
    <row r="65" spans="1:11" s="176" customFormat="1" x14ac:dyDescent="0.2">
      <c r="A65" s="248"/>
      <c r="B65" s="2189"/>
      <c r="C65" s="2190"/>
      <c r="D65" s="2190"/>
      <c r="E65" s="2190"/>
      <c r="F65" s="2190"/>
      <c r="G65" s="2190"/>
      <c r="H65" s="2190"/>
      <c r="I65" s="2190"/>
      <c r="J65" s="2191"/>
    </row>
    <row r="66" spans="1:11" s="176" customFormat="1" x14ac:dyDescent="0.2">
      <c r="A66" s="248"/>
      <c r="B66" s="2189"/>
      <c r="C66" s="2190"/>
      <c r="D66" s="2190"/>
      <c r="E66" s="2190"/>
      <c r="F66" s="2190"/>
      <c r="G66" s="2190"/>
      <c r="H66" s="2190"/>
      <c r="I66" s="2190"/>
      <c r="J66" s="2191"/>
    </row>
    <row r="67" spans="1:11" s="176" customFormat="1" ht="9" customHeight="1" x14ac:dyDescent="0.2">
      <c r="A67" s="249"/>
      <c r="B67" s="2192"/>
      <c r="C67" s="2193"/>
      <c r="D67" s="2193"/>
      <c r="E67" s="2193"/>
      <c r="F67" s="2193"/>
      <c r="G67" s="2193"/>
      <c r="H67" s="2193"/>
      <c r="I67" s="2193"/>
      <c r="J67" s="219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9" t="s">
        <v>1312</v>
      </c>
      <c r="B70" s="2182"/>
      <c r="C70" s="2182"/>
      <c r="D70" s="2182"/>
      <c r="E70" s="2183"/>
      <c r="F70" s="2183"/>
      <c r="G70" s="2183"/>
      <c r="H70" s="2183"/>
      <c r="I70" s="218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4" t="s">
        <v>1309</v>
      </c>
      <c r="B83" s="2184"/>
      <c r="C83" s="2184"/>
      <c r="D83" s="218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5" t="s">
        <v>1986</v>
      </c>
      <c r="B85" s="2195"/>
      <c r="C85" s="2195"/>
      <c r="D85" s="2196"/>
      <c r="E85" s="1544"/>
      <c r="F85" s="1544"/>
      <c r="G85" s="1544">
        <v>33802</v>
      </c>
      <c r="H85" s="1544">
        <v>100193</v>
      </c>
      <c r="I85" s="1904"/>
      <c r="J85" s="1727">
        <f>SUM(E85:I85)</f>
        <v>133995</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7" t="s">
        <v>1986</v>
      </c>
      <c r="B88" s="2198"/>
      <c r="C88" s="2198"/>
      <c r="D88" s="2199"/>
      <c r="E88" s="1544">
        <v>44186</v>
      </c>
      <c r="F88" s="1544"/>
      <c r="G88" s="1544">
        <v>33082</v>
      </c>
      <c r="H88" s="1544">
        <v>100193</v>
      </c>
      <c r="I88" s="1904"/>
      <c r="J88" s="1727">
        <f>SUM(E88:I88)</f>
        <v>177461</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311456</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6"/>
      <c r="C102" s="2167"/>
      <c r="D102" s="2167"/>
      <c r="E102" s="2167"/>
      <c r="F102" s="2167"/>
      <c r="G102" s="2167"/>
      <c r="H102" s="2167"/>
      <c r="I102" s="2168"/>
    </row>
    <row r="103" spans="1:9" s="176" customFormat="1" ht="11.25" customHeight="1" x14ac:dyDescent="0.2">
      <c r="A103" s="294"/>
      <c r="B103" s="2169"/>
      <c r="C103" s="2170"/>
      <c r="D103" s="2170"/>
      <c r="E103" s="2170"/>
      <c r="F103" s="2170"/>
      <c r="G103" s="2170"/>
      <c r="H103" s="2170"/>
      <c r="I103" s="2171"/>
    </row>
    <row r="104" spans="1:9" s="176" customFormat="1" ht="11.25" customHeight="1" x14ac:dyDescent="0.2">
      <c r="A104" s="294"/>
      <c r="B104" s="2169"/>
      <c r="C104" s="2170"/>
      <c r="D104" s="2170"/>
      <c r="E104" s="2170"/>
      <c r="F104" s="2170"/>
      <c r="G104" s="2170"/>
      <c r="H104" s="2170"/>
      <c r="I104" s="2171"/>
    </row>
    <row r="105" spans="1:9" s="176" customFormat="1" x14ac:dyDescent="0.2">
      <c r="A105" s="294"/>
      <c r="B105" s="2169"/>
      <c r="C105" s="2170"/>
      <c r="D105" s="2170"/>
      <c r="E105" s="2170"/>
      <c r="F105" s="2170"/>
      <c r="G105" s="2170"/>
      <c r="H105" s="2170"/>
      <c r="I105" s="2171"/>
    </row>
    <row r="106" spans="1:9" s="176" customFormat="1" ht="11.25" customHeight="1" x14ac:dyDescent="0.2">
      <c r="A106" s="294"/>
      <c r="B106" s="2169"/>
      <c r="C106" s="2170"/>
      <c r="D106" s="2170"/>
      <c r="E106" s="2170"/>
      <c r="F106" s="2170"/>
      <c r="G106" s="2170"/>
      <c r="H106" s="2170"/>
      <c r="I106" s="2171"/>
    </row>
    <row r="107" spans="1:9" s="176" customFormat="1" ht="11.25" customHeight="1" x14ac:dyDescent="0.2">
      <c r="A107" s="294"/>
      <c r="B107" s="2169"/>
      <c r="C107" s="2170"/>
      <c r="D107" s="2170"/>
      <c r="E107" s="2170"/>
      <c r="F107" s="2170"/>
      <c r="G107" s="2170"/>
      <c r="H107" s="2170"/>
      <c r="I107" s="2171"/>
    </row>
    <row r="108" spans="1:9" s="176" customFormat="1" ht="11.25" customHeight="1" x14ac:dyDescent="0.2">
      <c r="A108" s="294"/>
      <c r="B108" s="2169"/>
      <c r="C108" s="2170"/>
      <c r="D108" s="2170"/>
      <c r="E108" s="2170"/>
      <c r="F108" s="2170"/>
      <c r="G108" s="2170"/>
      <c r="H108" s="2170"/>
      <c r="I108" s="2171"/>
    </row>
    <row r="109" spans="1:9" s="176" customFormat="1" ht="11.25" customHeight="1" x14ac:dyDescent="0.2">
      <c r="A109" s="294"/>
      <c r="B109" s="2169"/>
      <c r="C109" s="2170"/>
      <c r="D109" s="2170"/>
      <c r="E109" s="2170"/>
      <c r="F109" s="2170"/>
      <c r="G109" s="2170"/>
      <c r="H109" s="2170"/>
      <c r="I109" s="2171"/>
    </row>
    <row r="110" spans="1:9" s="176" customFormat="1" ht="11.25" customHeight="1" x14ac:dyDescent="0.2">
      <c r="A110" s="294"/>
      <c r="B110" s="2169"/>
      <c r="C110" s="2170"/>
      <c r="D110" s="2170"/>
      <c r="E110" s="2170"/>
      <c r="F110" s="2170"/>
      <c r="G110" s="2170"/>
      <c r="H110" s="2170"/>
      <c r="I110" s="2171"/>
    </row>
    <row r="111" spans="1:9" s="176" customFormat="1" ht="11.25" customHeight="1" x14ac:dyDescent="0.2">
      <c r="A111" s="294"/>
      <c r="B111" s="2169"/>
      <c r="C111" s="2170"/>
      <c r="D111" s="2170"/>
      <c r="E111" s="2170"/>
      <c r="F111" s="2170"/>
      <c r="G111" s="2170"/>
      <c r="H111" s="2170"/>
      <c r="I111" s="2171"/>
    </row>
    <row r="112" spans="1:9" s="176" customFormat="1" ht="11.25" customHeight="1" x14ac:dyDescent="0.2">
      <c r="A112" s="294"/>
      <c r="B112" s="2172"/>
      <c r="C112" s="2173"/>
      <c r="D112" s="2173"/>
      <c r="E112" s="2173"/>
      <c r="F112" s="2173"/>
      <c r="G112" s="2173"/>
      <c r="H112" s="2173"/>
      <c r="I112" s="217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5"/>
      <c r="D114" s="217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6" t="s">
        <v>1319</v>
      </c>
      <c r="D117" s="2177"/>
      <c r="E117" s="2178"/>
      <c r="F117" s="2178"/>
      <c r="G117" s="2178"/>
      <c r="H117" s="217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F51" sqref="F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4" t="str">
        <f>'Single Audit Cover'!A7</f>
        <v>Cary CCSD 26</v>
      </c>
      <c r="C1" s="2605"/>
      <c r="D1" s="2605"/>
      <c r="E1" s="2605"/>
      <c r="F1" s="2605"/>
      <c r="G1" s="2605"/>
      <c r="H1" s="2605"/>
      <c r="I1" s="2605"/>
      <c r="J1" s="1178"/>
    </row>
    <row r="2" spans="2:10" s="295" customFormat="1" ht="12.75" customHeight="1" x14ac:dyDescent="0.2">
      <c r="B2" s="2606">
        <f>'Single Audit Cover'!E7</f>
        <v>44063026004</v>
      </c>
      <c r="C2" s="2607"/>
      <c r="D2" s="2607"/>
      <c r="E2" s="2607"/>
      <c r="F2" s="2607"/>
      <c r="G2" s="2607"/>
      <c r="H2" s="2607"/>
      <c r="I2" s="2607"/>
      <c r="J2" s="1178"/>
    </row>
    <row r="3" spans="2:10" s="295" customFormat="1" ht="12.75" customHeight="1" x14ac:dyDescent="0.2">
      <c r="B3" s="2608" t="s">
        <v>1274</v>
      </c>
      <c r="C3" s="2609"/>
      <c r="D3" s="2609"/>
      <c r="E3" s="2609"/>
      <c r="F3" s="2609"/>
      <c r="G3" s="2609"/>
      <c r="H3" s="2609"/>
      <c r="I3" s="2609"/>
      <c r="J3" s="1179"/>
    </row>
    <row r="4" spans="2:10" s="295" customFormat="1" ht="12.75" customHeight="1" x14ac:dyDescent="0.2">
      <c r="B4" s="2608" t="str">
        <f>'Single Audit Cover'!A4</f>
        <v>Year Ending June 30, 2020</v>
      </c>
      <c r="C4" s="2609"/>
      <c r="D4" s="2609"/>
      <c r="E4" s="2609"/>
      <c r="F4" s="2609"/>
      <c r="G4" s="2609"/>
      <c r="H4" s="2609"/>
      <c r="I4" s="260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8" t="s">
        <v>1273</v>
      </c>
      <c r="C7" s="2609"/>
      <c r="D7" s="2609"/>
      <c r="E7" s="2609"/>
      <c r="F7" s="2609"/>
      <c r="G7" s="2609"/>
      <c r="H7" s="2609"/>
      <c r="I7" s="260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0" t="s">
        <v>2130</v>
      </c>
      <c r="D11" s="261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1" t="s">
        <v>2130</v>
      </c>
      <c r="E29" s="2611"/>
      <c r="F29" s="2611"/>
      <c r="G29" s="2611"/>
      <c r="H29" s="2611"/>
      <c r="I29" s="2611"/>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12" t="s">
        <v>1725</v>
      </c>
      <c r="D37" s="2613"/>
      <c r="E37" s="2613"/>
      <c r="F37" s="2614"/>
      <c r="G37" s="2612" t="s">
        <v>1575</v>
      </c>
      <c r="H37" s="2613"/>
      <c r="I37" s="2614"/>
    </row>
    <row r="38" spans="2:9" ht="16.5" customHeight="1" x14ac:dyDescent="0.2">
      <c r="B38" s="1200" t="s">
        <v>2131</v>
      </c>
      <c r="C38" s="2600" t="s">
        <v>2092</v>
      </c>
      <c r="D38" s="2601"/>
      <c r="E38" s="2601"/>
      <c r="F38" s="2602"/>
      <c r="G38" s="2615">
        <f>' SEFA'!I32</f>
        <v>813262</v>
      </c>
      <c r="H38" s="2616"/>
      <c r="I38" s="2617"/>
    </row>
    <row r="39" spans="2:9" ht="16.5" customHeight="1" x14ac:dyDescent="0.2">
      <c r="B39" s="1200"/>
      <c r="C39" s="2600"/>
      <c r="D39" s="2601"/>
      <c r="E39" s="2601"/>
      <c r="F39" s="2602"/>
      <c r="G39" s="2603"/>
      <c r="H39" s="2603"/>
      <c r="I39" s="2603"/>
    </row>
    <row r="40" spans="2:9" ht="16.5" customHeight="1" x14ac:dyDescent="0.2">
      <c r="B40" s="1200"/>
      <c r="C40" s="2600"/>
      <c r="D40" s="2601"/>
      <c r="E40" s="2601"/>
      <c r="F40" s="2602"/>
      <c r="G40" s="2603"/>
      <c r="H40" s="2603"/>
      <c r="I40" s="2603"/>
    </row>
    <row r="41" spans="2:9" ht="16.5" customHeight="1" x14ac:dyDescent="0.2">
      <c r="B41" s="1200"/>
      <c r="C41" s="2600"/>
      <c r="D41" s="2601"/>
      <c r="E41" s="2601"/>
      <c r="F41" s="2602"/>
      <c r="G41" s="2603"/>
      <c r="H41" s="2603"/>
      <c r="I41" s="2603"/>
    </row>
    <row r="42" spans="2:9" ht="16.5" customHeight="1" x14ac:dyDescent="0.2">
      <c r="B42" s="1200"/>
      <c r="C42" s="2600"/>
      <c r="D42" s="2601"/>
      <c r="E42" s="2601"/>
      <c r="F42" s="2602"/>
      <c r="G42" s="2603"/>
      <c r="H42" s="2603"/>
      <c r="I42" s="2603"/>
    </row>
    <row r="43" spans="2:9" ht="16.5" customHeight="1" x14ac:dyDescent="0.2">
      <c r="B43" s="1200"/>
      <c r="C43" s="2593" t="s">
        <v>1576</v>
      </c>
      <c r="D43" s="2594"/>
      <c r="E43" s="2594"/>
      <c r="F43" s="2595"/>
      <c r="G43" s="2596">
        <f>SUM(G38:I42)</f>
        <v>813262</v>
      </c>
      <c r="H43" s="2596"/>
      <c r="I43" s="2596"/>
    </row>
    <row r="44" spans="2:9" ht="12.75" customHeight="1" x14ac:dyDescent="0.2"/>
    <row r="45" spans="2:9" ht="12.75" customHeight="1" x14ac:dyDescent="0.2">
      <c r="B45" s="1919" t="str">
        <f>"Total Federal Expenditures for 7/1/"&amp;MID('AFR20'!E2,3,2)-1&amp;"-6/30/"&amp;MID('AFR20'!E2,3,2)</f>
        <v>Total Federal Expenditures for 7/1/19-6/30/20</v>
      </c>
      <c r="C45" s="1920"/>
      <c r="D45" s="2597">
        <f>' SEFA'!I55</f>
        <v>1936145</v>
      </c>
      <c r="E45" s="2598"/>
    </row>
    <row r="46" spans="2:9" ht="5.25" customHeight="1" x14ac:dyDescent="0.2">
      <c r="B46" s="1201"/>
      <c r="D46" s="1202"/>
      <c r="E46" s="1203"/>
    </row>
    <row r="47" spans="2:9" ht="12.75" customHeight="1" x14ac:dyDescent="0.2">
      <c r="B47" s="1076" t="s">
        <v>1577</v>
      </c>
      <c r="C47" s="1076"/>
      <c r="D47" s="1204">
        <f>+G43/D45</f>
        <v>0.42004188735864306</v>
      </c>
      <c r="E47" s="1205"/>
      <c r="F47" s="1206"/>
      <c r="I47" s="1207"/>
    </row>
    <row r="48" spans="2:9" ht="9.9499999999999993" customHeight="1" x14ac:dyDescent="0.2"/>
    <row r="49" spans="1:9" x14ac:dyDescent="0.2">
      <c r="B49" s="1138" t="s">
        <v>1262</v>
      </c>
      <c r="C49" s="1058"/>
      <c r="D49" s="1058"/>
      <c r="E49" s="2599">
        <v>750000</v>
      </c>
      <c r="F49" s="2599"/>
      <c r="G49" s="2599"/>
      <c r="H49" s="300"/>
    </row>
    <row r="51" spans="1:9" ht="13.5" customHeight="1" x14ac:dyDescent="0.2">
      <c r="B51" s="1138" t="s">
        <v>1261</v>
      </c>
      <c r="C51" s="1058"/>
      <c r="E51" s="1194" t="s">
        <v>2048</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S12" sqref="S1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4" t="str">
        <f>'Single Audit Cover'!A7</f>
        <v>Cary CCSD 26</v>
      </c>
      <c r="C1" s="2604"/>
      <c r="D1" s="2604"/>
      <c r="E1" s="2604"/>
      <c r="F1" s="2604"/>
      <c r="G1" s="2604"/>
      <c r="H1" s="2604"/>
      <c r="I1" s="2604"/>
      <c r="J1" s="2604"/>
      <c r="K1" s="2604"/>
      <c r="L1" s="1144"/>
      <c r="M1" s="1144"/>
    </row>
    <row r="2" spans="1:13" ht="12" customHeight="1" x14ac:dyDescent="0.2">
      <c r="B2" s="2606">
        <f>'Single Audit Cover'!E7</f>
        <v>44063026004</v>
      </c>
      <c r="C2" s="2606"/>
      <c r="D2" s="2606"/>
      <c r="E2" s="2606"/>
      <c r="F2" s="2606"/>
      <c r="G2" s="2606"/>
      <c r="H2" s="2606"/>
      <c r="I2" s="2606"/>
      <c r="J2" s="2606"/>
      <c r="K2" s="2606"/>
      <c r="L2" s="1145"/>
      <c r="M2" s="1146"/>
    </row>
    <row r="3" spans="1:13" ht="10.35" customHeight="1" x14ac:dyDescent="0.2">
      <c r="B3" s="2620" t="s">
        <v>1274</v>
      </c>
      <c r="C3" s="2620"/>
      <c r="D3" s="2620"/>
      <c r="E3" s="2620"/>
      <c r="F3" s="2620"/>
      <c r="G3" s="2620"/>
      <c r="H3" s="2620"/>
      <c r="I3" s="2620"/>
      <c r="J3" s="2620"/>
      <c r="K3" s="2620"/>
      <c r="L3" s="1147"/>
      <c r="M3" s="1147"/>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1" t="s">
        <v>1285</v>
      </c>
      <c r="C7" s="2621"/>
      <c r="D7" s="2622"/>
      <c r="E7" s="2622"/>
      <c r="F7" s="2622"/>
      <c r="G7" s="2622"/>
      <c r="H7" s="2622"/>
      <c r="I7" s="2622"/>
      <c r="J7" s="2622"/>
      <c r="K7" s="262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9"/>
      <c r="C14" s="2619"/>
      <c r="D14" s="2619"/>
      <c r="E14" s="2619"/>
      <c r="F14" s="2619"/>
      <c r="G14" s="2619"/>
      <c r="H14" s="2619"/>
      <c r="I14" s="2619"/>
      <c r="J14" s="2619"/>
      <c r="K14" s="261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9"/>
      <c r="C17" s="2619"/>
      <c r="D17" s="2619"/>
      <c r="E17" s="2619"/>
      <c r="F17" s="2619"/>
      <c r="G17" s="2619"/>
      <c r="H17" s="2619"/>
      <c r="I17" s="2619"/>
      <c r="J17" s="2619"/>
      <c r="K17" s="261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3"/>
      <c r="C20" s="2623"/>
      <c r="D20" s="2619"/>
      <c r="E20" s="2619"/>
      <c r="F20" s="2619"/>
      <c r="G20" s="2619"/>
      <c r="H20" s="2619"/>
      <c r="I20" s="2619"/>
      <c r="J20" s="2619"/>
      <c r="K20" s="261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9"/>
      <c r="C23" s="2619"/>
      <c r="D23" s="2619"/>
      <c r="E23" s="2619"/>
      <c r="F23" s="2619"/>
      <c r="G23" s="2619"/>
      <c r="H23" s="2619"/>
      <c r="I23" s="2619"/>
      <c r="J23" s="2619"/>
      <c r="K23" s="261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9"/>
      <c r="C26" s="2619"/>
      <c r="D26" s="2619"/>
      <c r="E26" s="2619"/>
      <c r="F26" s="2619"/>
      <c r="G26" s="2619"/>
      <c r="H26" s="2619"/>
      <c r="I26" s="2619"/>
      <c r="J26" s="2619"/>
      <c r="K26" s="261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8"/>
      <c r="C29" s="2618"/>
      <c r="D29" s="2619"/>
      <c r="E29" s="2619"/>
      <c r="F29" s="2619"/>
      <c r="G29" s="2619"/>
      <c r="H29" s="2619"/>
      <c r="I29" s="2619"/>
      <c r="J29" s="2619"/>
      <c r="K29" s="261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8"/>
      <c r="C32" s="2618"/>
      <c r="D32" s="2619"/>
      <c r="E32" s="2619"/>
      <c r="F32" s="2619"/>
      <c r="G32" s="2619"/>
      <c r="H32" s="2619"/>
      <c r="I32" s="2619"/>
      <c r="J32" s="2619"/>
      <c r="K32" s="261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Cary CCSD 26</v>
      </c>
      <c r="C1" s="2627"/>
      <c r="D1" s="2627"/>
      <c r="E1" s="2627"/>
      <c r="F1" s="2627"/>
      <c r="G1" s="2627"/>
      <c r="H1" s="2627"/>
      <c r="I1" s="2627"/>
      <c r="J1" s="2627"/>
      <c r="K1" s="2627"/>
      <c r="L1" s="1221"/>
    </row>
    <row r="2" spans="1:12" ht="12.75" customHeight="1" x14ac:dyDescent="0.2">
      <c r="B2" s="2628">
        <f>'Single Audit Cover'!E7</f>
        <v>44063026004</v>
      </c>
      <c r="C2" s="2628"/>
      <c r="D2" s="2628"/>
      <c r="E2" s="2628"/>
      <c r="F2" s="2628"/>
      <c r="G2" s="2628"/>
      <c r="H2" s="2628"/>
      <c r="I2" s="2628"/>
      <c r="J2" s="2628"/>
      <c r="K2" s="2628"/>
      <c r="L2" s="1222"/>
    </row>
    <row r="3" spans="1:12" ht="12.75" customHeight="1" x14ac:dyDescent="0.2">
      <c r="B3" s="2620" t="s">
        <v>1274</v>
      </c>
      <c r="C3" s="2620"/>
      <c r="D3" s="2620"/>
      <c r="E3" s="2620"/>
      <c r="F3" s="2620"/>
      <c r="G3" s="2620"/>
      <c r="H3" s="2620"/>
      <c r="I3" s="2620"/>
      <c r="J3" s="2620"/>
      <c r="K3" s="2620"/>
      <c r="L3" s="1147"/>
    </row>
    <row r="4" spans="1:12" ht="12.75" customHeight="1" x14ac:dyDescent="0.2">
      <c r="B4" s="2620" t="str">
        <f>'Single Audit Cover'!A4</f>
        <v>Year Ending June 30, 2020</v>
      </c>
      <c r="C4" s="2620"/>
      <c r="D4" s="2620"/>
      <c r="E4" s="2620"/>
      <c r="F4" s="2620"/>
      <c r="G4" s="2620"/>
      <c r="H4" s="2620"/>
      <c r="I4" s="2620"/>
      <c r="J4" s="2620"/>
      <c r="K4" s="2620"/>
      <c r="L4" s="1147"/>
    </row>
    <row r="5" spans="1:12" ht="5.25" customHeight="1" x14ac:dyDescent="0.2">
      <c r="B5" s="1036" t="s">
        <v>1159</v>
      </c>
      <c r="C5" s="1036"/>
      <c r="L5" s="300"/>
    </row>
    <row r="6" spans="1:12" ht="30.75" customHeight="1" x14ac:dyDescent="0.2">
      <c r="A6" s="300"/>
      <c r="B6" s="2629" t="s">
        <v>1297</v>
      </c>
      <c r="C6" s="2629"/>
      <c r="D6" s="2629"/>
      <c r="E6" s="2629"/>
      <c r="F6" s="2629"/>
      <c r="G6" s="2629"/>
      <c r="H6" s="2629"/>
      <c r="I6" s="2629"/>
      <c r="J6" s="2629"/>
      <c r="K6" s="2629"/>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1"/>
      <c r="G12" s="2611"/>
      <c r="H12" s="2611"/>
      <c r="I12" s="2611"/>
      <c r="J12" s="2611"/>
      <c r="K12" s="261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4"/>
      <c r="E14" s="2624"/>
      <c r="F14" s="2624"/>
      <c r="H14" s="1230" t="s">
        <v>1292</v>
      </c>
      <c r="I14" s="2625"/>
      <c r="J14" s="2625"/>
      <c r="K14" s="26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5"/>
      <c r="E16" s="2625"/>
      <c r="F16" s="2625"/>
      <c r="G16" s="2625"/>
      <c r="H16" s="2625"/>
      <c r="I16" s="2625"/>
      <c r="J16" s="2625"/>
      <c r="K16" s="2625"/>
      <c r="L16" s="300"/>
    </row>
    <row r="17" spans="2:12" ht="13.5" customHeight="1" x14ac:dyDescent="0.2">
      <c r="B17" s="1156" t="s">
        <v>1290</v>
      </c>
      <c r="C17" s="1156"/>
      <c r="D17" s="2626"/>
      <c r="E17" s="2626"/>
      <c r="F17" s="2626"/>
      <c r="G17" s="2626"/>
      <c r="H17" s="2626"/>
      <c r="I17" s="2626"/>
      <c r="J17" s="2626"/>
      <c r="K17" s="26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9"/>
      <c r="C20" s="2619"/>
      <c r="D20" s="2619"/>
      <c r="E20" s="2619"/>
      <c r="F20" s="2619"/>
      <c r="G20" s="2619"/>
      <c r="H20" s="2619"/>
      <c r="I20" s="2619"/>
      <c r="J20" s="2619"/>
      <c r="K20" s="261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3" sqref="C1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4" t="str">
        <f>'Single Audit Cover'!A7</f>
        <v>Cary CCSD 26</v>
      </c>
      <c r="C1" s="2604"/>
      <c r="D1" s="2604"/>
      <c r="E1" s="1240"/>
    </row>
    <row r="2" spans="2:5" s="1058" customFormat="1" ht="12.75" customHeight="1" x14ac:dyDescent="0.2">
      <c r="B2" s="2606">
        <f>'Single Audit Cover'!E7</f>
        <v>44063026004</v>
      </c>
      <c r="C2" s="2606"/>
      <c r="D2" s="2606"/>
      <c r="E2" s="1241"/>
    </row>
    <row r="3" spans="2:5" ht="12.75" customHeight="1" x14ac:dyDescent="0.2">
      <c r="B3" s="2620" t="s">
        <v>1740</v>
      </c>
      <c r="C3" s="2620"/>
      <c r="D3" s="2620"/>
      <c r="E3" s="1050"/>
    </row>
    <row r="4" spans="2:5" s="1058" customFormat="1" ht="12.75" customHeight="1" x14ac:dyDescent="0.2">
      <c r="B4" s="2630" t="str">
        <f>'Single Audit Cover'!A4</f>
        <v>Year Ending June 30, 2020</v>
      </c>
      <c r="C4" s="2630"/>
      <c r="D4" s="263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4" sqref="B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0" t="s">
        <v>383</v>
      </c>
      <c r="B1" s="2200"/>
      <c r="C1" s="2200"/>
      <c r="D1" s="2200"/>
      <c r="E1" s="2200"/>
      <c r="F1" s="2200"/>
      <c r="G1" s="2200"/>
      <c r="H1" s="2200"/>
      <c r="I1" s="2200"/>
      <c r="J1" s="2200"/>
      <c r="K1" s="2200"/>
      <c r="L1" s="2200"/>
      <c r="M1" s="220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670878565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2.7435029999999999E-2</v>
      </c>
      <c r="E10" s="333" t="s">
        <v>998</v>
      </c>
      <c r="F10" s="332">
        <v>3.1132500000000001E-3</v>
      </c>
      <c r="G10" s="333" t="s">
        <v>998</v>
      </c>
      <c r="H10" s="332">
        <v>1.6120900000000001E-3</v>
      </c>
      <c r="I10" s="333" t="s">
        <v>999</v>
      </c>
      <c r="J10" s="1424">
        <f>ROUND(D10+F10+H10,5)</f>
        <v>3.2160000000000001E-2</v>
      </c>
      <c r="K10" s="217"/>
      <c r="L10" s="332">
        <v>0</v>
      </c>
      <c r="M10" s="217"/>
    </row>
    <row r="11" spans="1:14" ht="7.5" customHeight="1" x14ac:dyDescent="0.2">
      <c r="B11" s="217"/>
      <c r="C11" s="217"/>
      <c r="D11" s="2210" t="str">
        <f>IF(SUM(J10)&lt;=0.0999999,"","Enter the Tax Rates by moving the decimal two places to the left.")</f>
        <v/>
      </c>
      <c r="E11" s="2211"/>
      <c r="F11" s="2211"/>
      <c r="G11" s="2211"/>
      <c r="H11" s="2211"/>
      <c r="I11" s="2211"/>
      <c r="J11" s="221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28453483</v>
      </c>
      <c r="E16" s="1547"/>
      <c r="F16" s="1546">
        <f>SUM('Acct Summary 7-8'!C17,'Acct Summary 7-8'!D17,'Acct Summary 7-8'!F17)</f>
        <v>26525945</v>
      </c>
      <c r="G16" s="1547"/>
      <c r="H16" s="1546">
        <f>SUM(D16-F16)</f>
        <v>1927538</v>
      </c>
      <c r="I16" s="1548"/>
      <c r="J16" s="1546">
        <f>SUM('Acct Summary 7-8'!C81,'Acct Summary 7-8'!D81,'Acct Summary 7-8'!F81,'Acct Summary 7-8'!I81)</f>
        <v>9319914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46290620.985000007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14325000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1"/>
      <c r="C54" s="2202"/>
      <c r="D54" s="2202"/>
      <c r="E54" s="2202"/>
      <c r="F54" s="2202"/>
      <c r="G54" s="2202"/>
      <c r="H54" s="2202"/>
      <c r="I54" s="2202"/>
      <c r="J54" s="2202"/>
      <c r="K54" s="2202"/>
      <c r="L54" s="2203"/>
      <c r="M54" s="357"/>
    </row>
    <row r="55" spans="1:13" ht="12.75" customHeight="1" x14ac:dyDescent="0.2">
      <c r="B55" s="2204"/>
      <c r="C55" s="2205"/>
      <c r="D55" s="2205"/>
      <c r="E55" s="2205"/>
      <c r="F55" s="2205"/>
      <c r="G55" s="2205"/>
      <c r="H55" s="2205"/>
      <c r="I55" s="2205"/>
      <c r="J55" s="2205"/>
      <c r="K55" s="2205"/>
      <c r="L55" s="2206"/>
      <c r="M55" s="357"/>
    </row>
    <row r="56" spans="1:13" ht="12.75" customHeight="1" x14ac:dyDescent="0.2">
      <c r="B56" s="2204"/>
      <c r="C56" s="2205"/>
      <c r="D56" s="2205"/>
      <c r="E56" s="2205"/>
      <c r="F56" s="2205"/>
      <c r="G56" s="2205"/>
      <c r="H56" s="2205"/>
      <c r="I56" s="2205"/>
      <c r="J56" s="2205"/>
      <c r="K56" s="2205"/>
      <c r="L56" s="2206"/>
      <c r="M56" s="217"/>
    </row>
    <row r="57" spans="1:13" ht="12.75" customHeight="1" x14ac:dyDescent="0.2">
      <c r="B57" s="2204"/>
      <c r="C57" s="2205"/>
      <c r="D57" s="2205"/>
      <c r="E57" s="2205"/>
      <c r="F57" s="2205"/>
      <c r="G57" s="2205"/>
      <c r="H57" s="2205"/>
      <c r="I57" s="2205"/>
      <c r="J57" s="2205"/>
      <c r="K57" s="2205"/>
      <c r="L57" s="2206"/>
      <c r="M57" s="217"/>
    </row>
    <row r="58" spans="1:13" x14ac:dyDescent="0.2">
      <c r="B58" s="2207"/>
      <c r="C58" s="2208"/>
      <c r="D58" s="2208"/>
      <c r="E58" s="2208"/>
      <c r="F58" s="2208"/>
      <c r="G58" s="2208"/>
      <c r="H58" s="2208"/>
      <c r="I58" s="2208"/>
      <c r="J58" s="2208"/>
      <c r="K58" s="2208"/>
      <c r="L58" s="220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2"/>
      <c r="D61" s="221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9" sqref="H1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5"/>
      <c r="B1" s="2216"/>
      <c r="C1" s="2216"/>
      <c r="D1" s="361"/>
      <c r="E1" s="361"/>
      <c r="F1" s="361"/>
      <c r="G1" s="361"/>
      <c r="H1" s="361"/>
      <c r="I1" s="361"/>
      <c r="J1" s="361"/>
      <c r="K1" s="361"/>
      <c r="L1" s="361"/>
      <c r="M1" s="361"/>
      <c r="N1" s="361"/>
      <c r="O1" s="2215"/>
      <c r="P1" s="2216"/>
      <c r="Q1" s="2216"/>
    </row>
    <row r="2" spans="1:18" ht="15" x14ac:dyDescent="0.2">
      <c r="A2" s="2219" t="s">
        <v>552</v>
      </c>
      <c r="B2" s="2219"/>
      <c r="C2" s="2219"/>
      <c r="D2" s="2219"/>
      <c r="E2" s="2219"/>
      <c r="F2" s="2219"/>
      <c r="G2" s="2219"/>
      <c r="H2" s="2219"/>
      <c r="I2" s="2219"/>
      <c r="J2" s="2219"/>
      <c r="K2" s="2219"/>
      <c r="L2" s="2219"/>
      <c r="M2" s="2219"/>
      <c r="N2" s="2219"/>
      <c r="O2" s="2219"/>
      <c r="P2" s="2219"/>
      <c r="Q2" s="2219"/>
      <c r="R2" s="2219"/>
    </row>
    <row r="3" spans="1:18" ht="12.75" x14ac:dyDescent="0.2">
      <c r="A3" s="2220" t="s">
        <v>1396</v>
      </c>
      <c r="B3" s="2220"/>
      <c r="C3" s="2220"/>
      <c r="D3" s="2220"/>
      <c r="E3" s="2220"/>
      <c r="F3" s="2220"/>
      <c r="G3" s="2220"/>
      <c r="H3" s="2220"/>
      <c r="I3" s="2220"/>
      <c r="J3" s="2220"/>
      <c r="K3" s="2220"/>
      <c r="L3" s="2220"/>
      <c r="M3" s="2220"/>
      <c r="N3" s="2220"/>
      <c r="O3" s="2220"/>
      <c r="P3" s="2220"/>
      <c r="Q3" s="2220"/>
      <c r="R3" s="2220"/>
    </row>
    <row r="4" spans="1:18" x14ac:dyDescent="0.2">
      <c r="A4" s="2221" t="s">
        <v>1537</v>
      </c>
      <c r="B4" s="2221"/>
      <c r="C4" s="2221"/>
      <c r="D4" s="2221"/>
      <c r="E4" s="2221"/>
      <c r="F4" s="2221"/>
      <c r="G4" s="2221"/>
      <c r="H4" s="2221"/>
      <c r="I4" s="2221"/>
      <c r="J4" s="2221"/>
      <c r="K4" s="2221"/>
      <c r="L4" s="2221"/>
      <c r="M4" s="2221"/>
      <c r="N4" s="2221"/>
      <c r="O4" s="2221"/>
      <c r="P4" s="2221"/>
      <c r="Q4" s="2221"/>
      <c r="R4" s="222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Cary CCSD 26</v>
      </c>
      <c r="E7" s="368"/>
      <c r="G7" s="247"/>
      <c r="H7" s="364"/>
      <c r="I7" s="364"/>
      <c r="J7" s="364"/>
      <c r="K7" s="364"/>
      <c r="L7" s="307"/>
      <c r="M7" s="307"/>
      <c r="N7" s="307"/>
      <c r="O7" s="307"/>
      <c r="P7" s="307"/>
    </row>
    <row r="8" spans="1:18" ht="12.75" x14ac:dyDescent="0.2">
      <c r="A8" s="307"/>
      <c r="B8" s="307"/>
      <c r="C8" s="366" t="s">
        <v>1115</v>
      </c>
      <c r="D8" s="369">
        <f>COVER!A13</f>
        <v>44063026004</v>
      </c>
      <c r="E8" s="370"/>
      <c r="G8" s="307"/>
      <c r="H8" s="307"/>
      <c r="I8" s="307"/>
      <c r="J8" s="307"/>
      <c r="K8" s="307"/>
      <c r="L8" s="307"/>
      <c r="M8" s="307"/>
      <c r="N8" s="307"/>
      <c r="O8" s="307"/>
      <c r="P8" s="307"/>
    </row>
    <row r="9" spans="1:18" ht="12.75" x14ac:dyDescent="0.2">
      <c r="A9" s="307"/>
      <c r="B9" s="307"/>
      <c r="C9" s="366" t="s">
        <v>708</v>
      </c>
      <c r="D9" s="371" t="str">
        <f>COVER!A15</f>
        <v xml:space="preserve">McHenry       </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9319914</v>
      </c>
      <c r="I12" s="380"/>
      <c r="J12" s="380"/>
      <c r="K12" s="1559">
        <f>TRUNC((H12/H13*100000),5)/100000</f>
        <v>0.32754914390000001</v>
      </c>
      <c r="L12" s="381"/>
      <c r="M12" s="337" t="s">
        <v>1134</v>
      </c>
      <c r="N12" s="337"/>
      <c r="O12" s="1562">
        <v>0.35</v>
      </c>
      <c r="P12" s="213"/>
      <c r="Q12" s="213"/>
    </row>
    <row r="13" spans="1:18" s="382" customFormat="1" ht="12.75" x14ac:dyDescent="0.2">
      <c r="A13" s="213"/>
      <c r="B13" s="377"/>
      <c r="C13" s="2217" t="s">
        <v>1313</v>
      </c>
      <c r="D13" s="2218"/>
      <c r="E13" s="213"/>
      <c r="F13" s="383" t="s">
        <v>788</v>
      </c>
      <c r="G13" s="378"/>
      <c r="H13" s="1551">
        <f>SUM('Acct Summary 7-8'!C8+'Acct Summary 7-8'!D8+'Acct Summary 7-8'!F8+'Acct Summary 7-8'!I8)+H14</f>
        <v>28453483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26525945</v>
      </c>
      <c r="I17" s="380"/>
      <c r="J17" s="389"/>
      <c r="K17" s="1559">
        <f>TRUNC((H17/H18*100000),5)/100000</f>
        <v>0.93225651840000001</v>
      </c>
      <c r="L17" s="381"/>
      <c r="M17" s="390" t="s">
        <v>1161</v>
      </c>
      <c r="O17" s="1565" t="str">
        <f>IF(AND(O16="2", J20 &gt; 2),"1",IF(AND(O16 = "1", J20 &gt; 2),"2",IF(AND(O16="1", J20 &gt;1),"1","0")))</f>
        <v>0</v>
      </c>
      <c r="P17" s="213"/>
    </row>
    <row r="18" spans="1:18" s="382" customFormat="1" ht="11.25" x14ac:dyDescent="0.2">
      <c r="A18" s="213"/>
      <c r="B18" s="377"/>
      <c r="C18" s="2217" t="s">
        <v>1306</v>
      </c>
      <c r="D18" s="2218"/>
      <c r="E18" s="213"/>
      <c r="F18" s="391" t="s">
        <v>789</v>
      </c>
      <c r="G18" s="378"/>
      <c r="H18" s="1551">
        <f>SUM('Acct Summary 7-8'!C8+'Acct Summary 7-8'!D8+'Acct Summary 7-8'!F8+'Acct Summary 7-8'!I8)+H19</f>
        <v>28453483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4" t="s">
        <v>1395</v>
      </c>
      <c r="D24" s="2214"/>
      <c r="E24" s="213"/>
      <c r="F24" s="213" t="s">
        <v>442</v>
      </c>
      <c r="G24" s="378"/>
      <c r="H24" s="1551">
        <f>SUM('Assets-Liab 5-6'!C4+'Assets-Liab 5-6'!D4+'Assets-Liab 5-6'!F4+'Assets-Liab 5-6'!I4+'Assets-Liab 5-6'!C5+'Assets-Liab 5-6'!D5+'Assets-Liab 5-6'!F5+'Assets-Liab 5-6'!I5)</f>
        <v>18016183</v>
      </c>
      <c r="I24" s="394"/>
      <c r="J24" s="394"/>
      <c r="K24" s="1555">
        <f>TRUNC(((H24/H25*100000)/100000),2)</f>
        <v>244.5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73683.180559999993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18339136.45284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14325000</v>
      </c>
      <c r="I32" s="392"/>
      <c r="J32" s="392"/>
      <c r="K32" s="1555">
        <f>TRUNC(100-((((H32/H33*100))*100)/100),2)</f>
        <v>69.05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46290620.985000007</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24" activePane="bottomLeft" state="frozen"/>
      <selection pane="bottomLeft" activeCell="C38" sqref="C38: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4" t="s">
        <v>967</v>
      </c>
      <c r="B3" s="2225"/>
      <c r="C3" s="1306"/>
      <c r="D3" s="1307"/>
      <c r="E3" s="1307"/>
      <c r="F3" s="1307"/>
      <c r="G3" s="1307"/>
      <c r="H3" s="1307"/>
      <c r="I3" s="1307"/>
      <c r="J3" s="1307"/>
      <c r="K3" s="1307"/>
      <c r="L3" s="1307"/>
      <c r="M3" s="1308"/>
      <c r="N3" s="1309"/>
    </row>
    <row r="4" spans="1:14" ht="13.5" customHeight="1" x14ac:dyDescent="0.2">
      <c r="A4" s="427" t="s">
        <v>1632</v>
      </c>
      <c r="B4" s="428"/>
      <c r="C4" s="1572">
        <f>12985943-347498</f>
        <v>12638445</v>
      </c>
      <c r="D4" s="1573">
        <v>3489065</v>
      </c>
      <c r="E4" s="1573">
        <v>1871972</v>
      </c>
      <c r="F4" s="1573">
        <v>1485477</v>
      </c>
      <c r="G4" s="1573">
        <v>1331744</v>
      </c>
      <c r="H4" s="1573"/>
      <c r="I4" s="1573">
        <v>403196</v>
      </c>
      <c r="J4" s="1574"/>
      <c r="K4" s="1573"/>
      <c r="L4" s="1573">
        <v>7733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v>10388490</v>
      </c>
      <c r="D6" s="1573">
        <v>1161019</v>
      </c>
      <c r="E6" s="1573">
        <v>1533227</v>
      </c>
      <c r="F6" s="1573">
        <v>601194</v>
      </c>
      <c r="G6" s="1577">
        <v>419180</v>
      </c>
      <c r="H6" s="1577"/>
      <c r="I6" s="1573"/>
      <c r="J6" s="1579"/>
      <c r="K6" s="1577"/>
      <c r="L6" s="1580"/>
      <c r="M6" s="1575"/>
      <c r="N6" s="1576"/>
    </row>
    <row r="7" spans="1:14" ht="13.5" customHeight="1" x14ac:dyDescent="0.2">
      <c r="A7" s="430" t="s">
        <v>415</v>
      </c>
      <c r="B7" s="429">
        <v>140</v>
      </c>
      <c r="C7" s="1581">
        <v>347499</v>
      </c>
      <c r="D7" s="1574"/>
      <c r="E7" s="1574"/>
      <c r="F7" s="1574"/>
      <c r="G7" s="1574"/>
      <c r="H7" s="1574"/>
      <c r="I7" s="1574"/>
      <c r="J7" s="1574"/>
      <c r="K7" s="1574"/>
      <c r="L7" s="1582"/>
      <c r="M7" s="1575"/>
      <c r="N7" s="1576"/>
    </row>
    <row r="8" spans="1:14" ht="13.5" customHeight="1" x14ac:dyDescent="0.2">
      <c r="A8" s="430" t="s">
        <v>267</v>
      </c>
      <c r="B8" s="429">
        <v>150</v>
      </c>
      <c r="C8" s="1581">
        <v>462170</v>
      </c>
      <c r="D8" s="1574"/>
      <c r="E8" s="1574"/>
      <c r="F8" s="1574">
        <v>133558</v>
      </c>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438570</v>
      </c>
      <c r="D11" s="1574">
        <v>25018</v>
      </c>
      <c r="E11" s="1574"/>
      <c r="F11" s="1574">
        <v>482377</v>
      </c>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24275174</v>
      </c>
      <c r="D13" s="1587">
        <f t="shared" ref="D13:L13" si="0">SUM(D4:D12)</f>
        <v>4675102</v>
      </c>
      <c r="E13" s="1587">
        <f t="shared" si="0"/>
        <v>3405199</v>
      </c>
      <c r="F13" s="1587">
        <f t="shared" si="0"/>
        <v>2702606</v>
      </c>
      <c r="G13" s="1587">
        <f t="shared" si="0"/>
        <v>1750924</v>
      </c>
      <c r="H13" s="1587">
        <f t="shared" si="0"/>
        <v>0</v>
      </c>
      <c r="I13" s="1587">
        <f t="shared" si="0"/>
        <v>403196</v>
      </c>
      <c r="J13" s="1587">
        <f t="shared" si="0"/>
        <v>0</v>
      </c>
      <c r="K13" s="1587">
        <f t="shared" si="0"/>
        <v>0</v>
      </c>
      <c r="L13" s="1587">
        <f t="shared" si="0"/>
        <v>7733</v>
      </c>
      <c r="M13" s="1575"/>
      <c r="N13" s="1576"/>
    </row>
    <row r="14" spans="1:14" ht="18" customHeight="1" thickTop="1" x14ac:dyDescent="0.2">
      <c r="A14" s="2226" t="s">
        <v>146</v>
      </c>
      <c r="B14" s="222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f>'Cap Outlay Deprec 26'!L5</f>
        <v>3546438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'Cap Outlay Deprec 26'!L8</f>
        <v>27328357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f>'Cap Outlay Deprec 26'!K10</f>
        <v>1866044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'Cap Outlay Deprec 26'!K12</f>
        <v>649644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f>'Cap Outlay Deprec 26'!L15</f>
        <v>5754172</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14325000</v>
      </c>
    </row>
    <row r="23" spans="1:14" ht="13.5" customHeight="1" thickBot="1" x14ac:dyDescent="0.25">
      <c r="A23" s="1426" t="s">
        <v>638</v>
      </c>
      <c r="B23" s="1429"/>
      <c r="C23" s="1575"/>
      <c r="D23" s="1575"/>
      <c r="E23" s="1575"/>
      <c r="F23" s="1575"/>
      <c r="G23" s="1575"/>
      <c r="H23" s="1575"/>
      <c r="I23" s="1575"/>
      <c r="J23" s="1575"/>
      <c r="K23" s="1575"/>
      <c r="L23" s="1575"/>
      <c r="M23" s="1594">
        <f>SUM(M15:M22)</f>
        <v>39144655</v>
      </c>
      <c r="N23" s="1594">
        <f>SUM(N21:N22)</f>
        <v>14325000</v>
      </c>
    </row>
    <row r="24" spans="1:14" ht="18" customHeight="1" thickTop="1" x14ac:dyDescent="0.2">
      <c r="A24" s="2228" t="s">
        <v>594</v>
      </c>
      <c r="B24" s="222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v>347499</v>
      </c>
      <c r="I25" s="1575"/>
      <c r="J25" s="1583"/>
      <c r="K25" s="1583"/>
      <c r="L25" s="1575"/>
      <c r="M25" s="1575"/>
      <c r="N25" s="1575"/>
    </row>
    <row r="26" spans="1:14" x14ac:dyDescent="0.2">
      <c r="A26" s="430" t="s">
        <v>641</v>
      </c>
      <c r="B26" s="429">
        <v>420</v>
      </c>
      <c r="C26" s="1574">
        <v>785717</v>
      </c>
      <c r="D26" s="1574">
        <v>91238</v>
      </c>
      <c r="E26" s="1574"/>
      <c r="F26" s="1574">
        <v>3704</v>
      </c>
      <c r="G26" s="1574"/>
      <c r="H26" s="1574">
        <v>414465</v>
      </c>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2237486</v>
      </c>
      <c r="D31" s="1574">
        <v>81</v>
      </c>
      <c r="E31" s="1574"/>
      <c r="F31" s="1573">
        <v>-418</v>
      </c>
      <c r="G31" s="1574">
        <v>5132</v>
      </c>
      <c r="H31" s="1574"/>
      <c r="I31" s="1574"/>
      <c r="J31" s="1574"/>
      <c r="K31" s="1574"/>
      <c r="L31" s="1575"/>
      <c r="M31" s="1575"/>
      <c r="N31" s="1575"/>
    </row>
    <row r="32" spans="1:14" ht="13.5" customHeight="1" x14ac:dyDescent="0.2">
      <c r="A32" s="434" t="s">
        <v>647</v>
      </c>
      <c r="B32" s="435">
        <v>490</v>
      </c>
      <c r="C32" s="1599">
        <f>16512262+159039</f>
        <v>16671301</v>
      </c>
      <c r="D32" s="1599">
        <f>13000+1845270</f>
        <v>1858270</v>
      </c>
      <c r="E32" s="1579">
        <v>2434037</v>
      </c>
      <c r="F32" s="1579">
        <v>1088785</v>
      </c>
      <c r="G32" s="1579">
        <v>663364</v>
      </c>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L13</f>
        <v>7733</v>
      </c>
      <c r="M33" s="1575"/>
      <c r="N33" s="1576"/>
    </row>
    <row r="34" spans="1:14" ht="13.5" customHeight="1" thickBot="1" x14ac:dyDescent="0.25">
      <c r="A34" s="1427" t="s">
        <v>649</v>
      </c>
      <c r="B34" s="1428"/>
      <c r="C34" s="1600">
        <f>SUM(C25:C33)</f>
        <v>19694504</v>
      </c>
      <c r="D34" s="1600">
        <f t="shared" ref="D34:K34" si="1">SUM(D25:D33)</f>
        <v>1949589</v>
      </c>
      <c r="E34" s="1600">
        <f t="shared" si="1"/>
        <v>2434037</v>
      </c>
      <c r="F34" s="1600">
        <f t="shared" si="1"/>
        <v>1092071</v>
      </c>
      <c r="G34" s="1600">
        <f t="shared" si="1"/>
        <v>668496</v>
      </c>
      <c r="H34" s="1600">
        <f t="shared" si="1"/>
        <v>761964</v>
      </c>
      <c r="I34" s="1600">
        <f t="shared" si="1"/>
        <v>0</v>
      </c>
      <c r="J34" s="1600">
        <f t="shared" si="1"/>
        <v>0</v>
      </c>
      <c r="K34" s="1600">
        <f t="shared" si="1"/>
        <v>0</v>
      </c>
      <c r="L34" s="1601">
        <f>SUM(L33)</f>
        <v>7733</v>
      </c>
      <c r="M34" s="1575"/>
      <c r="N34" s="1585"/>
    </row>
    <row r="35" spans="1:14" ht="18" customHeight="1" thickTop="1" x14ac:dyDescent="0.2">
      <c r="A35" s="2230" t="s">
        <v>526</v>
      </c>
      <c r="B35" s="223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14325000</v>
      </c>
    </row>
    <row r="37" spans="1:14" ht="13.5" thickBot="1" x14ac:dyDescent="0.25">
      <c r="A37" s="1426" t="s">
        <v>648</v>
      </c>
      <c r="B37" s="1429"/>
      <c r="C37" s="1582"/>
      <c r="D37" s="1582"/>
      <c r="E37" s="1582"/>
      <c r="F37" s="1582"/>
      <c r="G37" s="1582"/>
      <c r="H37" s="1582"/>
      <c r="I37" s="1582"/>
      <c r="J37" s="1582"/>
      <c r="K37" s="1582"/>
      <c r="L37" s="1585"/>
      <c r="M37" s="1575"/>
      <c r="N37" s="1594">
        <f>SUM(N36:N36)</f>
        <v>14325000</v>
      </c>
    </row>
    <row r="38" spans="1:14" s="307" customFormat="1" ht="13.5" customHeight="1" thickTop="1" x14ac:dyDescent="0.2">
      <c r="A38" s="438" t="s">
        <v>417</v>
      </c>
      <c r="B38" s="432">
        <v>714</v>
      </c>
      <c r="C38" s="1573">
        <v>438570</v>
      </c>
      <c r="D38" s="1573">
        <f>25018+439300</f>
        <v>464318</v>
      </c>
      <c r="E38" s="1573">
        <v>971162</v>
      </c>
      <c r="F38" s="1573">
        <v>1610535</v>
      </c>
      <c r="G38" s="1573">
        <v>1082428</v>
      </c>
      <c r="H38" s="1573"/>
      <c r="I38" s="1573"/>
      <c r="J38" s="1574"/>
      <c r="K38" s="1573"/>
      <c r="L38" s="1586"/>
      <c r="M38" s="1604"/>
      <c r="N38" s="1604"/>
    </row>
    <row r="39" spans="1:14" s="307" customFormat="1" ht="13.5" customHeight="1" x14ac:dyDescent="0.2">
      <c r="A39" s="438" t="s">
        <v>339</v>
      </c>
      <c r="B39" s="432">
        <v>730</v>
      </c>
      <c r="C39" s="1573">
        <v>4142100</v>
      </c>
      <c r="D39" s="1573">
        <v>2261195</v>
      </c>
      <c r="E39" s="1573"/>
      <c r="F39" s="1573"/>
      <c r="G39" s="1573"/>
      <c r="H39" s="1573">
        <v>-761964</v>
      </c>
      <c r="I39" s="1573">
        <v>403196</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39144655</v>
      </c>
      <c r="N40" s="1604"/>
    </row>
    <row r="41" spans="1:14" ht="13.5" customHeight="1" thickBot="1" x14ac:dyDescent="0.25">
      <c r="A41" s="1426" t="s">
        <v>650</v>
      </c>
      <c r="B41" s="1405"/>
      <c r="C41" s="1594">
        <f>(SUM(C34,C37,C38,C39))</f>
        <v>24275174</v>
      </c>
      <c r="D41" s="1594">
        <f t="shared" ref="D41:L41" si="2">SUM(D34,D37,D38:D39)</f>
        <v>4675102</v>
      </c>
      <c r="E41" s="1594">
        <f t="shared" si="2"/>
        <v>3405199</v>
      </c>
      <c r="F41" s="1594">
        <f t="shared" si="2"/>
        <v>2702606</v>
      </c>
      <c r="G41" s="1594">
        <f t="shared" si="2"/>
        <v>1750924</v>
      </c>
      <c r="H41" s="1594">
        <f t="shared" si="2"/>
        <v>0</v>
      </c>
      <c r="I41" s="1594">
        <f t="shared" si="2"/>
        <v>403196</v>
      </c>
      <c r="J41" s="1594">
        <f t="shared" si="2"/>
        <v>0</v>
      </c>
      <c r="K41" s="1594">
        <f t="shared" si="2"/>
        <v>0</v>
      </c>
      <c r="L41" s="1594">
        <f t="shared" si="2"/>
        <v>7733</v>
      </c>
      <c r="M41" s="1594">
        <f>SUM(M40)</f>
        <v>39144655</v>
      </c>
      <c r="N41" s="1594">
        <f>SUM(N37)</f>
        <v>14325000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C4" sqref="C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2" t="s">
        <v>1165</v>
      </c>
      <c r="B3" s="2253"/>
      <c r="C3" s="1311"/>
      <c r="D3" s="1312"/>
      <c r="E3" s="1312"/>
      <c r="F3" s="1312"/>
      <c r="G3" s="1312"/>
      <c r="H3" s="1312"/>
      <c r="I3" s="1312"/>
      <c r="J3" s="1312"/>
      <c r="K3" s="1313"/>
      <c r="L3" s="446"/>
    </row>
    <row r="4" spans="1:13" ht="15.75" customHeight="1" x14ac:dyDescent="0.2">
      <c r="A4" s="1537" t="s">
        <v>1482</v>
      </c>
      <c r="B4" s="1538">
        <v>1000</v>
      </c>
      <c r="C4" s="1606">
        <f>'Revenues 9-14'!C109</f>
        <v>20006102</v>
      </c>
      <c r="D4" s="1606">
        <f>'Revenues 9-14'!D109</f>
        <v>2273603</v>
      </c>
      <c r="E4" s="1606">
        <f>'Revenues 9-14'!E109</f>
        <v>2739870</v>
      </c>
      <c r="F4" s="1606">
        <f>'Revenues 9-14'!F109</f>
        <v>1094668</v>
      </c>
      <c r="G4" s="1606">
        <f>'Revenues 9-14'!G109</f>
        <v>955070</v>
      </c>
      <c r="H4" s="1606">
        <f>'Revenues 9-14'!H109</f>
        <v>12773</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2608233</v>
      </c>
      <c r="D6" s="1607">
        <f>'Revenues 9-14'!D170</f>
        <v>0</v>
      </c>
      <c r="E6" s="1607">
        <f>'Revenues 9-14'!E170</f>
        <v>0</v>
      </c>
      <c r="F6" s="1607">
        <f>'Revenues 9-14'!F170</f>
        <v>533326</v>
      </c>
      <c r="G6" s="1607">
        <f>'Revenues 9-14'!G170</f>
        <v>0</v>
      </c>
      <c r="H6" s="1607">
        <f>'Revenues 9-14'!H170</f>
        <v>1050000</v>
      </c>
      <c r="I6" s="1607">
        <f>'Revenues 9-14'!I170</f>
        <v>0</v>
      </c>
      <c r="J6" s="1607">
        <f>'Revenues 9-14'!J170</f>
        <v>0</v>
      </c>
      <c r="K6" s="1607">
        <f>'Revenues 9-14'!K170</f>
        <v>0</v>
      </c>
      <c r="L6" s="325"/>
      <c r="M6" s="448"/>
    </row>
    <row r="7" spans="1:13" ht="15.75" customHeight="1" x14ac:dyDescent="0.2">
      <c r="A7" s="1314" t="s">
        <v>1485</v>
      </c>
      <c r="B7" s="1316">
        <v>4000</v>
      </c>
      <c r="C7" s="1607">
        <f>'Revenues 9-14'!C267</f>
        <v>1937551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24551886</v>
      </c>
      <c r="D8" s="1594">
        <f t="shared" ref="D8:K8" si="0">SUM(D4:D7)</f>
        <v>2273603</v>
      </c>
      <c r="E8" s="1594">
        <f t="shared" si="0"/>
        <v>2739870</v>
      </c>
      <c r="F8" s="1594">
        <f t="shared" si="0"/>
        <v>1627994</v>
      </c>
      <c r="G8" s="1594">
        <f t="shared" si="0"/>
        <v>955070</v>
      </c>
      <c r="H8" s="1594">
        <f t="shared" si="0"/>
        <v>1062773</v>
      </c>
      <c r="I8" s="1594">
        <f t="shared" si="0"/>
        <v>0</v>
      </c>
      <c r="J8" s="1594">
        <f t="shared" si="0"/>
        <v>0</v>
      </c>
      <c r="K8" s="1594">
        <f t="shared" si="0"/>
        <v>0</v>
      </c>
      <c r="L8" s="325"/>
    </row>
    <row r="9" spans="1:13" ht="15.75" thickTop="1" x14ac:dyDescent="0.2">
      <c r="A9" s="449" t="s">
        <v>1634</v>
      </c>
      <c r="B9" s="450">
        <v>3998</v>
      </c>
      <c r="C9" s="1586">
        <v>10077136</v>
      </c>
      <c r="D9" s="1613"/>
      <c r="E9" s="1586"/>
      <c r="F9" s="1586"/>
      <c r="G9" s="1614"/>
      <c r="H9" s="1586"/>
      <c r="I9" s="1609" t="s">
        <v>1159</v>
      </c>
      <c r="J9" s="1583"/>
      <c r="K9" s="1586"/>
      <c r="L9" s="325"/>
    </row>
    <row r="10" spans="1:13" s="452" customFormat="1" ht="13.5" thickBot="1" x14ac:dyDescent="0.25">
      <c r="A10" s="1426" t="s">
        <v>1163</v>
      </c>
      <c r="B10" s="1407"/>
      <c r="C10" s="1594">
        <f>SUM(C8:C9)</f>
        <v>34629022</v>
      </c>
      <c r="D10" s="1594">
        <f t="shared" ref="D10:K10" si="1">SUM(D8:D9)</f>
        <v>2273603</v>
      </c>
      <c r="E10" s="1594">
        <f t="shared" si="1"/>
        <v>2739870</v>
      </c>
      <c r="F10" s="1594">
        <f t="shared" si="1"/>
        <v>1627994</v>
      </c>
      <c r="G10" s="1594">
        <f t="shared" si="1"/>
        <v>955070</v>
      </c>
      <c r="H10" s="1594">
        <f t="shared" si="1"/>
        <v>1062773</v>
      </c>
      <c r="I10" s="1594">
        <f t="shared" si="1"/>
        <v>0</v>
      </c>
      <c r="J10" s="1594">
        <f t="shared" si="1"/>
        <v>0</v>
      </c>
      <c r="K10" s="1594">
        <f t="shared" si="1"/>
        <v>0</v>
      </c>
      <c r="L10" s="451"/>
    </row>
    <row r="11" spans="1:13" s="452" customFormat="1" ht="16.7" customHeight="1" thickTop="1" x14ac:dyDescent="0.2">
      <c r="A11" s="2226" t="s">
        <v>1166</v>
      </c>
      <c r="B11" s="2227"/>
      <c r="C11" s="1602"/>
      <c r="D11" s="1603"/>
      <c r="E11" s="1603"/>
      <c r="F11" s="1603"/>
      <c r="G11" s="1603"/>
      <c r="H11" s="1603"/>
      <c r="I11" s="1603"/>
      <c r="J11" s="1603"/>
      <c r="K11" s="1615"/>
      <c r="L11" s="451"/>
    </row>
    <row r="12" spans="1:13" ht="15.75" customHeight="1" x14ac:dyDescent="0.2">
      <c r="A12" s="1314" t="s">
        <v>453</v>
      </c>
      <c r="B12" s="1316">
        <v>1000</v>
      </c>
      <c r="C12" s="1606">
        <f>'Expenditures 15-22'!K33</f>
        <v>14433507</v>
      </c>
      <c r="D12" s="1616" t="s">
        <v>1159</v>
      </c>
      <c r="E12" s="1575" t="s">
        <v>1159</v>
      </c>
      <c r="F12" s="1575" t="s">
        <v>1159</v>
      </c>
      <c r="G12" s="1606">
        <f>'Expenditures 15-22'!K229</f>
        <v>287078</v>
      </c>
      <c r="H12" s="1617"/>
      <c r="I12" s="1575" t="s">
        <v>1159</v>
      </c>
      <c r="J12" s="1575" t="s">
        <v>1159</v>
      </c>
      <c r="K12" s="1617" t="s">
        <v>1159</v>
      </c>
      <c r="L12" s="325"/>
    </row>
    <row r="13" spans="1:13" ht="15.75" customHeight="1" x14ac:dyDescent="0.2">
      <c r="A13" s="1314" t="s">
        <v>454</v>
      </c>
      <c r="B13" s="1316">
        <v>2000</v>
      </c>
      <c r="C13" s="1607">
        <f>'Expenditures 15-22'!K74</f>
        <v>8008194</v>
      </c>
      <c r="D13" s="1607">
        <f>'Expenditures 15-22'!K129</f>
        <v>2066889</v>
      </c>
      <c r="E13" s="1576" t="s">
        <v>1159</v>
      </c>
      <c r="F13" s="1607">
        <f>'Expenditures 15-22'!K184</f>
        <v>1505495</v>
      </c>
      <c r="G13" s="1607">
        <f>'Expenditures 15-22'!K279</f>
        <v>513021</v>
      </c>
      <c r="H13" s="1607">
        <f>'Expenditures 15-22'!K303</f>
        <v>1404035</v>
      </c>
      <c r="I13" s="1575" t="s">
        <v>1159</v>
      </c>
      <c r="J13" s="1607">
        <f>'Expenditures 15-22'!K330</f>
        <v>0</v>
      </c>
      <c r="K13" s="1618">
        <f>'Expenditures 15-22'!K352</f>
        <v>0</v>
      </c>
      <c r="L13" s="325"/>
    </row>
    <row r="14" spans="1:13" ht="15.75" customHeight="1" x14ac:dyDescent="0.2">
      <c r="A14" s="1314" t="s">
        <v>446</v>
      </c>
      <c r="B14" s="1316">
        <v>3000</v>
      </c>
      <c r="C14" s="1607">
        <f>'Expenditures 15-22'!K75</f>
        <v>65101</v>
      </c>
      <c r="D14" s="1607">
        <f>'Expenditures 15-22'!K130</f>
        <v>0</v>
      </c>
      <c r="E14" s="1616" t="s">
        <v>1159</v>
      </c>
      <c r="F14" s="1607">
        <f>'Expenditures 15-22'!K185</f>
        <v>0</v>
      </c>
      <c r="G14" s="1607">
        <f>'Expenditures 15-22'!K280</f>
        <v>390</v>
      </c>
      <c r="H14" s="1612"/>
      <c r="I14" s="1575" t="s">
        <v>1159</v>
      </c>
      <c r="J14" s="1575" t="s">
        <v>1159</v>
      </c>
      <c r="K14" s="1612" t="s">
        <v>1159</v>
      </c>
      <c r="L14" s="325"/>
    </row>
    <row r="15" spans="1:13" ht="15.75" customHeight="1" x14ac:dyDescent="0.2">
      <c r="A15" s="1314" t="s">
        <v>107</v>
      </c>
      <c r="B15" s="1316">
        <v>4000</v>
      </c>
      <c r="C15" s="1607">
        <f>'Expenditures 15-22'!K102</f>
        <v>446759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5122755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22953561</v>
      </c>
      <c r="D17" s="1594">
        <f t="shared" si="2"/>
        <v>2066889</v>
      </c>
      <c r="E17" s="1594">
        <f t="shared" si="2"/>
        <v>5122755</v>
      </c>
      <c r="F17" s="1594">
        <f t="shared" si="2"/>
        <v>1505495</v>
      </c>
      <c r="G17" s="1594">
        <f t="shared" si="2"/>
        <v>800489</v>
      </c>
      <c r="H17" s="1594">
        <f t="shared" si="2"/>
        <v>1404035</v>
      </c>
      <c r="I17" s="1575"/>
      <c r="J17" s="1594">
        <f>SUM(J12:J16)</f>
        <v>0</v>
      </c>
      <c r="K17" s="1594">
        <f>SUM(K12:K16)</f>
        <v>0</v>
      </c>
      <c r="L17" s="325"/>
    </row>
    <row r="18" spans="1:12" ht="15" customHeight="1" thickTop="1" x14ac:dyDescent="0.2">
      <c r="A18" s="1430" t="s">
        <v>1635</v>
      </c>
      <c r="B18" s="1431">
        <v>4180</v>
      </c>
      <c r="C18" s="1606">
        <f t="shared" ref="C18:H18" si="3">C9</f>
        <v>10077136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33030697</v>
      </c>
      <c r="D19" s="1594">
        <f t="shared" si="4"/>
        <v>2066889</v>
      </c>
      <c r="E19" s="1594">
        <f t="shared" si="4"/>
        <v>5122755</v>
      </c>
      <c r="F19" s="1594">
        <f t="shared" si="4"/>
        <v>1505495</v>
      </c>
      <c r="G19" s="1594">
        <f t="shared" si="4"/>
        <v>800489</v>
      </c>
      <c r="H19" s="1594">
        <f t="shared" si="4"/>
        <v>1404035</v>
      </c>
      <c r="I19" s="1575"/>
      <c r="J19" s="1594">
        <f>SUM(J17:J18)</f>
        <v>0</v>
      </c>
      <c r="K19" s="1594">
        <f>SUM(K17:K18)</f>
        <v>0</v>
      </c>
      <c r="L19" s="325"/>
    </row>
    <row r="20" spans="1:12" ht="16.5" thickTop="1" thickBot="1" x14ac:dyDescent="0.25">
      <c r="A20" s="2242" t="s">
        <v>1636</v>
      </c>
      <c r="B20" s="2243"/>
      <c r="C20" s="1622">
        <f>C8-C17</f>
        <v>1598325</v>
      </c>
      <c r="D20" s="1622">
        <f t="shared" ref="D20:K20" si="5">D8-D17</f>
        <v>206714</v>
      </c>
      <c r="E20" s="1622">
        <f t="shared" si="5"/>
        <v>-2382885</v>
      </c>
      <c r="F20" s="1622">
        <f t="shared" si="5"/>
        <v>122499</v>
      </c>
      <c r="G20" s="1622">
        <f t="shared" si="5"/>
        <v>154581</v>
      </c>
      <c r="H20" s="1622">
        <f t="shared" si="5"/>
        <v>-341262</v>
      </c>
      <c r="I20" s="1622">
        <f t="shared" si="5"/>
        <v>0</v>
      </c>
      <c r="J20" s="1622">
        <f t="shared" si="5"/>
        <v>0</v>
      </c>
      <c r="K20" s="1622">
        <f t="shared" si="5"/>
        <v>0</v>
      </c>
      <c r="L20" s="325"/>
    </row>
    <row r="21" spans="1:12" ht="16.7" customHeight="1" thickTop="1" x14ac:dyDescent="0.2">
      <c r="A21" s="2254" t="s">
        <v>591</v>
      </c>
      <c r="B21" s="2255"/>
      <c r="C21" s="1602"/>
      <c r="D21" s="1603"/>
      <c r="E21" s="1603"/>
      <c r="F21" s="1603"/>
      <c r="G21" s="1603"/>
      <c r="H21" s="1603"/>
      <c r="I21" s="1603"/>
      <c r="J21" s="1603"/>
      <c r="K21" s="1615"/>
      <c r="L21" s="453"/>
    </row>
    <row r="22" spans="1:12" ht="15.75" customHeight="1" collapsed="1" x14ac:dyDescent="0.2">
      <c r="A22" s="2250" t="s">
        <v>592</v>
      </c>
      <c r="B22" s="2251"/>
      <c r="C22" s="1582"/>
      <c r="D22" s="1582"/>
      <c r="E22" s="1582"/>
      <c r="F22" s="1582"/>
      <c r="G22" s="1582"/>
      <c r="H22" s="1582"/>
      <c r="I22" s="1582"/>
      <c r="J22" s="1582"/>
      <c r="K22" s="1582"/>
      <c r="L22" s="325"/>
    </row>
    <row r="23" spans="1:12" s="433" customFormat="1" ht="15.75" customHeight="1" x14ac:dyDescent="0.2">
      <c r="A23" s="2246" t="s">
        <v>290</v>
      </c>
      <c r="B23" s="224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v>800000</v>
      </c>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8" t="s">
        <v>974</v>
      </c>
      <c r="B32" s="224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2950000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6" t="s">
        <v>371</v>
      </c>
      <c r="B44" s="2257"/>
      <c r="C44" s="1624">
        <f>SUM(C24:C43)</f>
        <v>800000</v>
      </c>
      <c r="D44" s="1624">
        <f t="shared" ref="D44:K44" si="6">SUM(D24:D43)</f>
        <v>0</v>
      </c>
      <c r="E44" s="1624">
        <f t="shared" si="6"/>
        <v>2950000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50" t="s">
        <v>108</v>
      </c>
      <c r="B45" s="2251"/>
      <c r="C45" s="1625"/>
      <c r="D45" s="1625"/>
      <c r="E45" s="1625"/>
      <c r="F45" s="1625"/>
      <c r="G45" s="1625"/>
      <c r="H45" s="1625"/>
      <c r="I45" s="1625"/>
      <c r="J45" s="1625"/>
      <c r="K45" s="1625"/>
      <c r="L45" s="325"/>
    </row>
    <row r="46" spans="1:12" s="433" customFormat="1" ht="15.75" customHeight="1" x14ac:dyDescent="0.2">
      <c r="A46" s="2258" t="s">
        <v>109</v>
      </c>
      <c r="B46" s="225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v>800000</v>
      </c>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v>2950000</v>
      </c>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2" t="s">
        <v>437</v>
      </c>
      <c r="B76" s="2233"/>
      <c r="C76" s="1624">
        <f t="shared" ref="C76:K76" si="7">SUM(C47:C75)</f>
        <v>2950000</v>
      </c>
      <c r="D76" s="1624">
        <f t="shared" si="7"/>
        <v>0</v>
      </c>
      <c r="E76" s="1624">
        <f t="shared" si="7"/>
        <v>0</v>
      </c>
      <c r="F76" s="1624">
        <f t="shared" si="7"/>
        <v>800000</v>
      </c>
      <c r="G76" s="1624">
        <f t="shared" si="7"/>
        <v>0</v>
      </c>
      <c r="H76" s="1624">
        <f t="shared" si="7"/>
        <v>0</v>
      </c>
      <c r="I76" s="1624">
        <f t="shared" si="7"/>
        <v>0</v>
      </c>
      <c r="J76" s="1624">
        <f t="shared" si="7"/>
        <v>0</v>
      </c>
      <c r="K76" s="1624">
        <f t="shared" si="7"/>
        <v>0</v>
      </c>
      <c r="L76" s="453"/>
    </row>
    <row r="77" spans="1:12" ht="14.25" thickTop="1" thickBot="1" x14ac:dyDescent="0.25">
      <c r="A77" s="2234" t="s">
        <v>1167</v>
      </c>
      <c r="B77" s="2235"/>
      <c r="C77" s="1624">
        <f t="shared" ref="C77:K77" si="8">C44-C76</f>
        <v>-2150000</v>
      </c>
      <c r="D77" s="1624">
        <f t="shared" si="8"/>
        <v>0</v>
      </c>
      <c r="E77" s="1624">
        <f t="shared" si="8"/>
        <v>2950000</v>
      </c>
      <c r="F77" s="1624">
        <f t="shared" si="8"/>
        <v>-800000</v>
      </c>
      <c r="G77" s="1624">
        <f t="shared" si="8"/>
        <v>0</v>
      </c>
      <c r="H77" s="1624">
        <f t="shared" si="8"/>
        <v>0</v>
      </c>
      <c r="I77" s="1624">
        <f t="shared" si="8"/>
        <v>0</v>
      </c>
      <c r="J77" s="1624">
        <f t="shared" si="8"/>
        <v>0</v>
      </c>
      <c r="K77" s="1624">
        <f t="shared" si="8"/>
        <v>0</v>
      </c>
      <c r="L77" s="325"/>
    </row>
    <row r="78" spans="1:12" ht="21.75" customHeight="1" thickTop="1" thickBot="1" x14ac:dyDescent="0.25">
      <c r="A78" s="2238" t="s">
        <v>593</v>
      </c>
      <c r="B78" s="2239"/>
      <c r="C78" s="1629">
        <f t="shared" ref="C78:K78" si="9">C20+C77</f>
        <v>-551675</v>
      </c>
      <c r="D78" s="1629">
        <f t="shared" si="9"/>
        <v>206714</v>
      </c>
      <c r="E78" s="1629">
        <f t="shared" si="9"/>
        <v>567115</v>
      </c>
      <c r="F78" s="1629">
        <f t="shared" si="9"/>
        <v>-677501</v>
      </c>
      <c r="G78" s="1629">
        <f t="shared" si="9"/>
        <v>154581</v>
      </c>
      <c r="H78" s="1629">
        <f t="shared" si="9"/>
        <v>-341262</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5132345</v>
      </c>
      <c r="D79" s="1630">
        <v>2518799</v>
      </c>
      <c r="E79" s="1630">
        <v>404047</v>
      </c>
      <c r="F79" s="1630">
        <v>2288036</v>
      </c>
      <c r="G79" s="1630">
        <v>927847</v>
      </c>
      <c r="H79" s="1630">
        <v>-420702</v>
      </c>
      <c r="I79" s="1630">
        <v>403196</v>
      </c>
      <c r="J79" s="1630"/>
      <c r="K79" s="1630"/>
      <c r="L79" s="325"/>
    </row>
    <row r="80" spans="1:12" x14ac:dyDescent="0.2">
      <c r="A80" s="2244" t="s">
        <v>1769</v>
      </c>
      <c r="B80" s="2245"/>
      <c r="C80" s="1574"/>
      <c r="D80" s="1574"/>
      <c r="E80" s="1574"/>
      <c r="F80" s="1574"/>
      <c r="G80" s="1574"/>
      <c r="H80" s="1574"/>
      <c r="I80" s="1574"/>
      <c r="J80" s="1574"/>
      <c r="K80" s="1574"/>
      <c r="L80" s="325"/>
    </row>
    <row r="81" spans="1:12" ht="13.5" thickBot="1" x14ac:dyDescent="0.25">
      <c r="A81" s="2236" t="str">
        <f>"Fund Balances - June 30, "&amp;'AFR20'!E2</f>
        <v>Fund Balances - June 30, 2020</v>
      </c>
      <c r="B81" s="2237"/>
      <c r="C81" s="1594">
        <f>(SUM(C78:C80))</f>
        <v>4580670</v>
      </c>
      <c r="D81" s="1594">
        <f>SUM(D78:D80)</f>
        <v>2725513</v>
      </c>
      <c r="E81" s="1594">
        <f t="shared" ref="E81:K81" si="10">SUM(E78:E80)</f>
        <v>971162</v>
      </c>
      <c r="F81" s="1594">
        <f t="shared" si="10"/>
        <v>1610535</v>
      </c>
      <c r="G81" s="1594">
        <f t="shared" si="10"/>
        <v>1082428</v>
      </c>
      <c r="H81" s="1594">
        <f t="shared" si="10"/>
        <v>-761964</v>
      </c>
      <c r="I81" s="1594">
        <f t="shared" si="10"/>
        <v>403196</v>
      </c>
      <c r="J81" s="1594">
        <f t="shared" si="10"/>
        <v>0</v>
      </c>
      <c r="K81" s="1594">
        <f t="shared" si="10"/>
        <v>0</v>
      </c>
      <c r="L81" s="325"/>
    </row>
    <row r="82" spans="1:12" ht="0.75" customHeight="1" thickTop="1" thickBot="1" x14ac:dyDescent="0.25">
      <c r="A82" s="459" t="s">
        <v>340</v>
      </c>
      <c r="B82" s="460"/>
      <c r="C82" s="461">
        <f>(C81-C79)</f>
        <v>-551675</v>
      </c>
      <c r="D82" s="461">
        <f t="shared" ref="D82:K82" si="11">(D81-D79)</f>
        <v>206714</v>
      </c>
      <c r="E82" s="461">
        <f t="shared" si="11"/>
        <v>567115</v>
      </c>
      <c r="F82" s="461">
        <f t="shared" si="11"/>
        <v>-677501</v>
      </c>
      <c r="G82" s="461">
        <f t="shared" si="11"/>
        <v>154581</v>
      </c>
      <c r="H82" s="461">
        <f t="shared" si="11"/>
        <v>-341262</v>
      </c>
      <c r="I82" s="461">
        <f t="shared" si="11"/>
        <v>0</v>
      </c>
      <c r="J82" s="461">
        <f t="shared" si="11"/>
        <v>0</v>
      </c>
      <c r="K82" s="461">
        <f t="shared" si="11"/>
        <v>0</v>
      </c>
    </row>
    <row r="83" spans="1:12" ht="14.25" hidden="1" thickTop="1" thickBot="1" x14ac:dyDescent="0.25">
      <c r="A83" s="462" t="s">
        <v>341</v>
      </c>
      <c r="B83" s="428"/>
      <c r="C83" s="463">
        <f>C82/C81</f>
        <v>-0.12043543848388991</v>
      </c>
      <c r="D83" s="463">
        <f t="shared" ref="D83:K83" si="12">D82/D81</f>
        <v>7.5844070455727053E-2</v>
      </c>
      <c r="E83" s="463">
        <f t="shared" si="12"/>
        <v>0.58395509708987792</v>
      </c>
      <c r="F83" s="463">
        <f t="shared" si="12"/>
        <v>-0.42066828724616356</v>
      </c>
      <c r="G83" s="463">
        <f t="shared" si="12"/>
        <v>0.14280949864563741</v>
      </c>
      <c r="H83" s="463">
        <f t="shared" si="12"/>
        <v>0.44787155298675529</v>
      </c>
      <c r="I83" s="463">
        <f t="shared" si="12"/>
        <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87" activePane="bottomLeft" state="frozen"/>
      <selection pane="bottomLeft" activeCell="C97" sqref="C9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0" t="s">
        <v>1776</v>
      </c>
      <c r="B1" s="416"/>
      <c r="C1" s="417" t="s">
        <v>422</v>
      </c>
      <c r="D1" s="417" t="s">
        <v>423</v>
      </c>
      <c r="E1" s="417" t="s">
        <v>424</v>
      </c>
      <c r="F1" s="417" t="s">
        <v>425</v>
      </c>
      <c r="G1" s="417" t="s">
        <v>426</v>
      </c>
      <c r="H1" s="417" t="s">
        <v>427</v>
      </c>
      <c r="I1" s="417" t="s">
        <v>428</v>
      </c>
      <c r="J1" s="417" t="s">
        <v>429</v>
      </c>
      <c r="K1" s="417" t="s">
        <v>751</v>
      </c>
    </row>
    <row r="2" spans="1:12" ht="36" x14ac:dyDescent="0.2">
      <c r="A2" s="224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18092464</v>
      </c>
      <c r="D5" s="1586">
        <v>1994357</v>
      </c>
      <c r="E5" s="1573">
        <v>2713591</v>
      </c>
      <c r="F5" s="1631">
        <v>1088800</v>
      </c>
      <c r="G5" s="1573">
        <v>459323</v>
      </c>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269335</v>
      </c>
      <c r="D7" s="1573"/>
      <c r="E7" s="1575"/>
      <c r="F7" s="1574"/>
      <c r="G7" s="1574"/>
      <c r="H7" s="1574"/>
      <c r="I7" s="1575"/>
      <c r="J7" s="1575"/>
      <c r="K7" s="1575"/>
    </row>
    <row r="8" spans="1:12" x14ac:dyDescent="0.2">
      <c r="A8" s="427" t="s">
        <v>410</v>
      </c>
      <c r="B8" s="429">
        <v>1150</v>
      </c>
      <c r="C8" s="1580"/>
      <c r="D8" s="1580"/>
      <c r="E8" s="1582"/>
      <c r="F8" s="1582"/>
      <c r="G8" s="1586">
        <v>476747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18361799</v>
      </c>
      <c r="D12" s="1633">
        <f t="shared" si="0"/>
        <v>1994357</v>
      </c>
      <c r="E12" s="1633">
        <f t="shared" si="0"/>
        <v>2713591</v>
      </c>
      <c r="F12" s="1633">
        <f t="shared" si="0"/>
        <v>1088800</v>
      </c>
      <c r="G12" s="1633">
        <f t="shared" si="0"/>
        <v>936070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304266</v>
      </c>
      <c r="D16" s="1573"/>
      <c r="E16" s="1573"/>
      <c r="F16" s="1573"/>
      <c r="G16" s="1573">
        <v>19000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304266</v>
      </c>
      <c r="D18" s="1635">
        <f t="shared" ref="D18:K18" si="1">SUM(D14:D17)</f>
        <v>0</v>
      </c>
      <c r="E18" s="1635">
        <f t="shared" si="1"/>
        <v>0</v>
      </c>
      <c r="F18" s="1635">
        <f t="shared" si="1"/>
        <v>0</v>
      </c>
      <c r="G18" s="1635">
        <f t="shared" si="1"/>
        <v>19000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f>53136-25</f>
        <v>53111</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183685</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236796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292531</v>
      </c>
      <c r="D65" s="1573"/>
      <c r="E65" s="1573">
        <v>26279</v>
      </c>
      <c r="F65" s="1574">
        <v>4508</v>
      </c>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292531</v>
      </c>
      <c r="D67" s="1594">
        <f t="shared" ref="D67:K67" si="2">SUM(D65:D66)</f>
        <v>0</v>
      </c>
      <c r="E67" s="1594">
        <f t="shared" si="2"/>
        <v>26279</v>
      </c>
      <c r="F67" s="1594">
        <f t="shared" si="2"/>
        <v>4508</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237739</v>
      </c>
      <c r="D69" s="1575"/>
      <c r="E69" s="1575"/>
      <c r="F69" s="1575"/>
      <c r="G69" s="1575"/>
      <c r="H69" s="1575"/>
      <c r="I69" s="1575"/>
      <c r="J69" s="1575"/>
      <c r="K69" s="1575"/>
    </row>
    <row r="70" spans="1:11" ht="12.75" customHeight="1" x14ac:dyDescent="0.2">
      <c r="A70" s="427" t="s">
        <v>990</v>
      </c>
      <c r="B70" s="429">
        <v>1612</v>
      </c>
      <c r="C70" s="1632">
        <v>5297</v>
      </c>
      <c r="D70" s="1575"/>
      <c r="E70" s="1575"/>
      <c r="F70" s="1575"/>
      <c r="G70" s="1575"/>
      <c r="H70" s="1575"/>
      <c r="I70" s="1575"/>
      <c r="J70" s="1575"/>
      <c r="K70" s="1575"/>
    </row>
    <row r="71" spans="1:11" ht="12.75" customHeight="1" x14ac:dyDescent="0.2">
      <c r="A71" s="427" t="s">
        <v>271</v>
      </c>
      <c r="B71" s="429">
        <v>1613</v>
      </c>
      <c r="C71" s="1632">
        <v>74224</v>
      </c>
      <c r="D71" s="1575"/>
      <c r="E71" s="1575"/>
      <c r="F71" s="1575"/>
      <c r="G71" s="1575"/>
      <c r="H71" s="1575"/>
      <c r="I71" s="1575"/>
      <c r="J71" s="1575"/>
      <c r="K71" s="1575"/>
    </row>
    <row r="72" spans="1:11" ht="12.75" customHeight="1" x14ac:dyDescent="0.2">
      <c r="A72" s="427" t="s">
        <v>24</v>
      </c>
      <c r="B72" s="429">
        <v>1614</v>
      </c>
      <c r="C72" s="1632">
        <v>7795</v>
      </c>
      <c r="D72" s="1575"/>
      <c r="E72" s="1575"/>
      <c r="F72" s="1575"/>
      <c r="G72" s="1575"/>
      <c r="H72" s="1575"/>
      <c r="I72" s="1575"/>
      <c r="J72" s="1575"/>
      <c r="K72" s="1575"/>
    </row>
    <row r="73" spans="1:11" ht="12.75" customHeight="1" x14ac:dyDescent="0.2">
      <c r="A73" s="427" t="s">
        <v>991</v>
      </c>
      <c r="B73" s="429">
        <v>1620</v>
      </c>
      <c r="C73" s="1632">
        <v>5925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330980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31547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11724</v>
      </c>
      <c r="D81" s="1573"/>
      <c r="E81" s="1575"/>
      <c r="F81" s="1575"/>
      <c r="G81" s="1575"/>
      <c r="H81" s="1575"/>
      <c r="I81" s="1575"/>
      <c r="J81" s="1575"/>
      <c r="K81" s="1575"/>
    </row>
    <row r="82" spans="1:11" ht="12.75" customHeight="1" thickBot="1" x14ac:dyDescent="0.25">
      <c r="A82" s="1406" t="s">
        <v>239</v>
      </c>
      <c r="B82" s="1407"/>
      <c r="C82" s="1633">
        <f>SUM(C77:C81)</f>
        <v>43271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f>1152+342642</f>
        <v>343794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14840</v>
      </c>
      <c r="D92" s="1575"/>
      <c r="E92" s="1575"/>
      <c r="F92" s="1575"/>
      <c r="G92" s="1575"/>
      <c r="H92" s="1575"/>
      <c r="I92" s="1575"/>
      <c r="J92" s="1575"/>
      <c r="K92" s="1575"/>
    </row>
    <row r="93" spans="1:11" ht="12.75" customHeight="1" thickBot="1" x14ac:dyDescent="0.25">
      <c r="A93" s="1406" t="s">
        <v>241</v>
      </c>
      <c r="B93" s="1407"/>
      <c r="C93" s="1594">
        <f>SUM(C84:C92)</f>
        <v>358634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241219</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v>12406</v>
      </c>
      <c r="D97" s="1574"/>
      <c r="E97" s="1579"/>
      <c r="F97" s="1574"/>
      <c r="G97" s="1574"/>
      <c r="H97" s="1574">
        <v>12773</v>
      </c>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7610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57809</v>
      </c>
      <c r="D107" s="1573">
        <v>38027</v>
      </c>
      <c r="E107" s="1573"/>
      <c r="F107" s="1573">
        <v>1360</v>
      </c>
      <c r="G107" s="1573"/>
      <c r="H107" s="1573"/>
      <c r="I107" s="1573"/>
      <c r="J107" s="1574"/>
      <c r="K107" s="1573"/>
    </row>
    <row r="108" spans="1:12" ht="12.75" customHeight="1" thickBot="1" x14ac:dyDescent="0.25">
      <c r="A108" s="1406" t="s">
        <v>484</v>
      </c>
      <c r="B108" s="1408"/>
      <c r="C108" s="1633">
        <f>SUM(C95:C107)</f>
        <v>77825</v>
      </c>
      <c r="D108" s="1633">
        <f t="shared" ref="D108:K108" si="3">SUM(D95:D107)</f>
        <v>279246</v>
      </c>
      <c r="E108" s="1633">
        <f t="shared" si="3"/>
        <v>0</v>
      </c>
      <c r="F108" s="1633">
        <f t="shared" si="3"/>
        <v>1360</v>
      </c>
      <c r="G108" s="1633">
        <f t="shared" si="3"/>
        <v>0</v>
      </c>
      <c r="H108" s="1633">
        <f t="shared" si="3"/>
        <v>12773</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20006102</v>
      </c>
      <c r="D109" s="1641">
        <f t="shared" si="4"/>
        <v>2273603</v>
      </c>
      <c r="E109" s="1641">
        <f t="shared" si="4"/>
        <v>2739870</v>
      </c>
      <c r="F109" s="1641">
        <f t="shared" si="4"/>
        <v>1094668</v>
      </c>
      <c r="G109" s="1641">
        <f t="shared" si="4"/>
        <v>955070</v>
      </c>
      <c r="H109" s="1641">
        <f t="shared" si="4"/>
        <v>12773</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2356469</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v>1000000</v>
      </c>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2356469</v>
      </c>
      <c r="D122" s="1633">
        <f t="shared" si="5"/>
        <v>0</v>
      </c>
      <c r="E122" s="1633">
        <f t="shared" si="5"/>
        <v>0</v>
      </c>
      <c r="F122" s="1633">
        <f t="shared" si="5"/>
        <v>0</v>
      </c>
      <c r="G122" s="1633">
        <f t="shared" si="5"/>
        <v>0</v>
      </c>
      <c r="H122" s="1633">
        <f t="shared" si="5"/>
        <v>1000000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177376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177376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2548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127214</v>
      </c>
      <c r="G152" s="1574"/>
      <c r="H152" s="1575"/>
      <c r="I152" s="1575"/>
      <c r="J152" s="1575"/>
      <c r="K152" s="1575"/>
    </row>
    <row r="153" spans="1:11" ht="12.75" customHeight="1" x14ac:dyDescent="0.2">
      <c r="A153" s="427" t="s">
        <v>1048</v>
      </c>
      <c r="B153" s="478">
        <v>3510</v>
      </c>
      <c r="C153" s="1632"/>
      <c r="D153" s="1573"/>
      <c r="E153" s="1640"/>
      <c r="F153" s="1573">
        <v>406112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533326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71840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60" t="s">
        <v>395</v>
      </c>
      <c r="B169" s="2261"/>
      <c r="C169" s="1658">
        <f t="shared" ref="C169:K169" si="6">SUM(C132,C141,C145,C146:C150,C155,C156:C167,C168)</f>
        <v>251764</v>
      </c>
      <c r="D169" s="1658">
        <f t="shared" si="6"/>
        <v>0</v>
      </c>
      <c r="E169" s="1658">
        <f t="shared" si="6"/>
        <v>0</v>
      </c>
      <c r="F169" s="1658">
        <f t="shared" si="6"/>
        <v>533326</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2608233</v>
      </c>
      <c r="D170" s="1641">
        <f t="shared" si="7"/>
        <v>0</v>
      </c>
      <c r="E170" s="1641">
        <f t="shared" si="7"/>
        <v>0</v>
      </c>
      <c r="F170" s="1641">
        <f t="shared" si="7"/>
        <v>533326</v>
      </c>
      <c r="G170" s="1641">
        <f t="shared" si="7"/>
        <v>0</v>
      </c>
      <c r="H170" s="1641">
        <f t="shared" si="7"/>
        <v>1050000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2" t="s">
        <v>1475</v>
      </c>
      <c r="B172" s="226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6" t="s">
        <v>1646</v>
      </c>
      <c r="B175" s="226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0" t="s">
        <v>1645</v>
      </c>
      <c r="B176" s="227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8" t="s">
        <v>780</v>
      </c>
      <c r="B181" s="226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4" t="s">
        <v>1777</v>
      </c>
      <c r="B182" s="226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383325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383325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391297</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391297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26528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26528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54720</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656632</v>
      </c>
      <c r="D213" s="1573"/>
      <c r="E213" s="1575"/>
      <c r="F213" s="1573"/>
      <c r="G213" s="1573"/>
      <c r="H213" s="1575"/>
      <c r="I213" s="1575"/>
      <c r="J213" s="1575"/>
      <c r="K213" s="1575"/>
    </row>
    <row r="214" spans="1:11" ht="12.75" customHeight="1" x14ac:dyDescent="0.2">
      <c r="A214" s="427" t="s">
        <v>1045</v>
      </c>
      <c r="B214" s="429">
        <v>4625</v>
      </c>
      <c r="C214" s="1632">
        <v>101910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813262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v>38588</v>
      </c>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65855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77977</v>
      </c>
      <c r="D263" s="1651"/>
      <c r="E263" s="1575"/>
      <c r="F263" s="1651"/>
      <c r="G263" s="1651"/>
      <c r="H263" s="1575"/>
      <c r="I263" s="1575"/>
      <c r="J263" s="1575"/>
      <c r="K263" s="1575"/>
    </row>
    <row r="264" spans="1:11" ht="12.75" customHeight="1" thickTop="1" thickBot="1" x14ac:dyDescent="0.25">
      <c r="A264" s="427" t="s">
        <v>374</v>
      </c>
      <c r="B264" s="429">
        <v>4992</v>
      </c>
      <c r="C264" s="1650">
        <v>81849</v>
      </c>
      <c r="D264" s="1651"/>
      <c r="E264" s="1575"/>
      <c r="F264" s="1651"/>
      <c r="G264" s="1651"/>
      <c r="H264" s="1575"/>
      <c r="I264" s="1575"/>
      <c r="J264" s="1575"/>
      <c r="K264" s="1575"/>
    </row>
    <row r="265" spans="1:11" s="489" customFormat="1" ht="12.75" customHeight="1" thickTop="1" thickBot="1" x14ac:dyDescent="0.25">
      <c r="A265" s="479" t="s">
        <v>75</v>
      </c>
      <c r="B265" s="475">
        <v>4998</v>
      </c>
      <c r="C265" s="1650">
        <v>58870</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1937551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1937551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24551886</v>
      </c>
      <c r="D268" s="1641">
        <f t="shared" si="12"/>
        <v>2273603</v>
      </c>
      <c r="E268" s="1641">
        <f t="shared" si="12"/>
        <v>2739870</v>
      </c>
      <c r="F268" s="1641">
        <f t="shared" si="12"/>
        <v>1627994</v>
      </c>
      <c r="G268" s="1641">
        <f t="shared" si="12"/>
        <v>955070</v>
      </c>
      <c r="H268" s="1641">
        <f t="shared" si="12"/>
        <v>1062773</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46" activePane="bottomLeft" state="frozen"/>
      <selection pane="bottomLeft" activeCell="A56" sqref="A5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8" t="s">
        <v>294</v>
      </c>
      <c r="B3" s="227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6867617</v>
      </c>
      <c r="D5" s="1573">
        <v>1152917</v>
      </c>
      <c r="E5" s="1573">
        <v>168646</v>
      </c>
      <c r="F5" s="1573">
        <v>551832</v>
      </c>
      <c r="G5" s="1573"/>
      <c r="H5" s="1573"/>
      <c r="I5" s="1574">
        <v>1049</v>
      </c>
      <c r="J5" s="1574"/>
      <c r="K5" s="1672">
        <f>SUM(C5:J5)</f>
        <v>8742061</v>
      </c>
      <c r="L5" s="1573">
        <v>8758501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344734</v>
      </c>
      <c r="D7" s="1574">
        <v>49994</v>
      </c>
      <c r="E7" s="1574"/>
      <c r="F7" s="1574">
        <v>6369</v>
      </c>
      <c r="G7" s="1574"/>
      <c r="H7" s="1574"/>
      <c r="I7" s="1574"/>
      <c r="J7" s="1574"/>
      <c r="K7" s="1672">
        <f t="shared" ref="K7:K32" si="0">SUM(C7:J7)</f>
        <v>401097</v>
      </c>
      <c r="L7" s="1573">
        <v>407028</v>
      </c>
    </row>
    <row r="8" spans="1:14" x14ac:dyDescent="0.2">
      <c r="A8" s="1274" t="s">
        <v>163</v>
      </c>
      <c r="B8" s="503">
        <v>1200</v>
      </c>
      <c r="C8" s="1573">
        <v>2668582</v>
      </c>
      <c r="D8" s="1573">
        <v>612904</v>
      </c>
      <c r="E8" s="1573">
        <v>3966</v>
      </c>
      <c r="F8" s="1573">
        <v>29621</v>
      </c>
      <c r="G8" s="1573"/>
      <c r="H8" s="1573"/>
      <c r="I8" s="1574"/>
      <c r="J8" s="1574"/>
      <c r="K8" s="1672">
        <f t="shared" si="0"/>
        <v>3315073</v>
      </c>
      <c r="L8" s="1573">
        <v>3396736</v>
      </c>
    </row>
    <row r="9" spans="1:14" x14ac:dyDescent="0.2">
      <c r="A9" s="1274" t="s">
        <v>716</v>
      </c>
      <c r="B9" s="503" t="s">
        <v>962</v>
      </c>
      <c r="C9" s="1574">
        <v>2803</v>
      </c>
      <c r="D9" s="1574">
        <v>10881</v>
      </c>
      <c r="E9" s="1574"/>
      <c r="F9" s="1574"/>
      <c r="G9" s="1574"/>
      <c r="H9" s="1574"/>
      <c r="I9" s="1574"/>
      <c r="J9" s="1574"/>
      <c r="K9" s="1672">
        <f t="shared" si="0"/>
        <v>13684</v>
      </c>
      <c r="L9" s="1573">
        <v>13158</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68535</v>
      </c>
      <c r="D14" s="1573">
        <v>3440</v>
      </c>
      <c r="E14" s="1573">
        <v>4963</v>
      </c>
      <c r="F14" s="1573">
        <v>14306</v>
      </c>
      <c r="G14" s="1573"/>
      <c r="H14" s="1573">
        <v>1589</v>
      </c>
      <c r="I14" s="1574"/>
      <c r="J14" s="1574"/>
      <c r="K14" s="1672">
        <f t="shared" si="0"/>
        <v>92833</v>
      </c>
      <c r="L14" s="1573">
        <v>130976</v>
      </c>
    </row>
    <row r="15" spans="1:14" x14ac:dyDescent="0.2">
      <c r="A15" s="1274" t="s">
        <v>958</v>
      </c>
      <c r="B15" s="503">
        <v>1600</v>
      </c>
      <c r="C15" s="1573">
        <v>93639</v>
      </c>
      <c r="D15" s="1573">
        <v>14412</v>
      </c>
      <c r="E15" s="1573"/>
      <c r="F15" s="1573">
        <v>390</v>
      </c>
      <c r="G15" s="1573"/>
      <c r="H15" s="1573"/>
      <c r="I15" s="1574"/>
      <c r="J15" s="1574"/>
      <c r="K15" s="1672">
        <f t="shared" si="0"/>
        <v>108441</v>
      </c>
      <c r="L15" s="1573">
        <v>115254</v>
      </c>
    </row>
    <row r="16" spans="1:14" x14ac:dyDescent="0.2">
      <c r="A16" s="1274" t="s">
        <v>980</v>
      </c>
      <c r="B16" s="503" t="s">
        <v>421</v>
      </c>
      <c r="C16" s="1573">
        <v>183369</v>
      </c>
      <c r="D16" s="1573">
        <v>35354</v>
      </c>
      <c r="E16" s="1573">
        <v>1182</v>
      </c>
      <c r="F16" s="1573"/>
      <c r="G16" s="1573"/>
      <c r="H16" s="1573"/>
      <c r="I16" s="1574"/>
      <c r="J16" s="1574"/>
      <c r="K16" s="1672">
        <f t="shared" si="0"/>
        <v>219905</v>
      </c>
      <c r="L16" s="1573">
        <v>223252</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715876</v>
      </c>
      <c r="D18" s="1573">
        <v>117460</v>
      </c>
      <c r="E18" s="1573"/>
      <c r="F18" s="1573">
        <v>12955</v>
      </c>
      <c r="G18" s="1573"/>
      <c r="H18" s="1573"/>
      <c r="I18" s="1574"/>
      <c r="J18" s="1574"/>
      <c r="K18" s="1672">
        <f t="shared" si="0"/>
        <v>846291</v>
      </c>
      <c r="L18" s="1573">
        <v>885937</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694122</v>
      </c>
      <c r="I22" s="1673"/>
      <c r="J22" s="1582"/>
      <c r="K22" s="1672">
        <f t="shared" si="0"/>
        <v>694122</v>
      </c>
      <c r="L22" s="1577">
        <v>560000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10945155</v>
      </c>
      <c r="D33" s="1674">
        <f t="shared" ref="D33:L33" si="1">SUM(D5:D32)</f>
        <v>1997362</v>
      </c>
      <c r="E33" s="1674">
        <f t="shared" si="1"/>
        <v>178757</v>
      </c>
      <c r="F33" s="1674">
        <f t="shared" si="1"/>
        <v>615473</v>
      </c>
      <c r="G33" s="1674">
        <f t="shared" si="1"/>
        <v>0</v>
      </c>
      <c r="H33" s="1674">
        <f t="shared" si="1"/>
        <v>695711</v>
      </c>
      <c r="I33" s="1674">
        <f t="shared" si="1"/>
        <v>1049</v>
      </c>
      <c r="J33" s="1674">
        <f t="shared" si="1"/>
        <v>0</v>
      </c>
      <c r="K33" s="1674">
        <f t="shared" si="1"/>
        <v>14433507</v>
      </c>
      <c r="L33" s="1674">
        <f t="shared" si="1"/>
        <v>14490842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515679</v>
      </c>
      <c r="D36" s="1586">
        <v>87178</v>
      </c>
      <c r="E36" s="1586"/>
      <c r="F36" s="1586"/>
      <c r="G36" s="1586"/>
      <c r="H36" s="1586"/>
      <c r="I36" s="1574"/>
      <c r="J36" s="1574"/>
      <c r="K36" s="1672">
        <f t="shared" ref="K36:K41" si="2">SUM(C36:J36)</f>
        <v>602857</v>
      </c>
      <c r="L36" s="1573">
        <v>614526</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524657</v>
      </c>
      <c r="D38" s="1573">
        <v>76246</v>
      </c>
      <c r="E38" s="1573">
        <v>869</v>
      </c>
      <c r="F38" s="1573">
        <v>2901</v>
      </c>
      <c r="G38" s="1573"/>
      <c r="H38" s="1573"/>
      <c r="I38" s="1574"/>
      <c r="J38" s="1574"/>
      <c r="K38" s="1672">
        <f t="shared" si="2"/>
        <v>604673</v>
      </c>
      <c r="L38" s="1573">
        <v>652456</v>
      </c>
    </row>
    <row r="39" spans="1:14" x14ac:dyDescent="0.2">
      <c r="A39" s="1274" t="s">
        <v>197</v>
      </c>
      <c r="B39" s="503">
        <v>2140</v>
      </c>
      <c r="C39" s="1573">
        <v>381447</v>
      </c>
      <c r="D39" s="1573">
        <v>68065</v>
      </c>
      <c r="E39" s="1573"/>
      <c r="F39" s="1573">
        <v>4292</v>
      </c>
      <c r="G39" s="1573"/>
      <c r="H39" s="1573"/>
      <c r="I39" s="1574"/>
      <c r="J39" s="1574"/>
      <c r="K39" s="1672">
        <f t="shared" si="2"/>
        <v>453804</v>
      </c>
      <c r="L39" s="1573">
        <v>460024</v>
      </c>
    </row>
    <row r="40" spans="1:14" x14ac:dyDescent="0.2">
      <c r="A40" s="1274" t="s">
        <v>198</v>
      </c>
      <c r="B40" s="503">
        <v>2150</v>
      </c>
      <c r="C40" s="1573">
        <v>621803</v>
      </c>
      <c r="D40" s="1573">
        <v>83307</v>
      </c>
      <c r="E40" s="1573">
        <v>5000</v>
      </c>
      <c r="F40" s="1573">
        <v>1484</v>
      </c>
      <c r="G40" s="1573"/>
      <c r="H40" s="1573"/>
      <c r="I40" s="1574"/>
      <c r="J40" s="1574"/>
      <c r="K40" s="1672">
        <f t="shared" si="2"/>
        <v>711594</v>
      </c>
      <c r="L40" s="1573">
        <v>681260</v>
      </c>
    </row>
    <row r="41" spans="1:14" x14ac:dyDescent="0.2">
      <c r="A41" s="1274" t="s">
        <v>1650</v>
      </c>
      <c r="B41" s="503">
        <v>2190</v>
      </c>
      <c r="C41" s="1573">
        <v>122997</v>
      </c>
      <c r="D41" s="1573">
        <v>1151</v>
      </c>
      <c r="E41" s="1573"/>
      <c r="F41" s="1573"/>
      <c r="G41" s="1573"/>
      <c r="H41" s="1573"/>
      <c r="I41" s="1574">
        <v>6445</v>
      </c>
      <c r="J41" s="1574"/>
      <c r="K41" s="1672">
        <f t="shared" si="2"/>
        <v>130593</v>
      </c>
      <c r="L41" s="1573">
        <v>135592</v>
      </c>
    </row>
    <row r="42" spans="1:14" ht="12.75" customHeight="1" thickBot="1" x14ac:dyDescent="0.25">
      <c r="A42" s="1380" t="s">
        <v>556</v>
      </c>
      <c r="B42" s="1381" t="s">
        <v>711</v>
      </c>
      <c r="C42" s="1674">
        <f>SUM(C36:C41)</f>
        <v>2166583</v>
      </c>
      <c r="D42" s="1674">
        <f t="shared" ref="D42:L42" si="3">SUM(D36:D41)</f>
        <v>315947</v>
      </c>
      <c r="E42" s="1674">
        <f t="shared" si="3"/>
        <v>5869</v>
      </c>
      <c r="F42" s="1674">
        <f t="shared" si="3"/>
        <v>8677</v>
      </c>
      <c r="G42" s="1674">
        <f t="shared" si="3"/>
        <v>0</v>
      </c>
      <c r="H42" s="1674">
        <f t="shared" si="3"/>
        <v>0</v>
      </c>
      <c r="I42" s="1674">
        <f t="shared" si="3"/>
        <v>6445</v>
      </c>
      <c r="J42" s="1674">
        <f t="shared" si="3"/>
        <v>0</v>
      </c>
      <c r="K42" s="1674">
        <f t="shared" si="3"/>
        <v>2503521</v>
      </c>
      <c r="L42" s="1674">
        <f t="shared" si="3"/>
        <v>2543858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320631</v>
      </c>
      <c r="D44" s="1586">
        <v>74602</v>
      </c>
      <c r="E44" s="1586">
        <v>212989</v>
      </c>
      <c r="F44" s="1586">
        <v>5101</v>
      </c>
      <c r="G44" s="1586"/>
      <c r="H44" s="1586"/>
      <c r="I44" s="1574"/>
      <c r="J44" s="1574"/>
      <c r="K44" s="1678">
        <f>SUM(C44:J44)</f>
        <v>613323</v>
      </c>
      <c r="L44" s="1586">
        <v>662691</v>
      </c>
    </row>
    <row r="45" spans="1:14" x14ac:dyDescent="0.2">
      <c r="A45" s="1274" t="s">
        <v>810</v>
      </c>
      <c r="B45" s="503">
        <v>2220</v>
      </c>
      <c r="C45" s="1573">
        <v>512529</v>
      </c>
      <c r="D45" s="1573">
        <v>91645</v>
      </c>
      <c r="E45" s="1573">
        <v>31345</v>
      </c>
      <c r="F45" s="1573">
        <v>89254</v>
      </c>
      <c r="G45" s="1573"/>
      <c r="H45" s="1573"/>
      <c r="I45" s="1574"/>
      <c r="J45" s="1574"/>
      <c r="K45" s="1678">
        <f>SUM(C45:J45)</f>
        <v>724773</v>
      </c>
      <c r="L45" s="1573">
        <v>768339</v>
      </c>
    </row>
    <row r="46" spans="1:14" x14ac:dyDescent="0.2">
      <c r="A46" s="1274" t="s">
        <v>811</v>
      </c>
      <c r="B46" s="503">
        <v>2230</v>
      </c>
      <c r="C46" s="1573"/>
      <c r="D46" s="1573"/>
      <c r="E46" s="1573">
        <v>58834</v>
      </c>
      <c r="F46" s="1573">
        <v>143</v>
      </c>
      <c r="G46" s="1573"/>
      <c r="H46" s="1573"/>
      <c r="I46" s="1574"/>
      <c r="J46" s="1574"/>
      <c r="K46" s="1678">
        <f>SUM(C46:J46)</f>
        <v>58977</v>
      </c>
      <c r="L46" s="1573">
        <v>59934</v>
      </c>
    </row>
    <row r="47" spans="1:14" ht="12.75" customHeight="1" thickBot="1" x14ac:dyDescent="0.25">
      <c r="A47" s="1380" t="s">
        <v>557</v>
      </c>
      <c r="B47" s="1381" t="s">
        <v>32</v>
      </c>
      <c r="C47" s="1674">
        <f>SUM(C44:C46)</f>
        <v>833160</v>
      </c>
      <c r="D47" s="1674">
        <f t="shared" ref="D47:K47" si="4">SUM(D44:D46)</f>
        <v>166247</v>
      </c>
      <c r="E47" s="1674">
        <f t="shared" si="4"/>
        <v>303168</v>
      </c>
      <c r="F47" s="1674">
        <f t="shared" si="4"/>
        <v>94498</v>
      </c>
      <c r="G47" s="1674">
        <f t="shared" si="4"/>
        <v>0</v>
      </c>
      <c r="H47" s="1674">
        <f t="shared" si="4"/>
        <v>0</v>
      </c>
      <c r="I47" s="1674">
        <f t="shared" si="4"/>
        <v>0</v>
      </c>
      <c r="J47" s="1674">
        <f t="shared" si="4"/>
        <v>0</v>
      </c>
      <c r="K47" s="1674">
        <f t="shared" si="4"/>
        <v>1397073</v>
      </c>
      <c r="L47" s="1674">
        <f>SUM(L44:L46)</f>
        <v>1490964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13839</v>
      </c>
      <c r="F49" s="1586">
        <v>1753</v>
      </c>
      <c r="G49" s="1586"/>
      <c r="H49" s="1586">
        <v>1727</v>
      </c>
      <c r="I49" s="1574"/>
      <c r="J49" s="1574"/>
      <c r="K49" s="1678">
        <f>SUM(C49:J49)</f>
        <v>17319</v>
      </c>
      <c r="L49" s="1586">
        <v>38050</v>
      </c>
    </row>
    <row r="50" spans="1:14" x14ac:dyDescent="0.2">
      <c r="A50" s="1274" t="s">
        <v>813</v>
      </c>
      <c r="B50" s="503">
        <v>2320</v>
      </c>
      <c r="C50" s="1573">
        <v>224981</v>
      </c>
      <c r="D50" s="1573">
        <v>54132</v>
      </c>
      <c r="E50" s="1573">
        <v>9830</v>
      </c>
      <c r="F50" s="1573">
        <v>4901</v>
      </c>
      <c r="G50" s="1573"/>
      <c r="H50" s="1573">
        <v>1570</v>
      </c>
      <c r="I50" s="1574"/>
      <c r="J50" s="1574"/>
      <c r="K50" s="1678">
        <f>SUM(C50:J50)</f>
        <v>295414</v>
      </c>
      <c r="L50" s="1573">
        <v>304966</v>
      </c>
    </row>
    <row r="51" spans="1:14" x14ac:dyDescent="0.2">
      <c r="A51" s="1274" t="s">
        <v>42</v>
      </c>
      <c r="B51" s="503">
        <v>2330</v>
      </c>
      <c r="C51" s="1573">
        <v>165987</v>
      </c>
      <c r="D51" s="1573">
        <v>46203</v>
      </c>
      <c r="E51" s="1573"/>
      <c r="F51" s="1573">
        <v>3204</v>
      </c>
      <c r="G51" s="1573"/>
      <c r="H51" s="1573"/>
      <c r="I51" s="1574"/>
      <c r="J51" s="1574"/>
      <c r="K51" s="1678">
        <f>SUM(C51:J51)</f>
        <v>215394</v>
      </c>
      <c r="L51" s="1573">
        <v>215641</v>
      </c>
    </row>
    <row r="52" spans="1:14" ht="22.5" x14ac:dyDescent="0.2">
      <c r="A52" s="1275" t="s">
        <v>295</v>
      </c>
      <c r="B52" s="511" t="s">
        <v>363</v>
      </c>
      <c r="C52" s="1579"/>
      <c r="D52" s="1579"/>
      <c r="E52" s="1579">
        <v>231501</v>
      </c>
      <c r="F52" s="1579"/>
      <c r="G52" s="1579"/>
      <c r="H52" s="1579"/>
      <c r="I52" s="1579"/>
      <c r="J52" s="1579"/>
      <c r="K52" s="1678">
        <f>SUM(C52:J52)</f>
        <v>231501</v>
      </c>
      <c r="L52" s="1579">
        <v>274221</v>
      </c>
    </row>
    <row r="53" spans="1:14" ht="12.75" customHeight="1" thickBot="1" x14ac:dyDescent="0.25">
      <c r="A53" s="1380" t="s">
        <v>712</v>
      </c>
      <c r="B53" s="1381" t="s">
        <v>33</v>
      </c>
      <c r="C53" s="1674">
        <f>SUM(C49:C52)</f>
        <v>390968</v>
      </c>
      <c r="D53" s="1674">
        <f t="shared" ref="D53:L53" si="5">SUM(D49:D52)</f>
        <v>100335</v>
      </c>
      <c r="E53" s="1674">
        <f t="shared" si="5"/>
        <v>255170</v>
      </c>
      <c r="F53" s="1674">
        <f t="shared" si="5"/>
        <v>9858</v>
      </c>
      <c r="G53" s="1674">
        <f t="shared" si="5"/>
        <v>0</v>
      </c>
      <c r="H53" s="1674">
        <f t="shared" si="5"/>
        <v>3297</v>
      </c>
      <c r="I53" s="1674">
        <f t="shared" si="5"/>
        <v>0</v>
      </c>
      <c r="J53" s="1674">
        <f t="shared" si="5"/>
        <v>0</v>
      </c>
      <c r="K53" s="1674">
        <f t="shared" si="5"/>
        <v>759628</v>
      </c>
      <c r="L53" s="1674">
        <f t="shared" si="5"/>
        <v>832878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874464</v>
      </c>
      <c r="D55" s="1586">
        <v>294909</v>
      </c>
      <c r="E55" s="1586">
        <v>2243</v>
      </c>
      <c r="F55" s="1586">
        <v>20623</v>
      </c>
      <c r="G55" s="1586"/>
      <c r="H55" s="1586">
        <v>512</v>
      </c>
      <c r="I55" s="1574"/>
      <c r="J55" s="1574"/>
      <c r="K55" s="1678">
        <f>SUM(C55:J55)</f>
        <v>1192751</v>
      </c>
      <c r="L55" s="1586">
        <v>1198536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874464</v>
      </c>
      <c r="D57" s="1679">
        <f t="shared" ref="D57:K57" si="6">SUM(D55:D56)</f>
        <v>294909</v>
      </c>
      <c r="E57" s="1679">
        <f t="shared" si="6"/>
        <v>2243</v>
      </c>
      <c r="F57" s="1679">
        <f t="shared" si="6"/>
        <v>20623</v>
      </c>
      <c r="G57" s="1679">
        <f t="shared" si="6"/>
        <v>0</v>
      </c>
      <c r="H57" s="1679">
        <f t="shared" si="6"/>
        <v>512</v>
      </c>
      <c r="I57" s="1679">
        <f t="shared" si="6"/>
        <v>0</v>
      </c>
      <c r="J57" s="1679">
        <f t="shared" si="6"/>
        <v>0</v>
      </c>
      <c r="K57" s="1679">
        <f t="shared" si="6"/>
        <v>1192751</v>
      </c>
      <c r="L57" s="1674">
        <f>SUM(L55:L56)</f>
        <v>1198536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104504</v>
      </c>
      <c r="D59" s="1586">
        <v>26019</v>
      </c>
      <c r="E59" s="1586"/>
      <c r="F59" s="1586"/>
      <c r="G59" s="1586"/>
      <c r="H59" s="1586">
        <v>615</v>
      </c>
      <c r="I59" s="1574"/>
      <c r="J59" s="1574"/>
      <c r="K59" s="1678">
        <f t="shared" ref="K59:K64" si="7">SUM(C59:J59)</f>
        <v>131138</v>
      </c>
      <c r="L59" s="1586">
        <v>127725</v>
      </c>
      <c r="M59" s="501"/>
      <c r="N59" s="501"/>
    </row>
    <row r="60" spans="1:14" s="321" customFormat="1" x14ac:dyDescent="0.2">
      <c r="A60" s="1274" t="s">
        <v>460</v>
      </c>
      <c r="B60" s="503">
        <v>2520</v>
      </c>
      <c r="C60" s="1573">
        <v>164589</v>
      </c>
      <c r="D60" s="1573">
        <v>41053</v>
      </c>
      <c r="E60" s="1573">
        <v>98086</v>
      </c>
      <c r="F60" s="1573">
        <v>4993</v>
      </c>
      <c r="G60" s="1573">
        <v>0</v>
      </c>
      <c r="H60" s="1573">
        <v>7723</v>
      </c>
      <c r="I60" s="1574">
        <v>32402</v>
      </c>
      <c r="J60" s="1574"/>
      <c r="K60" s="1678">
        <f t="shared" si="7"/>
        <v>348846</v>
      </c>
      <c r="L60" s="1573">
        <v>371034</v>
      </c>
      <c r="M60" s="501"/>
      <c r="N60" s="501"/>
    </row>
    <row r="61" spans="1:14" s="321" customFormat="1" x14ac:dyDescent="0.2">
      <c r="A61" s="1274" t="s">
        <v>195</v>
      </c>
      <c r="B61" s="503">
        <v>2540</v>
      </c>
      <c r="C61" s="1573"/>
      <c r="D61" s="1573"/>
      <c r="E61" s="1573"/>
      <c r="F61" s="1573"/>
      <c r="G61" s="1573">
        <v>0</v>
      </c>
      <c r="H61" s="1573"/>
      <c r="I61" s="1574"/>
      <c r="J61" s="1574"/>
      <c r="K61" s="1678">
        <f t="shared" si="7"/>
        <v>0</v>
      </c>
      <c r="L61" s="1573">
        <v>19914</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510482</v>
      </c>
      <c r="F63" s="1573">
        <v>7551</v>
      </c>
      <c r="G63" s="1573"/>
      <c r="H63" s="1573"/>
      <c r="I63" s="1574"/>
      <c r="J63" s="1574"/>
      <c r="K63" s="1678">
        <f t="shared" si="7"/>
        <v>518033</v>
      </c>
      <c r="L63" s="1573">
        <v>467609</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269093</v>
      </c>
      <c r="D65" s="1674">
        <f t="shared" ref="D65:L65" si="8">SUM(D59:D64)</f>
        <v>67072</v>
      </c>
      <c r="E65" s="1674">
        <f t="shared" si="8"/>
        <v>608568</v>
      </c>
      <c r="F65" s="1674">
        <f t="shared" si="8"/>
        <v>12544</v>
      </c>
      <c r="G65" s="1674">
        <f t="shared" si="8"/>
        <v>0</v>
      </c>
      <c r="H65" s="1674">
        <f t="shared" si="8"/>
        <v>8338</v>
      </c>
      <c r="I65" s="1674">
        <f t="shared" si="8"/>
        <v>32402</v>
      </c>
      <c r="J65" s="1674">
        <f t="shared" si="8"/>
        <v>0</v>
      </c>
      <c r="K65" s="1674">
        <f t="shared" si="8"/>
        <v>998017</v>
      </c>
      <c r="L65" s="1674">
        <f t="shared" si="8"/>
        <v>986282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5020</v>
      </c>
      <c r="F69" s="1573"/>
      <c r="G69" s="1573"/>
      <c r="H69" s="1573"/>
      <c r="I69" s="1574"/>
      <c r="J69" s="1574"/>
      <c r="K69" s="1678">
        <f>SUM(C69:J69)</f>
        <v>5020</v>
      </c>
      <c r="L69" s="1573">
        <v>5100</v>
      </c>
      <c r="M69" s="501"/>
      <c r="N69" s="501"/>
    </row>
    <row r="70" spans="1:14" s="321" customFormat="1" x14ac:dyDescent="0.2">
      <c r="A70" s="1274" t="s">
        <v>400</v>
      </c>
      <c r="B70" s="503">
        <v>2640</v>
      </c>
      <c r="C70" s="1573">
        <v>66758</v>
      </c>
      <c r="D70" s="1573">
        <v>20670</v>
      </c>
      <c r="E70" s="1573">
        <v>15260</v>
      </c>
      <c r="F70" s="1573">
        <v>4359</v>
      </c>
      <c r="G70" s="1573"/>
      <c r="H70" s="1573"/>
      <c r="I70" s="1574"/>
      <c r="J70" s="1574"/>
      <c r="K70" s="1678">
        <f>SUM(C70:J70)</f>
        <v>107047</v>
      </c>
      <c r="L70" s="1573">
        <v>132203</v>
      </c>
      <c r="M70" s="501"/>
      <c r="N70" s="501"/>
    </row>
    <row r="71" spans="1:14" s="321" customFormat="1" x14ac:dyDescent="0.2">
      <c r="A71" s="1274" t="s">
        <v>401</v>
      </c>
      <c r="B71" s="503">
        <v>2660</v>
      </c>
      <c r="C71" s="1573">
        <v>282851</v>
      </c>
      <c r="D71" s="1573">
        <v>57340</v>
      </c>
      <c r="E71" s="1573">
        <v>125531</v>
      </c>
      <c r="F71" s="1573">
        <v>164777</v>
      </c>
      <c r="G71" s="1573">
        <v>0</v>
      </c>
      <c r="H71" s="1573"/>
      <c r="I71" s="1574">
        <v>368508</v>
      </c>
      <c r="J71" s="1574"/>
      <c r="K71" s="1678">
        <f>SUM(C71:J71)</f>
        <v>999007</v>
      </c>
      <c r="L71" s="1573">
        <v>1047181</v>
      </c>
      <c r="M71" s="501"/>
      <c r="N71" s="501"/>
    </row>
    <row r="72" spans="1:14" s="321" customFormat="1" ht="12.75" customHeight="1" thickBot="1" x14ac:dyDescent="0.25">
      <c r="A72" s="1380" t="s">
        <v>37</v>
      </c>
      <c r="B72" s="1383" t="s">
        <v>36</v>
      </c>
      <c r="C72" s="1674">
        <f>SUM(C67:C71)</f>
        <v>349609</v>
      </c>
      <c r="D72" s="1674">
        <f t="shared" ref="D72:K72" si="9">SUM(D67:D71)</f>
        <v>78010</v>
      </c>
      <c r="E72" s="1674">
        <f t="shared" si="9"/>
        <v>145811</v>
      </c>
      <c r="F72" s="1674">
        <f t="shared" si="9"/>
        <v>169136</v>
      </c>
      <c r="G72" s="1674">
        <f t="shared" si="9"/>
        <v>0</v>
      </c>
      <c r="H72" s="1674">
        <f t="shared" si="9"/>
        <v>0</v>
      </c>
      <c r="I72" s="1674">
        <f t="shared" si="9"/>
        <v>368508</v>
      </c>
      <c r="J72" s="1674">
        <f t="shared" si="9"/>
        <v>0</v>
      </c>
      <c r="K72" s="1674">
        <f t="shared" si="9"/>
        <v>1111074</v>
      </c>
      <c r="L72" s="1674">
        <f>SUM(L67:L71)</f>
        <v>1184484</v>
      </c>
      <c r="M72" s="501"/>
      <c r="N72" s="501"/>
    </row>
    <row r="73" spans="1:14" s="321" customFormat="1" ht="14.25" thickTop="1" thickBot="1" x14ac:dyDescent="0.25">
      <c r="A73" s="1280" t="s">
        <v>973</v>
      </c>
      <c r="B73" s="515" t="s">
        <v>570</v>
      </c>
      <c r="C73" s="1649"/>
      <c r="D73" s="1649"/>
      <c r="E73" s="1649">
        <v>0</v>
      </c>
      <c r="F73" s="1649">
        <v>46130</v>
      </c>
      <c r="G73" s="1649"/>
      <c r="H73" s="1649"/>
      <c r="I73" s="1627"/>
      <c r="J73" s="1627"/>
      <c r="K73" s="1674">
        <f>SUM(C73:J73)</f>
        <v>46130</v>
      </c>
      <c r="L73" s="1651">
        <v>82223</v>
      </c>
      <c r="M73" s="501"/>
      <c r="N73" s="501"/>
    </row>
    <row r="74" spans="1:14" ht="12.75" customHeight="1" thickTop="1" thickBot="1" x14ac:dyDescent="0.25">
      <c r="A74" s="1380" t="s">
        <v>806</v>
      </c>
      <c r="B74" s="1384">
        <v>2000</v>
      </c>
      <c r="C74" s="1681">
        <f>SUM(C42,C47,C53,C57,C65,C72,C73)</f>
        <v>4883877</v>
      </c>
      <c r="D74" s="1681">
        <f t="shared" ref="D74:K74" si="10">SUM(D42,D47,D53,D57,D65,D72,D73)</f>
        <v>1022520</v>
      </c>
      <c r="E74" s="1681">
        <f t="shared" si="10"/>
        <v>1320829</v>
      </c>
      <c r="F74" s="1681">
        <f t="shared" si="10"/>
        <v>361466</v>
      </c>
      <c r="G74" s="1681">
        <f t="shared" si="10"/>
        <v>0</v>
      </c>
      <c r="H74" s="1681">
        <f t="shared" si="10"/>
        <v>12147</v>
      </c>
      <c r="I74" s="1681">
        <f t="shared" si="10"/>
        <v>407355</v>
      </c>
      <c r="J74" s="1681">
        <f t="shared" si="10"/>
        <v>0</v>
      </c>
      <c r="K74" s="1681">
        <f t="shared" si="10"/>
        <v>8008194</v>
      </c>
      <c r="L74" s="1681">
        <f>SUM(L42,L47,L53,L57,L65,L72,L73)</f>
        <v>8319225</v>
      </c>
    </row>
    <row r="75" spans="1:14" s="254" customFormat="1" ht="15.75" customHeight="1" thickTop="1" thickBot="1" x14ac:dyDescent="0.25">
      <c r="A75" s="1348" t="s">
        <v>47</v>
      </c>
      <c r="B75" s="1349" t="s">
        <v>571</v>
      </c>
      <c r="C75" s="1649">
        <v>48399</v>
      </c>
      <c r="D75" s="1649">
        <v>6596</v>
      </c>
      <c r="E75" s="1649">
        <v>7677</v>
      </c>
      <c r="F75" s="1649">
        <v>2429</v>
      </c>
      <c r="G75" s="1649"/>
      <c r="H75" s="1649"/>
      <c r="I75" s="1627"/>
      <c r="J75" s="1627"/>
      <c r="K75" s="1674">
        <f>SUM(C75:J75)</f>
        <v>65101</v>
      </c>
      <c r="L75" s="1651">
        <v>83670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340101</v>
      </c>
      <c r="F79" s="1673"/>
      <c r="G79" s="1673"/>
      <c r="H79" s="1573">
        <v>22104</v>
      </c>
      <c r="I79" s="1582"/>
      <c r="J79" s="1582"/>
      <c r="K79" s="1672">
        <f t="shared" si="11"/>
        <v>362205</v>
      </c>
      <c r="L79" s="1573">
        <v>321076</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84554</v>
      </c>
      <c r="I81" s="1582"/>
      <c r="J81" s="1582"/>
      <c r="K81" s="1672">
        <f t="shared" si="11"/>
        <v>84554</v>
      </c>
      <c r="L81" s="1573">
        <v>80000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340101</v>
      </c>
      <c r="F84" s="1673"/>
      <c r="G84" s="1673"/>
      <c r="H84" s="1674">
        <f>SUM(H78:H83)</f>
        <v>106658</v>
      </c>
      <c r="I84" s="1582"/>
      <c r="J84" s="1582"/>
      <c r="K84" s="1674">
        <f>SUM(K78:K83)</f>
        <v>446759</v>
      </c>
      <c r="L84" s="1674">
        <f>SUM(L78:L83)</f>
        <v>401076</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340101</v>
      </c>
      <c r="F102" s="1673"/>
      <c r="G102" s="1673"/>
      <c r="H102" s="1681">
        <f>SUM(H84,H92,H100,H101)</f>
        <v>106658</v>
      </c>
      <c r="I102" s="1582"/>
      <c r="J102" s="1582"/>
      <c r="K102" s="1681">
        <f>SUM(K84,K92,K100,K101)</f>
        <v>446759</v>
      </c>
      <c r="L102" s="1681">
        <f>SUM(L84,L92,L100,L101)</f>
        <v>401076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15877431</v>
      </c>
      <c r="D114" s="1674">
        <f t="shared" ref="D114:K114" si="13">SUM(D33,D74,D75,D102,D112,D113)</f>
        <v>3026478</v>
      </c>
      <c r="E114" s="1674">
        <f t="shared" si="13"/>
        <v>1847364</v>
      </c>
      <c r="F114" s="1674">
        <f t="shared" si="13"/>
        <v>979368</v>
      </c>
      <c r="G114" s="1674">
        <f t="shared" si="13"/>
        <v>0</v>
      </c>
      <c r="H114" s="1674">
        <f>SUM(H33,H74,H75,H102,H112,H113)</f>
        <v>814516</v>
      </c>
      <c r="I114" s="1674">
        <f t="shared" si="13"/>
        <v>408404</v>
      </c>
      <c r="J114" s="1674">
        <f t="shared" si="13"/>
        <v>0</v>
      </c>
      <c r="K114" s="1674">
        <f t="shared" si="13"/>
        <v>22953561</v>
      </c>
      <c r="L114" s="1674">
        <f>SUM(L33,L74,L75,L102,L112,L113)</f>
        <v>23294813</v>
      </c>
    </row>
    <row r="115" spans="1:14" ht="13.5" thickTop="1" x14ac:dyDescent="0.2">
      <c r="A115" s="2297" t="s">
        <v>989</v>
      </c>
      <c r="B115" s="2298"/>
      <c r="C115" s="1675"/>
      <c r="D115" s="1675"/>
      <c r="E115" s="1675"/>
      <c r="F115" s="1675"/>
      <c r="G115" s="1675"/>
      <c r="H115" s="1675"/>
      <c r="I115" s="1675"/>
      <c r="J115" s="1675"/>
      <c r="K115" s="1689">
        <f>'Revenues 9-14'!C268-'Expenditures 15-22'!K114</f>
        <v>1598325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5" t="s">
        <v>293</v>
      </c>
      <c r="B117" s="227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v>250</v>
      </c>
      <c r="D123" s="1573"/>
      <c r="E123" s="1573"/>
      <c r="F123" s="1573"/>
      <c r="G123" s="1573"/>
      <c r="H123" s="1573"/>
      <c r="I123" s="1574"/>
      <c r="J123" s="1574"/>
      <c r="K123" s="1674">
        <f>SUM(C123:J123)</f>
        <v>250</v>
      </c>
      <c r="L123" s="1573">
        <v>1000</v>
      </c>
    </row>
    <row r="124" spans="1:14" ht="14.25" thickTop="1" thickBot="1" x14ac:dyDescent="0.25">
      <c r="A124" s="1274" t="s">
        <v>195</v>
      </c>
      <c r="B124" s="503">
        <v>2540</v>
      </c>
      <c r="C124" s="1573">
        <v>114006</v>
      </c>
      <c r="D124" s="1573">
        <v>13362</v>
      </c>
      <c r="E124" s="1573">
        <v>1416707</v>
      </c>
      <c r="F124" s="1573">
        <v>481257</v>
      </c>
      <c r="G124" s="1573"/>
      <c r="H124" s="1573"/>
      <c r="I124" s="1574">
        <v>41307</v>
      </c>
      <c r="J124" s="1574"/>
      <c r="K124" s="1674">
        <f>SUM(C124:J124)</f>
        <v>2066639</v>
      </c>
      <c r="L124" s="1573">
        <v>1932138</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v>0</v>
      </c>
      <c r="H126" s="1694"/>
      <c r="I126" s="1579"/>
      <c r="J126" s="1673"/>
      <c r="K126" s="1674">
        <f>SUM(C126:J126)</f>
        <v>0</v>
      </c>
      <c r="L126" s="1573">
        <v>47991</v>
      </c>
    </row>
    <row r="127" spans="1:14" ht="12.75" customHeight="1" thickTop="1" thickBot="1" x14ac:dyDescent="0.25">
      <c r="A127" s="1380" t="s">
        <v>714</v>
      </c>
      <c r="B127" s="1381" t="s">
        <v>35</v>
      </c>
      <c r="C127" s="1674">
        <f>SUM(C122:C126)</f>
        <v>114256</v>
      </c>
      <c r="D127" s="1674">
        <f t="shared" ref="D127:L127" si="14">SUM(D122:D126)</f>
        <v>13362</v>
      </c>
      <c r="E127" s="1674">
        <f t="shared" si="14"/>
        <v>1416707</v>
      </c>
      <c r="F127" s="1674">
        <f t="shared" si="14"/>
        <v>481257</v>
      </c>
      <c r="G127" s="1674">
        <f t="shared" si="14"/>
        <v>0</v>
      </c>
      <c r="H127" s="1674">
        <f t="shared" si="14"/>
        <v>0</v>
      </c>
      <c r="I127" s="1674">
        <f t="shared" si="14"/>
        <v>41307</v>
      </c>
      <c r="J127" s="1674">
        <f t="shared" si="14"/>
        <v>0</v>
      </c>
      <c r="K127" s="1674">
        <f t="shared" si="14"/>
        <v>2066889</v>
      </c>
      <c r="L127" s="1674">
        <f t="shared" si="14"/>
        <v>1981129</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114256</v>
      </c>
      <c r="D129" s="1681">
        <f t="shared" ref="D129:L129" si="15">SUM(D120,D127,D128)</f>
        <v>13362</v>
      </c>
      <c r="E129" s="1681">
        <f t="shared" si="15"/>
        <v>1416707</v>
      </c>
      <c r="F129" s="1681">
        <f t="shared" si="15"/>
        <v>481257</v>
      </c>
      <c r="G129" s="1681">
        <f t="shared" si="15"/>
        <v>0</v>
      </c>
      <c r="H129" s="1681">
        <f t="shared" si="15"/>
        <v>0</v>
      </c>
      <c r="I129" s="1681">
        <f t="shared" si="15"/>
        <v>41307</v>
      </c>
      <c r="J129" s="1681">
        <f t="shared" si="15"/>
        <v>0</v>
      </c>
      <c r="K129" s="1681">
        <f t="shared" si="15"/>
        <v>2066889</v>
      </c>
      <c r="L129" s="1681">
        <f t="shared" si="15"/>
        <v>1981129</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7" t="s">
        <v>616</v>
      </c>
      <c r="B151" s="2269"/>
      <c r="C151" s="1674">
        <f>SUM(C129,C130,C139,C149,C150)</f>
        <v>114256</v>
      </c>
      <c r="D151" s="1674">
        <f t="shared" ref="D151:K151" si="16">SUM(D129,D130,D139,D149,D150)</f>
        <v>13362</v>
      </c>
      <c r="E151" s="1674">
        <f t="shared" si="16"/>
        <v>1416707</v>
      </c>
      <c r="F151" s="1674">
        <f t="shared" si="16"/>
        <v>481257</v>
      </c>
      <c r="G151" s="1674">
        <f t="shared" si="16"/>
        <v>0</v>
      </c>
      <c r="H151" s="1674">
        <f t="shared" si="16"/>
        <v>0</v>
      </c>
      <c r="I151" s="1674">
        <f t="shared" si="16"/>
        <v>41307</v>
      </c>
      <c r="J151" s="1674">
        <f t="shared" si="16"/>
        <v>0</v>
      </c>
      <c r="K151" s="1674">
        <f t="shared" si="16"/>
        <v>2066889</v>
      </c>
      <c r="L151" s="1674">
        <f>SUM(L129,L130,L139,L149,L150)</f>
        <v>1981129</v>
      </c>
    </row>
    <row r="152" spans="1:14" ht="12.75" customHeight="1" thickTop="1" x14ac:dyDescent="0.2">
      <c r="A152" s="2290" t="s">
        <v>1168</v>
      </c>
      <c r="B152" s="2291"/>
      <c r="C152" s="1675"/>
      <c r="D152" s="1675"/>
      <c r="E152" s="1675"/>
      <c r="F152" s="1675"/>
      <c r="G152" s="1675"/>
      <c r="H152" s="1675"/>
      <c r="I152" s="1675"/>
      <c r="J152" s="1673"/>
      <c r="K152" s="1689">
        <f>'Revenues 9-14'!D268-'Expenditures 15-22'!K151</f>
        <v>206714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5" t="s">
        <v>617</v>
      </c>
      <c r="B154" s="227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496910</v>
      </c>
      <c r="I169" s="1673"/>
      <c r="J169" s="1673"/>
      <c r="K169" s="1672">
        <f>SUM(C169:H169)</f>
        <v>496910</v>
      </c>
      <c r="L169" s="1695">
        <v>5276870</v>
      </c>
    </row>
    <row r="170" spans="1:14" ht="33.75" customHeight="1" x14ac:dyDescent="0.2">
      <c r="A170" s="543" t="s">
        <v>1651</v>
      </c>
      <c r="B170" s="545" t="s">
        <v>31</v>
      </c>
      <c r="C170" s="1673"/>
      <c r="D170" s="1673"/>
      <c r="E170" s="1673"/>
      <c r="F170" s="1673"/>
      <c r="G170" s="1673"/>
      <c r="H170" s="1646">
        <v>4625000</v>
      </c>
      <c r="I170" s="1673"/>
      <c r="J170" s="1673"/>
      <c r="K170" s="1672">
        <f>SUM(C170:J170)</f>
        <v>4625000</v>
      </c>
      <c r="L170" s="1646">
        <v>4606500</v>
      </c>
    </row>
    <row r="171" spans="1:14" ht="15.75" customHeight="1" x14ac:dyDescent="0.2">
      <c r="A171" s="507" t="s">
        <v>761</v>
      </c>
      <c r="B171" s="546" t="s">
        <v>84</v>
      </c>
      <c r="C171" s="1673"/>
      <c r="D171" s="1673"/>
      <c r="E171" s="1573"/>
      <c r="F171" s="1673"/>
      <c r="G171" s="1673"/>
      <c r="H171" s="1646">
        <v>845</v>
      </c>
      <c r="I171" s="1582"/>
      <c r="J171" s="1673"/>
      <c r="K171" s="1672">
        <f>SUM(C171:J171)</f>
        <v>845</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5122755</v>
      </c>
      <c r="I172" s="1684"/>
      <c r="J172" s="1673"/>
      <c r="K172" s="1681">
        <f>SUM(K168,K169,K170,K171)</f>
        <v>5122755</v>
      </c>
      <c r="L172" s="1681">
        <f>SUM(L168,L169,L170,L171)</f>
        <v>9884370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5122755</v>
      </c>
      <c r="I174" s="1684"/>
      <c r="J174" s="1673"/>
      <c r="K174" s="1681">
        <f>SUM(K160,K172,K173)</f>
        <v>5122755</v>
      </c>
      <c r="L174" s="1681">
        <f>SUM(L160,L172,L173)</f>
        <v>9884370</v>
      </c>
    </row>
    <row r="175" spans="1:14" ht="13.5" thickTop="1" x14ac:dyDescent="0.2">
      <c r="A175" s="2297" t="s">
        <v>989</v>
      </c>
      <c r="B175" s="2298"/>
      <c r="C175" s="1673"/>
      <c r="D175" s="1673"/>
      <c r="E175" s="1673"/>
      <c r="F175" s="1673"/>
      <c r="G175" s="1673"/>
      <c r="H175" s="1675"/>
      <c r="I175" s="1673"/>
      <c r="J175" s="1673"/>
      <c r="K175" s="1689">
        <f>'Revenues 9-14'!E268-'Expenditures 15-22'!K174</f>
        <v>-2382885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689889+10635</f>
        <v>700524</v>
      </c>
      <c r="D182" s="1573">
        <f>119298+14</f>
        <v>119312</v>
      </c>
      <c r="E182" s="1573">
        <v>586478</v>
      </c>
      <c r="F182" s="1573">
        <v>78279</v>
      </c>
      <c r="G182" s="1573">
        <v>0</v>
      </c>
      <c r="H182" s="1573">
        <v>20902</v>
      </c>
      <c r="I182" s="1574"/>
      <c r="J182" s="1574"/>
      <c r="K182" s="1672">
        <f>SUM(C182:J182)</f>
        <v>1505495</v>
      </c>
      <c r="L182" s="1573">
        <f>1577059+5600</f>
        <v>1582659</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700524</v>
      </c>
      <c r="D184" s="1681">
        <f t="shared" ref="D184:J184" si="17">SUM(D180,D182,D183)</f>
        <v>119312</v>
      </c>
      <c r="E184" s="1681">
        <f t="shared" si="17"/>
        <v>586478</v>
      </c>
      <c r="F184" s="1681">
        <f t="shared" si="17"/>
        <v>78279</v>
      </c>
      <c r="G184" s="1681">
        <f t="shared" si="17"/>
        <v>0</v>
      </c>
      <c r="H184" s="1681">
        <f t="shared" si="17"/>
        <v>20902</v>
      </c>
      <c r="I184" s="1681">
        <f t="shared" si="17"/>
        <v>0</v>
      </c>
      <c r="J184" s="1681">
        <f t="shared" si="17"/>
        <v>0</v>
      </c>
      <c r="K184" s="1681">
        <f>SUM(K180,K182,K183)</f>
        <v>1505495</v>
      </c>
      <c r="L184" s="1681">
        <f>SUM(L180, L182:L183)</f>
        <v>1582659</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700524</v>
      </c>
      <c r="D210" s="1674">
        <f>SUM(D184,D185)</f>
        <v>119312</v>
      </c>
      <c r="E210" s="1674">
        <f>SUM(E184,E185,E196)</f>
        <v>586478</v>
      </c>
      <c r="F210" s="1674">
        <f>SUM(F184,F185)</f>
        <v>78279</v>
      </c>
      <c r="G210" s="1674">
        <f>SUM(G184,G185)</f>
        <v>0</v>
      </c>
      <c r="H210" s="1674">
        <f>SUM(H184,H185,H196,H208,H209)</f>
        <v>20902</v>
      </c>
      <c r="I210" s="1674">
        <f>SUM(I184,I185)</f>
        <v>0</v>
      </c>
      <c r="J210" s="1674">
        <f>SUM(J184,J185)</f>
        <v>0</v>
      </c>
      <c r="K210" s="1672">
        <f>SUM(K184,K185,K196,K208,K209)</f>
        <v>1505495</v>
      </c>
      <c r="L210" s="1674">
        <f>SUM(L184,L185,L196,L208,L209)</f>
        <v>1582659</v>
      </c>
    </row>
    <row r="211" spans="1:14" ht="13.5" thickTop="1" x14ac:dyDescent="0.2">
      <c r="A211" s="2297" t="s">
        <v>989</v>
      </c>
      <c r="B211" s="2298"/>
      <c r="C211" s="1675"/>
      <c r="D211" s="1675"/>
      <c r="E211" s="1675"/>
      <c r="F211" s="1675"/>
      <c r="G211" s="1675"/>
      <c r="H211" s="1675"/>
      <c r="I211" s="1673"/>
      <c r="J211" s="1673"/>
      <c r="K211" s="1689">
        <f>'Revenues 9-14'!F268-'Expenditures 15-22'!K210</f>
        <v>122499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2" t="s">
        <v>959</v>
      </c>
      <c r="B213" s="229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97911</v>
      </c>
      <c r="E215" s="1673"/>
      <c r="F215" s="1673"/>
      <c r="G215" s="1673"/>
      <c r="H215" s="1673"/>
      <c r="I215" s="1673"/>
      <c r="J215" s="1673"/>
      <c r="K215" s="1672">
        <f>D215</f>
        <v>97911</v>
      </c>
      <c r="L215" s="1573">
        <v>91084</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168305</v>
      </c>
      <c r="E217" s="1673"/>
      <c r="F217" s="1673"/>
      <c r="G217" s="1673"/>
      <c r="H217" s="1673"/>
      <c r="I217" s="1673"/>
      <c r="J217" s="1673"/>
      <c r="K217" s="1672">
        <f t="shared" si="19"/>
        <v>168305</v>
      </c>
      <c r="L217" s="1573">
        <v>234461</v>
      </c>
    </row>
    <row r="218" spans="1:14" x14ac:dyDescent="0.2">
      <c r="A218" s="1274" t="s">
        <v>276</v>
      </c>
      <c r="B218" s="503" t="s">
        <v>962</v>
      </c>
      <c r="C218" s="1673"/>
      <c r="D218" s="1574">
        <v>508</v>
      </c>
      <c r="E218" s="1673"/>
      <c r="F218" s="1673"/>
      <c r="G218" s="1673"/>
      <c r="H218" s="1673"/>
      <c r="I218" s="1673"/>
      <c r="J218" s="1673"/>
      <c r="K218" s="1672">
        <f t="shared" si="19"/>
        <v>508</v>
      </c>
      <c r="L218" s="1573">
        <v>2667</v>
      </c>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1275</v>
      </c>
      <c r="E223" s="1673"/>
      <c r="F223" s="1673"/>
      <c r="G223" s="1673"/>
      <c r="H223" s="1673"/>
      <c r="I223" s="1673"/>
      <c r="J223" s="1673"/>
      <c r="K223" s="1672">
        <f t="shared" si="19"/>
        <v>1275</v>
      </c>
      <c r="L223" s="1573">
        <v>1168</v>
      </c>
    </row>
    <row r="224" spans="1:14" x14ac:dyDescent="0.2">
      <c r="A224" s="1274" t="s">
        <v>958</v>
      </c>
      <c r="B224" s="503">
        <v>1600</v>
      </c>
      <c r="C224" s="1673"/>
      <c r="D224" s="1573">
        <v>880</v>
      </c>
      <c r="E224" s="1673"/>
      <c r="F224" s="1673"/>
      <c r="G224" s="1673"/>
      <c r="H224" s="1673"/>
      <c r="I224" s="1673"/>
      <c r="J224" s="1673"/>
      <c r="K224" s="1672">
        <f t="shared" si="19"/>
        <v>880</v>
      </c>
      <c r="L224" s="1573">
        <v>1965</v>
      </c>
    </row>
    <row r="225" spans="1:12" x14ac:dyDescent="0.2">
      <c r="A225" s="1274" t="s">
        <v>980</v>
      </c>
      <c r="B225" s="503">
        <v>1650</v>
      </c>
      <c r="C225" s="1673"/>
      <c r="D225" s="1573">
        <v>2425</v>
      </c>
      <c r="E225" s="1673"/>
      <c r="F225" s="1673"/>
      <c r="G225" s="1673"/>
      <c r="H225" s="1673"/>
      <c r="I225" s="1673"/>
      <c r="J225" s="1673"/>
      <c r="K225" s="1672">
        <f t="shared" si="19"/>
        <v>2425</v>
      </c>
      <c r="L225" s="1573">
        <v>2659</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15774</v>
      </c>
      <c r="E227" s="1673"/>
      <c r="F227" s="1673"/>
      <c r="G227" s="1673"/>
      <c r="H227" s="1673"/>
      <c r="I227" s="1673"/>
      <c r="J227" s="1673"/>
      <c r="K227" s="1672">
        <f t="shared" si="19"/>
        <v>15774</v>
      </c>
      <c r="L227" s="1573">
        <v>15677</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287078</v>
      </c>
      <c r="E229" s="1673"/>
      <c r="F229" s="1673"/>
      <c r="G229" s="1673"/>
      <c r="H229" s="1673"/>
      <c r="I229" s="1673"/>
      <c r="J229" s="1673"/>
      <c r="K229" s="1674">
        <f>SUM(K215:K228)</f>
        <v>287078</v>
      </c>
      <c r="L229" s="1674">
        <f>SUM(L215:L228)</f>
        <v>349681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5325</v>
      </c>
      <c r="E232" s="1673"/>
      <c r="F232" s="1673"/>
      <c r="G232" s="1673"/>
      <c r="H232" s="1673"/>
      <c r="I232" s="1673"/>
      <c r="J232" s="1673"/>
      <c r="K232" s="1672">
        <f t="shared" ref="K232:K237" si="20">D232</f>
        <v>5325</v>
      </c>
      <c r="L232" s="1573">
        <v>7456</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106783</v>
      </c>
      <c r="E234" s="1673"/>
      <c r="F234" s="1673"/>
      <c r="G234" s="1673"/>
      <c r="H234" s="1673"/>
      <c r="I234" s="1673"/>
      <c r="J234" s="1673"/>
      <c r="K234" s="1672">
        <f t="shared" si="20"/>
        <v>106783</v>
      </c>
      <c r="L234" s="1573">
        <v>132165</v>
      </c>
    </row>
    <row r="235" spans="1:12" x14ac:dyDescent="0.2">
      <c r="A235" s="1274" t="s">
        <v>197</v>
      </c>
      <c r="B235" s="503">
        <v>2140</v>
      </c>
      <c r="C235" s="1673"/>
      <c r="D235" s="1573">
        <v>5121</v>
      </c>
      <c r="E235" s="1673"/>
      <c r="F235" s="1673"/>
      <c r="G235" s="1673"/>
      <c r="H235" s="1673"/>
      <c r="I235" s="1673"/>
      <c r="J235" s="1673"/>
      <c r="K235" s="1672">
        <f t="shared" si="20"/>
        <v>5121</v>
      </c>
      <c r="L235" s="1573">
        <v>5918</v>
      </c>
    </row>
    <row r="236" spans="1:12" x14ac:dyDescent="0.2">
      <c r="A236" s="1274" t="s">
        <v>198</v>
      </c>
      <c r="B236" s="503">
        <v>2150</v>
      </c>
      <c r="C236" s="1673"/>
      <c r="D236" s="1573">
        <v>8813</v>
      </c>
      <c r="E236" s="1673"/>
      <c r="F236" s="1673"/>
      <c r="G236" s="1673"/>
      <c r="H236" s="1673"/>
      <c r="I236" s="1673"/>
      <c r="J236" s="1673"/>
      <c r="K236" s="1672">
        <f t="shared" si="20"/>
        <v>8813</v>
      </c>
      <c r="L236" s="1573">
        <v>8563</v>
      </c>
    </row>
    <row r="237" spans="1:12" x14ac:dyDescent="0.2">
      <c r="A237" s="1274" t="s">
        <v>164</v>
      </c>
      <c r="B237" s="503">
        <v>2190</v>
      </c>
      <c r="C237" s="1673"/>
      <c r="D237" s="1573">
        <v>6326</v>
      </c>
      <c r="E237" s="1673"/>
      <c r="F237" s="1673"/>
      <c r="G237" s="1673"/>
      <c r="H237" s="1673"/>
      <c r="I237" s="1673"/>
      <c r="J237" s="1673"/>
      <c r="K237" s="1672">
        <f t="shared" si="20"/>
        <v>6326</v>
      </c>
      <c r="L237" s="1573">
        <v>7775</v>
      </c>
    </row>
    <row r="238" spans="1:12" ht="12.75" customHeight="1" thickBot="1" x14ac:dyDescent="0.25">
      <c r="A238" s="1380" t="s">
        <v>556</v>
      </c>
      <c r="B238" s="1383" t="s">
        <v>711</v>
      </c>
      <c r="C238" s="1673"/>
      <c r="D238" s="1674">
        <f>SUM(D232:D237)</f>
        <v>132368</v>
      </c>
      <c r="E238" s="1673"/>
      <c r="F238" s="1673"/>
      <c r="G238" s="1673"/>
      <c r="H238" s="1673"/>
      <c r="I238" s="1673"/>
      <c r="J238" s="1673"/>
      <c r="K238" s="1674">
        <f>SUM(K232:K237)</f>
        <v>132368</v>
      </c>
      <c r="L238" s="1674">
        <f>SUM(L232:L237)</f>
        <v>161877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18157</v>
      </c>
      <c r="E240" s="1673"/>
      <c r="F240" s="1673"/>
      <c r="G240" s="1673"/>
      <c r="H240" s="1673"/>
      <c r="I240" s="1673"/>
      <c r="J240" s="1673"/>
      <c r="K240" s="1678">
        <f>D240</f>
        <v>18157</v>
      </c>
      <c r="L240" s="1586">
        <v>16992</v>
      </c>
    </row>
    <row r="241" spans="1:12" x14ac:dyDescent="0.2">
      <c r="A241" s="1274" t="s">
        <v>810</v>
      </c>
      <c r="B241" s="503">
        <v>2220</v>
      </c>
      <c r="C241" s="1673"/>
      <c r="D241" s="1573">
        <v>27127</v>
      </c>
      <c r="E241" s="1673"/>
      <c r="F241" s="1673"/>
      <c r="G241" s="1673"/>
      <c r="H241" s="1673"/>
      <c r="I241" s="1673"/>
      <c r="J241" s="1673"/>
      <c r="K241" s="1678">
        <f>D241</f>
        <v>27127</v>
      </c>
      <c r="L241" s="1573">
        <v>27019</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45284</v>
      </c>
      <c r="E243" s="1673"/>
      <c r="F243" s="1673"/>
      <c r="G243" s="1673"/>
      <c r="H243" s="1673"/>
      <c r="I243" s="1673"/>
      <c r="J243" s="1673"/>
      <c r="K243" s="1674">
        <f>SUM(K240:K242)</f>
        <v>45284</v>
      </c>
      <c r="L243" s="1674">
        <f>SUM(L240:L242)</f>
        <v>44011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12137</v>
      </c>
      <c r="E246" s="1673"/>
      <c r="F246" s="1673"/>
      <c r="G246" s="1673"/>
      <c r="H246" s="1673"/>
      <c r="I246" s="1673"/>
      <c r="J246" s="1673"/>
      <c r="K246" s="1678">
        <f t="shared" ref="K246:K256" si="21">D246</f>
        <v>12137</v>
      </c>
      <c r="L246" s="1573">
        <v>12011</v>
      </c>
    </row>
    <row r="247" spans="1:12" x14ac:dyDescent="0.2">
      <c r="A247" s="1274" t="s">
        <v>814</v>
      </c>
      <c r="B247" s="503">
        <v>2330</v>
      </c>
      <c r="C247" s="1673"/>
      <c r="D247" s="1573">
        <v>10662</v>
      </c>
      <c r="E247" s="1673"/>
      <c r="F247" s="1673"/>
      <c r="G247" s="1673"/>
      <c r="H247" s="1673"/>
      <c r="I247" s="1673"/>
      <c r="J247" s="1673"/>
      <c r="K247" s="1678">
        <f t="shared" si="21"/>
        <v>10662</v>
      </c>
      <c r="L247" s="1573">
        <v>11102</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22799</v>
      </c>
      <c r="E257" s="1673"/>
      <c r="F257" s="1673"/>
      <c r="G257" s="1673"/>
      <c r="H257" s="1673"/>
      <c r="I257" s="1673"/>
      <c r="J257" s="1673"/>
      <c r="K257" s="1674">
        <f>SUM(K245:K256)</f>
        <v>22799</v>
      </c>
      <c r="L257" s="1674">
        <f>SUM(L245:L256)</f>
        <v>23113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54522</v>
      </c>
      <c r="E259" s="1673"/>
      <c r="F259" s="1673"/>
      <c r="G259" s="1673"/>
      <c r="H259" s="1673"/>
      <c r="I259" s="1673"/>
      <c r="J259" s="1673"/>
      <c r="K259" s="1678">
        <f>D259</f>
        <v>54522</v>
      </c>
      <c r="L259" s="1586">
        <v>63969</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54522</v>
      </c>
      <c r="E261" s="1673"/>
      <c r="F261" s="1673"/>
      <c r="G261" s="1673"/>
      <c r="H261" s="1673"/>
      <c r="I261" s="1673"/>
      <c r="J261" s="1673"/>
      <c r="K261" s="1674">
        <f>SUM(K259:K260)</f>
        <v>54522</v>
      </c>
      <c r="L261" s="1674">
        <f>SUM(L259:L260)</f>
        <v>63969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1511</v>
      </c>
      <c r="E263" s="1673"/>
      <c r="F263" s="1673"/>
      <c r="G263" s="1673"/>
      <c r="H263" s="1673"/>
      <c r="I263" s="1673"/>
      <c r="J263" s="1673"/>
      <c r="K263" s="1678">
        <f>D263</f>
        <v>1511</v>
      </c>
      <c r="L263" s="1586">
        <v>1449</v>
      </c>
    </row>
    <row r="264" spans="1:14" x14ac:dyDescent="0.2">
      <c r="A264" s="1274" t="s">
        <v>460</v>
      </c>
      <c r="B264" s="559">
        <v>2520</v>
      </c>
      <c r="C264" s="1673"/>
      <c r="D264" s="1573">
        <v>33974</v>
      </c>
      <c r="E264" s="1673"/>
      <c r="F264" s="1673"/>
      <c r="G264" s="1673"/>
      <c r="H264" s="1673"/>
      <c r="I264" s="1673"/>
      <c r="J264" s="1673"/>
      <c r="K264" s="1678">
        <f t="shared" ref="K264:K269" si="22">D264</f>
        <v>33974</v>
      </c>
      <c r="L264" s="1573">
        <v>34777</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22962</v>
      </c>
      <c r="E266" s="1673"/>
      <c r="F266" s="1673"/>
      <c r="G266" s="1673"/>
      <c r="H266" s="1673"/>
      <c r="I266" s="1673"/>
      <c r="J266" s="1673"/>
      <c r="K266" s="1678">
        <f t="shared" si="22"/>
        <v>22962</v>
      </c>
      <c r="L266" s="1573">
        <v>24159</v>
      </c>
    </row>
    <row r="267" spans="1:14" x14ac:dyDescent="0.2">
      <c r="A267" s="1274" t="s">
        <v>947</v>
      </c>
      <c r="B267" s="503">
        <v>2550</v>
      </c>
      <c r="C267" s="1673"/>
      <c r="D267" s="1573">
        <v>133190</v>
      </c>
      <c r="E267" s="1673"/>
      <c r="F267" s="1673"/>
      <c r="G267" s="1673"/>
      <c r="H267" s="1673"/>
      <c r="I267" s="1673"/>
      <c r="J267" s="1673"/>
      <c r="K267" s="1678">
        <f t="shared" si="22"/>
        <v>133190</v>
      </c>
      <c r="L267" s="1573">
        <v>155955</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191637</v>
      </c>
      <c r="E270" s="1673"/>
      <c r="F270" s="1673"/>
      <c r="G270" s="1673"/>
      <c r="H270" s="1673"/>
      <c r="I270" s="1673"/>
      <c r="J270" s="1673"/>
      <c r="K270" s="1674">
        <f>SUM(K263:K269)</f>
        <v>191637</v>
      </c>
      <c r="L270" s="1674">
        <f>SUM(L263:L269)</f>
        <v>216340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v>10755</v>
      </c>
      <c r="E275" s="1673"/>
      <c r="F275" s="1673"/>
      <c r="G275" s="1673"/>
      <c r="H275" s="1673"/>
      <c r="I275" s="1673"/>
      <c r="J275" s="1673"/>
      <c r="K275" s="1678">
        <f>D275</f>
        <v>10755</v>
      </c>
      <c r="L275" s="1573">
        <v>17534</v>
      </c>
    </row>
    <row r="276" spans="1:12" x14ac:dyDescent="0.2">
      <c r="A276" s="1274" t="s">
        <v>401</v>
      </c>
      <c r="B276" s="503">
        <v>2660</v>
      </c>
      <c r="C276" s="1673"/>
      <c r="D276" s="1573">
        <v>55656</v>
      </c>
      <c r="E276" s="1673"/>
      <c r="F276" s="1673"/>
      <c r="G276" s="1673"/>
      <c r="H276" s="1673"/>
      <c r="I276" s="1673"/>
      <c r="J276" s="1673"/>
      <c r="K276" s="1678">
        <f>D276</f>
        <v>55656</v>
      </c>
      <c r="L276" s="1573">
        <v>63651</v>
      </c>
    </row>
    <row r="277" spans="1:12" ht="12.75" customHeight="1" thickBot="1" x14ac:dyDescent="0.25">
      <c r="A277" s="1393" t="s">
        <v>37</v>
      </c>
      <c r="B277" s="1381" t="s">
        <v>36</v>
      </c>
      <c r="C277" s="1673"/>
      <c r="D277" s="1674">
        <f>SUM(D272:D276)</f>
        <v>66411</v>
      </c>
      <c r="E277" s="1673"/>
      <c r="F277" s="1673"/>
      <c r="G277" s="1673"/>
      <c r="H277" s="1673"/>
      <c r="I277" s="1673"/>
      <c r="J277" s="1673"/>
      <c r="K277" s="1674">
        <f>SUM(K272:K276)</f>
        <v>66411</v>
      </c>
      <c r="L277" s="1674">
        <f>SUM(L272:L276)</f>
        <v>81185</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513021</v>
      </c>
      <c r="E279" s="1673"/>
      <c r="F279" s="1673"/>
      <c r="G279" s="1673"/>
      <c r="H279" s="1673"/>
      <c r="I279" s="1673"/>
      <c r="J279" s="1673"/>
      <c r="K279" s="1681">
        <f>SUM(K238,K243,K257,K261,K270,K277,K278)</f>
        <v>513021</v>
      </c>
      <c r="L279" s="1681">
        <f>SUM(L238,L243,L257,L261,L270,L277,L278)</f>
        <v>590495</v>
      </c>
    </row>
    <row r="280" spans="1:12" ht="15.75" customHeight="1" thickTop="1" thickBot="1" x14ac:dyDescent="0.25">
      <c r="A280" s="1362" t="s">
        <v>870</v>
      </c>
      <c r="B280" s="1351">
        <v>3000</v>
      </c>
      <c r="C280" s="1673"/>
      <c r="D280" s="1651">
        <v>390</v>
      </c>
      <c r="E280" s="1673"/>
      <c r="F280" s="1673"/>
      <c r="G280" s="1673"/>
      <c r="H280" s="1673"/>
      <c r="I280" s="1673"/>
      <c r="J280" s="1673"/>
      <c r="K280" s="1687">
        <f>D280</f>
        <v>390</v>
      </c>
      <c r="L280" s="1651">
        <v>3612</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8" t="s">
        <v>502</v>
      </c>
      <c r="B295" s="2289"/>
      <c r="C295" s="1673"/>
      <c r="D295" s="1674">
        <f>SUM(D229,D279,D280,D285)</f>
        <v>800489</v>
      </c>
      <c r="E295" s="1673"/>
      <c r="F295" s="1673"/>
      <c r="G295" s="1673"/>
      <c r="H295" s="1674">
        <f>H293</f>
        <v>0</v>
      </c>
      <c r="I295" s="1673"/>
      <c r="J295" s="1673"/>
      <c r="K295" s="1674">
        <f>SUM(K229,K279,K280,K285,K293,K294)</f>
        <v>800489</v>
      </c>
      <c r="L295" s="1674">
        <f>SUM(L229,L279,L280,L285,L293,L294)</f>
        <v>943788</v>
      </c>
    </row>
    <row r="296" spans="1:14" ht="13.5" thickTop="1" x14ac:dyDescent="0.2">
      <c r="A296" s="2297" t="s">
        <v>989</v>
      </c>
      <c r="B296" s="2298"/>
      <c r="C296" s="1673"/>
      <c r="D296" s="1675"/>
      <c r="E296" s="1673"/>
      <c r="F296" s="1673"/>
      <c r="G296" s="1673"/>
      <c r="H296" s="1707"/>
      <c r="I296" s="1673"/>
      <c r="J296" s="1673"/>
      <c r="K296" s="1689">
        <f>'Revenues 9-14'!G268-'Expenditures 15-22'!K295</f>
        <v>154581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0" t="s">
        <v>142</v>
      </c>
      <c r="B298" s="227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285110</v>
      </c>
      <c r="F301" s="1573">
        <v>0</v>
      </c>
      <c r="G301" s="1573">
        <v>1088711</v>
      </c>
      <c r="H301" s="1573"/>
      <c r="I301" s="1574">
        <v>30214</v>
      </c>
      <c r="J301" s="1574"/>
      <c r="K301" s="1672">
        <f>SUM(C301:J301)</f>
        <v>1404035</v>
      </c>
      <c r="L301" s="1574">
        <v>1115503</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285110</v>
      </c>
      <c r="F303" s="1681">
        <f t="shared" si="23"/>
        <v>0</v>
      </c>
      <c r="G303" s="1681">
        <f t="shared" si="23"/>
        <v>1088711</v>
      </c>
      <c r="H303" s="1681">
        <f t="shared" si="23"/>
        <v>0</v>
      </c>
      <c r="I303" s="1681">
        <f t="shared" si="23"/>
        <v>30214</v>
      </c>
      <c r="J303" s="1681">
        <f t="shared" si="23"/>
        <v>0</v>
      </c>
      <c r="K303" s="1681">
        <f t="shared" si="23"/>
        <v>1404035</v>
      </c>
      <c r="L303" s="1681">
        <f t="shared" si="23"/>
        <v>1115503</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5" t="s">
        <v>275</v>
      </c>
      <c r="B312" s="2286"/>
      <c r="C312" s="1674">
        <f>SUM(C303)</f>
        <v>0</v>
      </c>
      <c r="D312" s="1674">
        <f>SUM(D303)</f>
        <v>0</v>
      </c>
      <c r="E312" s="1674">
        <f>SUM(E303,E310)</f>
        <v>285110</v>
      </c>
      <c r="F312" s="1674">
        <f>SUM(F303)</f>
        <v>0</v>
      </c>
      <c r="G312" s="1674">
        <f>SUM(G303)</f>
        <v>1088711</v>
      </c>
      <c r="H312" s="1674">
        <f>SUM(H303,H310)</f>
        <v>0</v>
      </c>
      <c r="I312" s="1674">
        <f>SUM(I303)</f>
        <v>30214</v>
      </c>
      <c r="J312" s="1674">
        <f>SUM(J303)</f>
        <v>0</v>
      </c>
      <c r="K312" s="1674">
        <f>SUM(K303,K310,K311)</f>
        <v>1404035</v>
      </c>
      <c r="L312" s="1674">
        <f>SUM(L303,L310,L311)</f>
        <v>1115503</v>
      </c>
      <c r="M312" s="539"/>
      <c r="N312" s="539"/>
    </row>
    <row r="313" spans="1:14" ht="13.5" thickTop="1" x14ac:dyDescent="0.2">
      <c r="A313" s="2281" t="s">
        <v>989</v>
      </c>
      <c r="B313" s="2282"/>
      <c r="C313" s="1677"/>
      <c r="D313" s="1677"/>
      <c r="E313" s="1677"/>
      <c r="F313" s="1677"/>
      <c r="G313" s="1677"/>
      <c r="H313" s="1677"/>
      <c r="I313" s="1677"/>
      <c r="J313" s="1677"/>
      <c r="K313" s="1696">
        <f>'Revenues 9-14'!H268-'Expenditures 15-22'!K312</f>
        <v>-341262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4" t="s">
        <v>148</v>
      </c>
      <c r="B315" s="229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6" t="s">
        <v>892</v>
      </c>
      <c r="B317" s="229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3" t="s">
        <v>989</v>
      </c>
      <c r="B343" s="2284"/>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3" t="s">
        <v>960</v>
      </c>
      <c r="B345" s="227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7" t="s">
        <v>989</v>
      </c>
      <c r="B368" s="2298"/>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schemas.microsoft.com/sharepoint/v3"/>
    <ds:schemaRef ds:uri="http://purl.org/dc/terms/"/>
    <ds:schemaRef ds:uri="http://purl.org/dc/elements/1.1/"/>
    <ds:schemaRef ds:uri="http://schemas.microsoft.com/office/infopath/2007/PartnerControls"/>
    <ds:schemaRef ds:uri="4d435f69-8686-490b-bd6d-b153bf22ab50"/>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2020-12-16T00:26:45Z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