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D4C7777-1639-4C75-B7C9-085B1DB83E8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1" i="183" l="1"/>
  <c r="E20" i="183"/>
  <c r="F20" i="183" s="1"/>
  <c r="E21" i="183"/>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D7734" i="106" s="1"/>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69" i="106"/>
  <c r="D6169"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8" i="7"/>
  <c r="B1748" i="106" s="1"/>
  <c r="D1748" i="106" s="1"/>
  <c r="D7" i="118"/>
  <c r="D8" i="118"/>
  <c r="D9" i="118"/>
  <c r="H28" i="118"/>
  <c r="H33" i="118"/>
  <c r="D22" i="37"/>
  <c r="L22" i="37"/>
  <c r="D24" i="37"/>
  <c r="B4270" i="106" s="1"/>
  <c r="D4270" i="106" s="1"/>
  <c r="B2836" i="106" l="1"/>
  <c r="D2836" i="106" s="1"/>
  <c r="B6328" i="106"/>
  <c r="D6328" i="106" s="1"/>
  <c r="B6103" i="106"/>
  <c r="B4340" i="106"/>
  <c r="D4340" i="106" s="1"/>
  <c r="F132" i="34"/>
  <c r="B7864" i="106" s="1"/>
  <c r="D7864" i="106" s="1"/>
  <c r="B957" i="106"/>
  <c r="D957" i="106" s="1"/>
  <c r="K351" i="29"/>
  <c r="B3671" i="106" s="1"/>
  <c r="D3671" i="106" s="1"/>
  <c r="B3620" i="106"/>
  <c r="D3620" i="106" s="1"/>
  <c r="B5133" i="106"/>
  <c r="D5133" i="106" s="1"/>
  <c r="C132" i="5"/>
  <c r="B5147" i="106" s="1"/>
  <c r="D5147" i="106" s="1"/>
  <c r="B5432" i="106"/>
  <c r="D5432" i="106" s="1"/>
  <c r="B6963" i="106"/>
  <c r="D6963" i="106" s="1"/>
  <c r="I72" i="29"/>
  <c r="B6973" i="106" s="1"/>
  <c r="D6973" i="106" s="1"/>
  <c r="B6349" i="106"/>
  <c r="D6349" i="106" s="1"/>
  <c r="B5734" i="106"/>
  <c r="D5734" i="106" s="1"/>
  <c r="G108" i="5"/>
  <c r="B5737" i="106" s="1"/>
  <c r="D5737" i="106" s="1"/>
  <c r="B6870" i="106"/>
  <c r="D6870" i="106" s="1"/>
  <c r="K20" i="29"/>
  <c r="B6876" i="106"/>
  <c r="D6876" i="106" s="1"/>
  <c r="H65" i="29"/>
  <c r="B1035" i="106" s="1"/>
  <c r="D1035" i="106" s="1"/>
  <c r="B1028" i="106"/>
  <c r="D1028" i="106" s="1"/>
  <c r="B717" i="106"/>
  <c r="D717" i="106" s="1"/>
  <c r="K13" i="29"/>
  <c r="B1105" i="106" s="1"/>
  <c r="D1105" i="106" s="1"/>
  <c r="B6303" i="106"/>
  <c r="D6303" i="106" s="1"/>
  <c r="B6403" i="106"/>
  <c r="D6403" i="106" s="1"/>
  <c r="B2997" i="106"/>
  <c r="D2997" i="106" s="1"/>
  <c r="B6679" i="106"/>
  <c r="D6679" i="106" s="1"/>
  <c r="B6919" i="106"/>
  <c r="D6919" i="106" s="1"/>
  <c r="J47" i="29"/>
  <c r="B6925" i="106" s="1"/>
  <c r="D6925" i="106" s="1"/>
  <c r="B6237" i="106"/>
  <c r="D6237" i="106" s="1"/>
  <c r="B6088" i="106"/>
  <c r="D6088" i="106" s="1"/>
  <c r="B5280" i="106"/>
  <c r="D5280" i="106" s="1"/>
  <c r="F131" i="34"/>
  <c r="B7863" i="106" s="1"/>
  <c r="D7863" i="106" s="1"/>
  <c r="B5458" i="106"/>
  <c r="D5458" i="106" s="1"/>
  <c r="F31" i="34"/>
  <c r="B7824" i="106" s="1"/>
  <c r="D217" i="5"/>
  <c r="B5470" i="106" s="1"/>
  <c r="D5470" i="106" s="1"/>
  <c r="B5119" i="106"/>
  <c r="D5119" i="106" s="1"/>
  <c r="B6734" i="106"/>
  <c r="D6734" i="106" s="1"/>
  <c r="B1419" i="106"/>
  <c r="D1419" i="106" s="1"/>
  <c r="K241" i="29"/>
  <c r="B1483" i="106" s="1"/>
  <c r="D1483" i="106" s="1"/>
  <c r="B5600" i="106"/>
  <c r="D5600" i="106" s="1"/>
  <c r="F132" i="5"/>
  <c r="B5614" i="106" s="1"/>
  <c r="D5614" i="106" s="1"/>
  <c r="B6750" i="106"/>
  <c r="D6750" i="106" s="1"/>
  <c r="B4318" i="106"/>
  <c r="D4318" i="106" s="1"/>
  <c r="B6131" i="106"/>
  <c r="D6131" i="106" s="1"/>
  <c r="J34" i="3"/>
  <c r="B6191" i="106" s="1"/>
  <c r="D6191" i="106" s="1"/>
  <c r="K180" i="29"/>
  <c r="C184" i="29"/>
  <c r="B1339" i="106" s="1"/>
  <c r="D1339" i="106" s="1"/>
  <c r="B4081" i="106"/>
  <c r="D4081" i="106" s="1"/>
  <c r="H41" i="4"/>
  <c r="B6250" i="106"/>
  <c r="D6250" i="106" s="1"/>
  <c r="C221" i="5"/>
  <c r="B5304" i="106" s="1"/>
  <c r="D5304" i="106" s="1"/>
  <c r="B5301" i="106"/>
  <c r="D5301" i="106" s="1"/>
  <c r="B6187" i="106"/>
  <c r="D6187" i="106" s="1"/>
  <c r="B1268" i="106"/>
  <c r="D1268" i="106" s="1"/>
  <c r="K142" i="29"/>
  <c r="B1283" i="106" s="1"/>
  <c r="D1283" i="106" s="1"/>
  <c r="H147" i="29"/>
  <c r="H149" i="29" s="1"/>
  <c r="B1272" i="106" s="1"/>
  <c r="D1272" i="106" s="1"/>
  <c r="K249" i="29"/>
  <c r="B7084" i="106" s="1"/>
  <c r="D7084" i="106" s="1"/>
  <c r="B7083" i="106"/>
  <c r="D7083" i="106" s="1"/>
  <c r="B6847" i="106"/>
  <c r="D6847" i="106" s="1"/>
  <c r="B916" i="106"/>
  <c r="D916" i="106" s="1"/>
  <c r="B7731" i="106"/>
  <c r="D7731" i="106" s="1"/>
  <c r="B909" i="106"/>
  <c r="D909" i="106" s="1"/>
  <c r="F57" i="29"/>
  <c r="B911" i="106" s="1"/>
  <c r="D911" i="106" s="1"/>
  <c r="B7689" i="106"/>
  <c r="D7689" i="106" s="1"/>
  <c r="B3370" i="106"/>
  <c r="D3370" i="106" s="1"/>
  <c r="B964" i="106"/>
  <c r="D964" i="106" s="1"/>
  <c r="G53" i="29"/>
  <c r="B966" i="106" s="1"/>
  <c r="D966" i="106" s="1"/>
  <c r="K206" i="29"/>
  <c r="B4210" i="106"/>
  <c r="D4210" i="106" s="1"/>
  <c r="B3530" i="106"/>
  <c r="D3530" i="106" s="1"/>
  <c r="B6705" i="106"/>
  <c r="D6705" i="106" s="1"/>
  <c r="I65" i="29"/>
  <c r="B6961" i="106" s="1"/>
  <c r="D6961" i="106" s="1"/>
  <c r="B6950" i="106"/>
  <c r="D6950" i="106" s="1"/>
  <c r="B799" i="106"/>
  <c r="D799" i="106" s="1"/>
  <c r="B6406" i="106"/>
  <c r="D6406" i="106" s="1"/>
  <c r="K109" i="29"/>
  <c r="B1149" i="106" s="1"/>
  <c r="D1149" i="106" s="1"/>
  <c r="B1051" i="106"/>
  <c r="D1051" i="106" s="1"/>
  <c r="B5361" i="106"/>
  <c r="D5361" i="106" s="1"/>
  <c r="D122" i="5"/>
  <c r="B5367" i="106" s="1"/>
  <c r="D5367" i="106" s="1"/>
  <c r="B3234" i="106"/>
  <c r="D3234" i="106" s="1"/>
  <c r="B7816" i="106"/>
  <c r="D7816" i="106" s="1"/>
  <c r="B4329" i="106"/>
  <c r="D4329" i="106" s="1"/>
  <c r="F121" i="34"/>
  <c r="B5137" i="106"/>
  <c r="D5137" i="106" s="1"/>
  <c r="B6627" i="106"/>
  <c r="D6627" i="106" s="1"/>
  <c r="B1044" i="106"/>
  <c r="D1044" i="106" s="1"/>
  <c r="B1429" i="106"/>
  <c r="D1429" i="106" s="1"/>
  <c r="K264" i="29"/>
  <c r="B1493" i="106" s="1"/>
  <c r="D1493" i="106" s="1"/>
  <c r="B4310" i="106"/>
  <c r="D4310" i="106" s="1"/>
  <c r="B6685" i="106"/>
  <c r="D6685" i="106" s="1"/>
  <c r="B800" i="106"/>
  <c r="D800" i="106" s="1"/>
  <c r="B1412" i="106"/>
  <c r="D1412" i="106" s="1"/>
  <c r="K233" i="29"/>
  <c r="B1476" i="106" s="1"/>
  <c r="D1476" i="106" s="1"/>
  <c r="J18" i="4"/>
  <c r="B6228" i="106" s="1"/>
  <c r="D6228" i="106" s="1"/>
  <c r="B6224" i="106"/>
  <c r="D6224" i="106" s="1"/>
  <c r="B6184" i="106"/>
  <c r="D6184" i="106" s="1"/>
  <c r="B904" i="106"/>
  <c r="D904" i="106" s="1"/>
  <c r="L33" i="29"/>
  <c r="B6114" i="106"/>
  <c r="D6114" i="106" s="1"/>
  <c r="B6782" i="106"/>
  <c r="D6782" i="106" s="1"/>
  <c r="B7672" i="106"/>
  <c r="D7672" i="106" s="1"/>
  <c r="B5571" i="106"/>
  <c r="D5571" i="106" s="1"/>
  <c r="F23" i="34"/>
  <c r="B6335" i="106"/>
  <c r="D6335" i="106" s="1"/>
  <c r="F34" i="3"/>
  <c r="B6128" i="106"/>
  <c r="D6128" i="106" s="1"/>
  <c r="B5736" i="106"/>
  <c r="D5736" i="106" s="1"/>
  <c r="K332" i="29"/>
  <c r="H334" i="29"/>
  <c r="B7789" i="106" s="1"/>
  <c r="D7789" i="106" s="1"/>
  <c r="B7785" i="106"/>
  <c r="D7785" i="106" s="1"/>
  <c r="B7023" i="106"/>
  <c r="D7023" i="106" s="1"/>
  <c r="B6968" i="106"/>
  <c r="D6968" i="106" s="1"/>
  <c r="K269" i="29"/>
  <c r="B1498" i="106" s="1"/>
  <c r="D1498" i="106" s="1"/>
  <c r="B1434" i="106"/>
  <c r="D1434" i="106" s="1"/>
  <c r="B833" i="106"/>
  <c r="D833" i="106" s="1"/>
  <c r="B790" i="106"/>
  <c r="D790" i="106" s="1"/>
  <c r="D53" i="29"/>
  <c r="B792" i="106" s="1"/>
  <c r="D792" i="106" s="1"/>
  <c r="K81" i="29"/>
  <c r="B2976" i="106" s="1"/>
  <c r="D2976" i="106" s="1"/>
  <c r="B2952" i="106"/>
  <c r="D2952" i="106" s="1"/>
  <c r="B971" i="106"/>
  <c r="D971" i="106" s="1"/>
  <c r="H100" i="29"/>
  <c r="B7012" i="106" s="1"/>
  <c r="D7012" i="106" s="1"/>
  <c r="K93" i="29"/>
  <c r="B6997" i="106" s="1"/>
  <c r="D6997" i="106" s="1"/>
  <c r="B6996" i="106"/>
  <c r="D6996" i="106" s="1"/>
  <c r="B6634" i="106"/>
  <c r="D6634" i="106" s="1"/>
  <c r="F136" i="34"/>
  <c r="B5100" i="106"/>
  <c r="D5100" i="106" s="1"/>
  <c r="B5116" i="106"/>
  <c r="D5116" i="106" s="1"/>
  <c r="B6678" i="106"/>
  <c r="D6678" i="106" s="1"/>
  <c r="B6314" i="106"/>
  <c r="D6314" i="106" s="1"/>
  <c r="F91" i="34"/>
  <c r="B7681" i="106"/>
  <c r="D7681" i="106" s="1"/>
  <c r="B2719" i="106"/>
  <c r="D2719" i="106" s="1"/>
  <c r="H194" i="29"/>
  <c r="H196" i="29" s="1"/>
  <c r="B2995" i="106"/>
  <c r="D2995" i="106" s="1"/>
  <c r="B7676" i="106"/>
  <c r="D7676" i="106" s="1"/>
  <c r="L243" i="29"/>
  <c r="B6338" i="106"/>
  <c r="D6338" i="106" s="1"/>
  <c r="E84" i="29"/>
  <c r="B2789" i="106" s="1"/>
  <c r="D2789" i="106" s="1"/>
  <c r="K78" i="29"/>
  <c r="B2973" i="106" s="1"/>
  <c r="D2973" i="106" s="1"/>
  <c r="B2949" i="106"/>
  <c r="D2949" i="106" s="1"/>
  <c r="B4946" i="106"/>
  <c r="D4946" i="106" s="1"/>
  <c r="B5619" i="106"/>
  <c r="D5619" i="106" s="1"/>
  <c r="B6773" i="106"/>
  <c r="D6773" i="106" s="1"/>
  <c r="B914" i="106"/>
  <c r="D914" i="106" s="1"/>
  <c r="B5027" i="106"/>
  <c r="D5027" i="106" s="1"/>
  <c r="B6790" i="106"/>
  <c r="D6790" i="106" s="1"/>
  <c r="B2908" i="106"/>
  <c r="D2908" i="106" s="1"/>
  <c r="B6696" i="106"/>
  <c r="D6696" i="106" s="1"/>
  <c r="L137" i="29"/>
  <c r="L139" i="29" s="1"/>
  <c r="B6803" i="106"/>
  <c r="D6803" i="106" s="1"/>
  <c r="B6104" i="106"/>
  <c r="D6104" i="106" s="1"/>
  <c r="B6313" i="106"/>
  <c r="D6313" i="106" s="1"/>
  <c r="F22" i="34"/>
  <c r="B6359" i="106"/>
  <c r="D6359" i="106" s="1"/>
  <c r="K253" i="29"/>
  <c r="B7092" i="106" s="1"/>
  <c r="D7092" i="106" s="1"/>
  <c r="B7091" i="106"/>
  <c r="D7091" i="106" s="1"/>
  <c r="B6701" i="106"/>
  <c r="D6701" i="106" s="1"/>
  <c r="B5855" i="106"/>
  <c r="D5855" i="106" s="1"/>
  <c r="B6736" i="106"/>
  <c r="D6736" i="106" s="1"/>
  <c r="B1522" i="106"/>
  <c r="D1522" i="106" s="1"/>
  <c r="K302" i="29"/>
  <c r="B1558" i="106" s="1"/>
  <c r="D1558" i="106" s="1"/>
  <c r="B6812" i="106"/>
  <c r="D6812" i="106" s="1"/>
  <c r="B6174" i="106"/>
  <c r="D6174" i="106" s="1"/>
  <c r="B6814" i="106"/>
  <c r="D6814" i="106" s="1"/>
  <c r="B6898" i="106"/>
  <c r="D6898" i="106" s="1"/>
  <c r="K31" i="29"/>
  <c r="B6899" i="106" s="1"/>
  <c r="D6899" i="106" s="1"/>
  <c r="B764" i="106"/>
  <c r="D764" i="106" s="1"/>
  <c r="B6308" i="106"/>
  <c r="D6308" i="106" s="1"/>
  <c r="K28" i="29"/>
  <c r="B6892" i="106"/>
  <c r="D6892" i="106" s="1"/>
  <c r="B7686" i="106"/>
  <c r="D7686" i="106" s="1"/>
  <c r="B6350" i="106"/>
  <c r="D6350" i="106" s="1"/>
  <c r="B797" i="106"/>
  <c r="D797" i="106" s="1"/>
  <c r="B4360" i="106"/>
  <c r="D4360" i="106" s="1"/>
  <c r="B2763" i="106"/>
  <c r="D2763" i="106" s="1"/>
  <c r="B6633" i="106"/>
  <c r="D6633" i="106" s="1"/>
  <c r="B6231" i="106"/>
  <c r="D6231" i="106" s="1"/>
  <c r="B3551" i="106"/>
  <c r="D3551" i="106" s="1"/>
  <c r="B653" i="106"/>
  <c r="D653" i="106" s="1"/>
  <c r="B5333" i="106"/>
  <c r="D5333" i="106" s="1"/>
  <c r="B6659" i="106"/>
  <c r="D6659" i="106" s="1"/>
  <c r="B3582" i="106"/>
  <c r="D3582" i="106" s="1"/>
  <c r="B6866" i="106"/>
  <c r="D6866" i="106" s="1"/>
  <c r="B6700" i="106"/>
  <c r="D6700" i="106" s="1"/>
  <c r="K195" i="29"/>
  <c r="B2839" i="106" s="1"/>
  <c r="D2839" i="106" s="1"/>
  <c r="B2824" i="106"/>
  <c r="D2824" i="106" s="1"/>
  <c r="B5351" i="106"/>
  <c r="D5351" i="106" s="1"/>
  <c r="B3316" i="106"/>
  <c r="D3316" i="106" s="1"/>
  <c r="B5330" i="106"/>
  <c r="D5330" i="106" s="1"/>
  <c r="B5440" i="106"/>
  <c r="D5440" i="106" s="1"/>
  <c r="D209" i="5"/>
  <c r="B4412" i="106" s="1"/>
  <c r="D4412" i="106" s="1"/>
  <c r="B828" i="106"/>
  <c r="D828" i="106" s="1"/>
  <c r="B5354" i="106"/>
  <c r="D5354" i="106" s="1"/>
  <c r="B1252" i="106"/>
  <c r="D1252" i="106" s="1"/>
  <c r="G184" i="29"/>
  <c r="B1364" i="106" s="1"/>
  <c r="D1364" i="106" s="1"/>
  <c r="B4085" i="106"/>
  <c r="D4085" i="106" s="1"/>
  <c r="H13" i="3"/>
  <c r="B203" i="106" s="1"/>
  <c r="D203" i="106" s="1"/>
  <c r="B3519" i="106"/>
  <c r="D3519" i="106" s="1"/>
  <c r="B4327" i="106"/>
  <c r="D4327" i="106" s="1"/>
  <c r="B6794" i="106"/>
  <c r="D6794" i="106" s="1"/>
  <c r="B6784" i="106"/>
  <c r="D6784" i="106" s="1"/>
  <c r="B6085" i="106"/>
  <c r="D6085" i="106" s="1"/>
  <c r="B5564" i="106"/>
  <c r="D5564" i="106" s="1"/>
  <c r="F18" i="34"/>
  <c r="B7027" i="106"/>
  <c r="D7027" i="106" s="1"/>
  <c r="B6689" i="106"/>
  <c r="D6689" i="106" s="1"/>
  <c r="B3253" i="106"/>
  <c r="D3253" i="106" s="1"/>
  <c r="B6671" i="106"/>
  <c r="D6671" i="106" s="1"/>
  <c r="B5352" i="106"/>
  <c r="D5352" i="106" s="1"/>
  <c r="B5920" i="106"/>
  <c r="D5920" i="106" s="1"/>
  <c r="B1534" i="106"/>
  <c r="D1534" i="106" s="1"/>
  <c r="B1265" i="106"/>
  <c r="D1265" i="106" s="1"/>
  <c r="L42" i="29"/>
  <c r="B5092" i="106"/>
  <c r="D5092" i="106" s="1"/>
  <c r="B6644" i="106"/>
  <c r="D6644" i="106" s="1"/>
  <c r="B6661" i="106"/>
  <c r="D6661" i="106" s="1"/>
  <c r="B3257" i="106"/>
  <c r="D3257" i="106" s="1"/>
  <c r="B4382" i="106"/>
  <c r="D4382" i="106" s="1"/>
  <c r="B967" i="106"/>
  <c r="D967" i="106" s="1"/>
  <c r="G57" i="29"/>
  <c r="B969" i="106" s="1"/>
  <c r="D969" i="106" s="1"/>
  <c r="B6630" i="106"/>
  <c r="D6630" i="106" s="1"/>
  <c r="B748" i="106"/>
  <c r="D748" i="106" s="1"/>
  <c r="K69" i="29"/>
  <c r="B1136" i="106" s="1"/>
  <c r="D1136" i="106" s="1"/>
  <c r="B6121" i="106"/>
  <c r="D6121" i="106" s="1"/>
  <c r="B806" i="106"/>
  <c r="D806" i="106" s="1"/>
  <c r="B6862" i="106"/>
  <c r="D6862" i="106" s="1"/>
  <c r="L270" i="29"/>
  <c r="B5927" i="106"/>
  <c r="D5927" i="106" s="1"/>
  <c r="I108" i="5"/>
  <c r="B5930" i="106" s="1"/>
  <c r="D5930" i="106" s="1"/>
  <c r="B5083" i="106"/>
  <c r="D5083" i="106" s="1"/>
  <c r="B4883" i="106"/>
  <c r="D4883" i="106" s="1"/>
  <c r="B5925" i="106"/>
  <c r="D5925" i="106" s="1"/>
  <c r="B6964" i="106"/>
  <c r="D6964" i="106" s="1"/>
  <c r="J72" i="29"/>
  <c r="B6974" i="106" s="1"/>
  <c r="D6974" i="106" s="1"/>
  <c r="J44" i="4"/>
  <c r="B6238" i="106" s="1"/>
  <c r="D6238" i="106" s="1"/>
  <c r="B7754" i="106"/>
  <c r="D7754" i="106" s="1"/>
  <c r="B6861" i="106"/>
  <c r="D6861" i="106" s="1"/>
  <c r="B6161" i="106"/>
  <c r="D6161" i="106" s="1"/>
  <c r="B4344" i="106"/>
  <c r="D4344" i="106" s="1"/>
  <c r="K144" i="29"/>
  <c r="B2810" i="106" s="1"/>
  <c r="D2810" i="106" s="1"/>
  <c r="B2807" i="106"/>
  <c r="D2807" i="106" s="1"/>
  <c r="B865" i="106"/>
  <c r="D865" i="106" s="1"/>
  <c r="B7704" i="106"/>
  <c r="D7704" i="106" s="1"/>
  <c r="B4875" i="106"/>
  <c r="D4875" i="106" s="1"/>
  <c r="B6662" i="106"/>
  <c r="D6662" i="106" s="1"/>
  <c r="B7706" i="106"/>
  <c r="D7706" i="106" s="1"/>
  <c r="I184" i="29"/>
  <c r="B7063" i="106" s="1"/>
  <c r="D7063" i="106" s="1"/>
  <c r="B7057" i="106"/>
  <c r="D7057" i="106" s="1"/>
  <c r="B130" i="106"/>
  <c r="D130" i="106" s="1"/>
  <c r="B4919" i="106"/>
  <c r="D4919" i="106" s="1"/>
  <c r="B6860" i="106"/>
  <c r="D6860" i="106" s="1"/>
  <c r="B4853" i="106"/>
  <c r="D4853" i="106" s="1"/>
  <c r="B6809" i="106"/>
  <c r="D6809" i="106" s="1"/>
  <c r="F155" i="34"/>
  <c r="B4230" i="106"/>
  <c r="D4230" i="106" s="1"/>
  <c r="B6171" i="106"/>
  <c r="D6171" i="106" s="1"/>
  <c r="B6186" i="106"/>
  <c r="D6186" i="106" s="1"/>
  <c r="B7194" i="106"/>
  <c r="D7194" i="106" s="1"/>
  <c r="B1032" i="106"/>
  <c r="D1032" i="106" s="1"/>
  <c r="B6180" i="106"/>
  <c r="D6180" i="106" s="1"/>
  <c r="B4795" i="106"/>
  <c r="D4795" i="106" s="1"/>
  <c r="B1014" i="106"/>
  <c r="D1014" i="106" s="1"/>
  <c r="B1031" i="106"/>
  <c r="D1031" i="106" s="1"/>
  <c r="B1049" i="106"/>
  <c r="D1049" i="106" s="1"/>
  <c r="K106" i="29"/>
  <c r="B1147" i="106" s="1"/>
  <c r="D1147" i="106" s="1"/>
  <c r="J350" i="29"/>
  <c r="B7231" i="106" s="1"/>
  <c r="D7231" i="106" s="1"/>
  <c r="B7227" i="106"/>
  <c r="D7227" i="106" s="1"/>
  <c r="B2887" i="106"/>
  <c r="D2887" i="106" s="1"/>
  <c r="B7692" i="106"/>
  <c r="D7692" i="106" s="1"/>
  <c r="K101" i="29"/>
  <c r="B7015" i="106" s="1"/>
  <c r="D7015" i="106" s="1"/>
  <c r="B2947" i="106"/>
  <c r="D2947" i="106" s="1"/>
  <c r="B979" i="106"/>
  <c r="D979" i="106" s="1"/>
  <c r="L310" i="29"/>
  <c r="B6715" i="106"/>
  <c r="D6715" i="106" s="1"/>
  <c r="B6660" i="106"/>
  <c r="D6660" i="106" s="1"/>
  <c r="L293" i="29"/>
  <c r="B7129" i="106"/>
  <c r="D7129" i="106" s="1"/>
  <c r="K321" i="29"/>
  <c r="E59" i="184" s="1"/>
  <c r="N59" i="184" s="1"/>
  <c r="B7136" i="106"/>
  <c r="D7136" i="106" s="1"/>
  <c r="D34" i="3"/>
  <c r="B6126" i="106"/>
  <c r="D6126" i="106" s="1"/>
  <c r="B620" i="106"/>
  <c r="D620" i="106" s="1"/>
  <c r="B4361" i="106"/>
  <c r="D4361" i="106" s="1"/>
  <c r="B5559" i="106"/>
  <c r="D5559" i="106" s="1"/>
  <c r="B6772" i="106"/>
  <c r="D6772" i="106" s="1"/>
  <c r="K46" i="29"/>
  <c r="B1118" i="106" s="1"/>
  <c r="D1118" i="106" s="1"/>
  <c r="B730" i="106"/>
  <c r="D730" i="106" s="1"/>
  <c r="B921" i="106"/>
  <c r="D921" i="106" s="1"/>
  <c r="B6152" i="106"/>
  <c r="D6152" i="106" s="1"/>
  <c r="B4409" i="106"/>
  <c r="D4409" i="106" s="1"/>
  <c r="B6894" i="106"/>
  <c r="D6894" i="106" s="1"/>
  <c r="K29" i="29"/>
  <c r="B6895" i="106" s="1"/>
  <c r="D6895" i="106" s="1"/>
  <c r="B7775" i="106"/>
  <c r="D7775" i="106" s="1"/>
  <c r="H137" i="29"/>
  <c r="B6761" i="106"/>
  <c r="D6761" i="106" s="1"/>
  <c r="F149" i="34"/>
  <c r="B6294" i="106"/>
  <c r="D6294" i="106" s="1"/>
  <c r="B798" i="106"/>
  <c r="D798" i="106" s="1"/>
  <c r="B5426" i="106"/>
  <c r="D5426" i="106" s="1"/>
  <c r="D188" i="5"/>
  <c r="B7046" i="106"/>
  <c r="D7046" i="106" s="1"/>
  <c r="B3486" i="106"/>
  <c r="D3486" i="106" s="1"/>
  <c r="B1413" i="106"/>
  <c r="D1413" i="106" s="1"/>
  <c r="K234" i="29"/>
  <c r="B1477" i="106" s="1"/>
  <c r="D1477" i="106" s="1"/>
  <c r="B104" i="106"/>
  <c r="D104" i="106" s="1"/>
  <c r="B6878" i="106"/>
  <c r="D6878" i="106" s="1"/>
  <c r="K21" i="29"/>
  <c r="B6879" i="106" s="1"/>
  <c r="D6879" i="106" s="1"/>
  <c r="B2848" i="106"/>
  <c r="D2848" i="106" s="1"/>
  <c r="B6830" i="106"/>
  <c r="D6830" i="106" s="1"/>
  <c r="B5765" i="106"/>
  <c r="D5765" i="106" s="1"/>
  <c r="B3085" i="106"/>
  <c r="D3085" i="106" s="1"/>
  <c r="B7118" i="106"/>
  <c r="D7118" i="106" s="1"/>
  <c r="K319" i="29"/>
  <c r="C330" i="29"/>
  <c r="B7199" i="106" s="1"/>
  <c r="D7199" i="106" s="1"/>
  <c r="B4332" i="106"/>
  <c r="D4332" i="106" s="1"/>
  <c r="K276" i="29"/>
  <c r="B1506" i="106" s="1"/>
  <c r="D1506" i="106" s="1"/>
  <c r="B1442" i="106"/>
  <c r="D1442" i="106" s="1"/>
  <c r="B6738" i="106"/>
  <c r="D6738" i="106" s="1"/>
  <c r="B6181" i="106"/>
  <c r="D6181" i="106" s="1"/>
  <c r="B6718" i="106"/>
  <c r="D6718" i="106" s="1"/>
  <c r="B6133" i="106"/>
  <c r="D6133" i="106" s="1"/>
  <c r="B4189" i="106"/>
  <c r="D4189" i="106" s="1"/>
  <c r="F166" i="34"/>
  <c r="B7873" i="106" s="1"/>
  <c r="D7873" i="106" s="1"/>
  <c r="B3079" i="106"/>
  <c r="D3079" i="106" s="1"/>
  <c r="B86" i="106"/>
  <c r="D86" i="106" s="1"/>
  <c r="B7768" i="106"/>
  <c r="D7768" i="106" s="1"/>
  <c r="K356" i="29"/>
  <c r="B3673" i="106" s="1"/>
  <c r="D3673" i="106" s="1"/>
  <c r="B7236" i="106"/>
  <c r="D7236" i="106" s="1"/>
  <c r="B6367" i="106"/>
  <c r="D6367" i="106" s="1"/>
  <c r="B5515" i="106"/>
  <c r="D5515" i="106" s="1"/>
  <c r="K107" i="29"/>
  <c r="B2795" i="106" s="1"/>
  <c r="D2795" i="106" s="1"/>
  <c r="B2791" i="106"/>
  <c r="D2791" i="106" s="1"/>
  <c r="B6101" i="106"/>
  <c r="D6101" i="106" s="1"/>
  <c r="B3161" i="106"/>
  <c r="D3161" i="106" s="1"/>
  <c r="H51" i="4"/>
  <c r="B3170" i="106" s="1"/>
  <c r="D3170" i="106" s="1"/>
  <c r="B1253" i="106"/>
  <c r="D1253" i="106" s="1"/>
  <c r="B7806" i="106"/>
  <c r="D7806" i="106" s="1"/>
  <c r="B2999" i="106"/>
  <c r="D2999" i="106" s="1"/>
  <c r="B7808" i="106"/>
  <c r="D7808" i="106" s="1"/>
  <c r="B6623" i="106"/>
  <c r="D6623" i="106" s="1"/>
  <c r="B5080" i="106"/>
  <c r="D5080" i="106" s="1"/>
  <c r="B6960" i="106"/>
  <c r="D6960" i="106" s="1"/>
  <c r="B4190" i="106"/>
  <c r="D4190" i="106" s="1"/>
  <c r="B6805" i="106"/>
  <c r="D6805" i="106" s="1"/>
  <c r="B777" i="106"/>
  <c r="D777" i="106" s="1"/>
  <c r="B5710" i="106"/>
  <c r="D5710" i="106" s="1"/>
  <c r="D350" i="29"/>
  <c r="B3626" i="106" s="1"/>
  <c r="D3626" i="106" s="1"/>
  <c r="B3624" i="106"/>
  <c r="D3624" i="106" s="1"/>
  <c r="B1235" i="106"/>
  <c r="D1235" i="106" s="1"/>
  <c r="E127" i="29"/>
  <c r="K219" i="29"/>
  <c r="B3065" i="106" s="1"/>
  <c r="D3065" i="106" s="1"/>
  <c r="B3064" i="106"/>
  <c r="D3064" i="106" s="1"/>
  <c r="K125" i="29"/>
  <c r="B3488" i="106" s="1"/>
  <c r="D3488" i="106" s="1"/>
  <c r="B3482" i="106"/>
  <c r="D3482" i="106" s="1"/>
  <c r="B5347" i="106"/>
  <c r="D5347" i="106" s="1"/>
  <c r="B4794" i="106"/>
  <c r="D4794" i="106" s="1"/>
  <c r="B5072" i="106"/>
  <c r="D5072" i="106" s="1"/>
  <c r="C40" i="5"/>
  <c r="B5087" i="106" s="1"/>
  <c r="D5087" i="106" s="1"/>
  <c r="B4309" i="106"/>
  <c r="D4309" i="106" s="1"/>
  <c r="C209" i="5"/>
  <c r="B4411" i="106" s="1"/>
  <c r="D4411" i="106" s="1"/>
  <c r="B5256" i="106"/>
  <c r="D5256" i="106" s="1"/>
  <c r="B949" i="106"/>
  <c r="D949" i="106" s="1"/>
  <c r="B1549" i="106"/>
  <c r="D1549" i="106" s="1"/>
  <c r="H303" i="29"/>
  <c r="B1553" i="106" s="1"/>
  <c r="D1553" i="106" s="1"/>
  <c r="H362" i="29"/>
  <c r="B3658" i="106" s="1"/>
  <c r="D3658" i="106" s="1"/>
  <c r="K360" i="29"/>
  <c r="B3675" i="106" s="1"/>
  <c r="D3675" i="106" s="1"/>
  <c r="B3657" i="106"/>
  <c r="D3657" i="106" s="1"/>
  <c r="B6113" i="106"/>
  <c r="D6113" i="106" s="1"/>
  <c r="B5728" i="106"/>
  <c r="D5728" i="106" s="1"/>
  <c r="B3562" i="106"/>
  <c r="D3562" i="106" s="1"/>
  <c r="B6299" i="106"/>
  <c r="D6299" i="106" s="1"/>
  <c r="B5171" i="106"/>
  <c r="D5171" i="106" s="1"/>
  <c r="B893" i="106"/>
  <c r="D893" i="106" s="1"/>
  <c r="B4918" i="106"/>
  <c r="D4918" i="106" s="1"/>
  <c r="B5558" i="106"/>
  <c r="D5558" i="106" s="1"/>
  <c r="F18" i="5"/>
  <c r="B5562" i="106" s="1"/>
  <c r="D5562" i="106" s="1"/>
  <c r="B5512" i="106"/>
  <c r="D5512" i="106" s="1"/>
  <c r="B6708" i="106"/>
  <c r="D6708" i="106" s="1"/>
  <c r="B7195" i="106"/>
  <c r="D7195" i="106" s="1"/>
  <c r="B6156" i="106"/>
  <c r="D6156" i="106" s="1"/>
  <c r="B321" i="106"/>
  <c r="D321" i="106" s="1"/>
  <c r="I48" i="4"/>
  <c r="B2106" i="106" s="1"/>
  <c r="D2106" i="106" s="1"/>
  <c r="B6672" i="106"/>
  <c r="D6672" i="106" s="1"/>
  <c r="B6329" i="106"/>
  <c r="D6329" i="106" s="1"/>
  <c r="B7151" i="106"/>
  <c r="D7151" i="106" s="1"/>
  <c r="B3655" i="106"/>
  <c r="D3655" i="106" s="1"/>
  <c r="B6723" i="106"/>
  <c r="D6723" i="106" s="1"/>
  <c r="B838" i="106"/>
  <c r="D838" i="106" s="1"/>
  <c r="B6405" i="106"/>
  <c r="D6405" i="106" s="1"/>
  <c r="B6371" i="106"/>
  <c r="D6371" i="106" s="1"/>
  <c r="H169" i="5"/>
  <c r="B5899" i="106" s="1"/>
  <c r="D5899" i="106" s="1"/>
  <c r="H340" i="29"/>
  <c r="B7208" i="106"/>
  <c r="D7208" i="106" s="1"/>
  <c r="K337" i="29"/>
  <c r="B7209" i="106" s="1"/>
  <c r="D7209" i="106" s="1"/>
  <c r="B7165" i="106"/>
  <c r="D7165" i="106" s="1"/>
  <c r="B7728" i="106"/>
  <c r="D7728" i="106" s="1"/>
  <c r="B6344" i="106"/>
  <c r="D6344" i="106" s="1"/>
  <c r="B6810" i="106"/>
  <c r="D6810" i="106" s="1"/>
  <c r="K250" i="29"/>
  <c r="B7086" i="106" s="1"/>
  <c r="D7086" i="106" s="1"/>
  <c r="B7085" i="106"/>
  <c r="D7085" i="106" s="1"/>
  <c r="B6235" i="106"/>
  <c r="D6235" i="106" s="1"/>
  <c r="B6680" i="106"/>
  <c r="D6680" i="106" s="1"/>
  <c r="K44" i="4"/>
  <c r="B3584" i="106" s="1"/>
  <c r="D3584" i="106" s="1"/>
  <c r="B7755" i="106"/>
  <c r="D7755" i="106" s="1"/>
  <c r="E38" i="4"/>
  <c r="B6286" i="106" s="1"/>
  <c r="D6286" i="106" s="1"/>
  <c r="B6243" i="106"/>
  <c r="D6243" i="106" s="1"/>
  <c r="B5569" i="106"/>
  <c r="D5569" i="106" s="1"/>
  <c r="F21" i="34"/>
  <c r="B1447" i="106"/>
  <c r="D1447" i="106" s="1"/>
  <c r="K280" i="29"/>
  <c r="B1511" i="106" s="1"/>
  <c r="D1511" i="106" s="1"/>
  <c r="B7060" i="106"/>
  <c r="D7060" i="106" s="1"/>
  <c r="B3534" i="106"/>
  <c r="D3534" i="106" s="1"/>
  <c r="B5074" i="106"/>
  <c r="D5074" i="106" s="1"/>
  <c r="K221" i="29"/>
  <c r="B1470" i="106" s="1"/>
  <c r="D1470" i="106" s="1"/>
  <c r="B1406" i="106"/>
  <c r="D1406" i="106" s="1"/>
  <c r="B4415" i="106"/>
  <c r="D4415" i="106" s="1"/>
  <c r="F162" i="34"/>
  <c r="B7869" i="106" s="1"/>
  <c r="D7869" i="106" s="1"/>
  <c r="B6748" i="106"/>
  <c r="D6748" i="106" s="1"/>
  <c r="B6097" i="106"/>
  <c r="D6097" i="106" s="1"/>
  <c r="B6321" i="106"/>
  <c r="D6321" i="106" s="1"/>
  <c r="B7131" i="106"/>
  <c r="D7131" i="106" s="1"/>
  <c r="B6366" i="106"/>
  <c r="D6366" i="106" s="1"/>
  <c r="B5871" i="106"/>
  <c r="D5871" i="106" s="1"/>
  <c r="B9" i="7"/>
  <c r="B1751" i="106" s="1"/>
  <c r="D1751" i="106" s="1"/>
  <c r="H12" i="5"/>
  <c r="B5873" i="106" s="1"/>
  <c r="D5873" i="106" s="1"/>
  <c r="B7882" i="106"/>
  <c r="D7882" i="106" s="1"/>
  <c r="H122" i="5"/>
  <c r="B5893" i="106" s="1"/>
  <c r="D5893" i="106" s="1"/>
  <c r="B3652" i="106"/>
  <c r="D3652" i="106" s="1"/>
  <c r="H350" i="29"/>
  <c r="B3654" i="106" s="1"/>
  <c r="D3654" i="106" s="1"/>
  <c r="B7810" i="106"/>
  <c r="D7810" i="106" s="1"/>
  <c r="K55" i="29"/>
  <c r="B1123" i="106" s="1"/>
  <c r="D1123" i="106" s="1"/>
  <c r="B735" i="106"/>
  <c r="D735" i="106" s="1"/>
  <c r="C57" i="29"/>
  <c r="B737" i="106" s="1"/>
  <c r="D737" i="106" s="1"/>
  <c r="K9" i="12"/>
  <c r="B7714" i="106" s="1"/>
  <c r="D7714" i="106" s="1"/>
  <c r="B5168" i="106"/>
  <c r="D5168" i="106" s="1"/>
  <c r="F111" i="34"/>
  <c r="B7846" i="106" s="1"/>
  <c r="D7846" i="106" s="1"/>
  <c r="B6648" i="106"/>
  <c r="D6648" i="106" s="1"/>
  <c r="B1261" i="106"/>
  <c r="D1261" i="106" s="1"/>
  <c r="H127" i="29"/>
  <c r="B1264" i="106" s="1"/>
  <c r="D1264" i="106" s="1"/>
  <c r="B1260" i="106"/>
  <c r="D1260" i="106" s="1"/>
  <c r="B2956" i="106"/>
  <c r="D2956" i="106" s="1"/>
  <c r="B6388" i="106"/>
  <c r="D6388" i="106" s="1"/>
  <c r="F119" i="34"/>
  <c r="B7853" i="106" s="1"/>
  <c r="D7853" i="106" s="1"/>
  <c r="B6851" i="106"/>
  <c r="D6851" i="106" s="1"/>
  <c r="B801" i="106"/>
  <c r="D801" i="106" s="1"/>
  <c r="B5094" i="106"/>
  <c r="D5094" i="106" s="1"/>
  <c r="B5152" i="106"/>
  <c r="D5152" i="106" s="1"/>
  <c r="B7134" i="106"/>
  <c r="D7134" i="106" s="1"/>
  <c r="B870" i="106"/>
  <c r="D870" i="106" s="1"/>
  <c r="B7248" i="106"/>
  <c r="B126" i="106"/>
  <c r="D126" i="106" s="1"/>
  <c r="B1543" i="106"/>
  <c r="D1543" i="106" s="1"/>
  <c r="G303" i="29"/>
  <c r="B1547" i="106" s="1"/>
  <c r="D1547" i="106" s="1"/>
  <c r="B3083" i="106"/>
  <c r="D3083" i="106" s="1"/>
  <c r="B6628" i="106"/>
  <c r="D6628" i="106" s="1"/>
  <c r="B325" i="106"/>
  <c r="D325" i="106" s="1"/>
  <c r="B3236" i="106"/>
  <c r="D3236" i="106" s="1"/>
  <c r="B5998" i="106"/>
  <c r="D5998" i="106" s="1"/>
  <c r="B915" i="106"/>
  <c r="D915" i="106" s="1"/>
  <c r="B6322" i="106"/>
  <c r="D6322" i="106" s="1"/>
  <c r="B6850" i="106"/>
  <c r="D6850" i="106" s="1"/>
  <c r="B834" i="106"/>
  <c r="D834" i="106" s="1"/>
  <c r="B6118" i="106"/>
  <c r="D6118" i="106" s="1"/>
  <c r="B1019" i="106"/>
  <c r="D1019" i="106" s="1"/>
  <c r="K82" i="29"/>
  <c r="B2977" i="106" s="1"/>
  <c r="D2977" i="106" s="1"/>
  <c r="B2953" i="106"/>
  <c r="D2953" i="106" s="1"/>
  <c r="B5798" i="106"/>
  <c r="D5798" i="106" s="1"/>
  <c r="B7154" i="106"/>
  <c r="D7154" i="106" s="1"/>
  <c r="K323" i="29"/>
  <c r="B7162" i="106" s="1"/>
  <c r="D7162" i="106" s="1"/>
  <c r="B145" i="106"/>
  <c r="D145" i="106" s="1"/>
  <c r="B6135" i="106"/>
  <c r="D6135" i="106" s="1"/>
  <c r="B6618" i="106"/>
  <c r="D6618" i="106" s="1"/>
  <c r="G252" i="5"/>
  <c r="B6837" i="106" s="1"/>
  <c r="D6837" i="106" s="1"/>
  <c r="B2721" i="106"/>
  <c r="D2721" i="106" s="1"/>
  <c r="B972" i="106"/>
  <c r="D972" i="106" s="1"/>
  <c r="B6163" i="106"/>
  <c r="D6163" i="106" s="1"/>
  <c r="L72" i="29"/>
  <c r="B856" i="106"/>
  <c r="D856" i="106" s="1"/>
  <c r="B7753" i="106"/>
  <c r="D7753" i="106" s="1"/>
  <c r="B763" i="106"/>
  <c r="D763" i="106" s="1"/>
  <c r="D33" i="29"/>
  <c r="B778" i="106" s="1"/>
  <c r="D778" i="106" s="1"/>
  <c r="B6820" i="106"/>
  <c r="D6820" i="106" s="1"/>
  <c r="B5517" i="106"/>
  <c r="D5517" i="106" s="1"/>
  <c r="B166" i="106"/>
  <c r="D166" i="106" s="1"/>
  <c r="B7677" i="106"/>
  <c r="D7677" i="106" s="1"/>
  <c r="B6258" i="106"/>
  <c r="D6258" i="106" s="1"/>
  <c r="B5338" i="106"/>
  <c r="D5338" i="106" s="1"/>
  <c r="L229" i="29"/>
  <c r="B6374" i="106"/>
  <c r="D6374" i="106" s="1"/>
  <c r="K169" i="5"/>
  <c r="B5000" i="106" s="1"/>
  <c r="D5000" i="106" s="1"/>
  <c r="B7187" i="106"/>
  <c r="D7187" i="106" s="1"/>
  <c r="B7186" i="106"/>
  <c r="D7186" i="106" s="1"/>
  <c r="B6310" i="106"/>
  <c r="D6310" i="106" s="1"/>
  <c r="L330" i="29"/>
  <c r="B7805" i="106"/>
  <c r="D7805" i="106" s="1"/>
  <c r="B3561" i="106"/>
  <c r="D3561" i="106" s="1"/>
  <c r="B4915" i="106"/>
  <c r="D4915" i="106" s="1"/>
  <c r="F118" i="34"/>
  <c r="B7852" i="106" s="1"/>
  <c r="D7852" i="106" s="1"/>
  <c r="B6694" i="106"/>
  <c r="D6694" i="106" s="1"/>
  <c r="B4816" i="106"/>
  <c r="D4816" i="106" s="1"/>
  <c r="K181" i="5"/>
  <c r="B6016" i="106" s="1"/>
  <c r="D6016" i="106" s="1"/>
  <c r="K252" i="29"/>
  <c r="B7090" i="106" s="1"/>
  <c r="D7090" i="106" s="1"/>
  <c r="B7089" i="106"/>
  <c r="D7089" i="106" s="1"/>
  <c r="B835" i="106"/>
  <c r="D835" i="106" s="1"/>
  <c r="K94" i="29"/>
  <c r="B6999" i="106" s="1"/>
  <c r="D6999" i="106" s="1"/>
  <c r="B6998" i="106"/>
  <c r="D6998" i="106" s="1"/>
  <c r="B6813" i="106"/>
  <c r="D6813" i="106" s="1"/>
  <c r="B7655" i="106"/>
  <c r="D7655" i="106" s="1"/>
  <c r="B6148" i="106"/>
  <c r="D6148" i="106" s="1"/>
  <c r="B5997" i="106"/>
  <c r="D5997" i="106" s="1"/>
  <c r="B6110" i="106"/>
  <c r="D6110" i="106" s="1"/>
  <c r="B6855" i="106"/>
  <c r="D6855" i="106" s="1"/>
  <c r="B1236" i="106"/>
  <c r="D1236" i="106" s="1"/>
  <c r="B3490" i="106"/>
  <c r="D3490" i="106" s="1"/>
  <c r="B5673" i="106"/>
  <c r="D5673" i="106" s="1"/>
  <c r="F209" i="5"/>
  <c r="B4413" i="106" s="1"/>
  <c r="D4413" i="106" s="1"/>
  <c r="B4114" i="106"/>
  <c r="D4114" i="106" s="1"/>
  <c r="D18" i="4"/>
  <c r="B4132" i="106" s="1"/>
  <c r="D4132" i="106" s="1"/>
  <c r="K164" i="29"/>
  <c r="B1325" i="106" s="1"/>
  <c r="D1325" i="106" s="1"/>
  <c r="B1311" i="106"/>
  <c r="D1311" i="106" s="1"/>
  <c r="B6757" i="106"/>
  <c r="D6757" i="106" s="1"/>
  <c r="B7261" i="106"/>
  <c r="B7267" i="106"/>
  <c r="B5059" i="106"/>
  <c r="D5059" i="106" s="1"/>
  <c r="F76" i="4"/>
  <c r="B3254" i="106" s="1"/>
  <c r="D3254" i="106" s="1"/>
  <c r="B5024" i="106"/>
  <c r="D5024" i="106" s="1"/>
  <c r="K95" i="29"/>
  <c r="B7001" i="106" s="1"/>
  <c r="D7001" i="106" s="1"/>
  <c r="B7000" i="106"/>
  <c r="D7000" i="106" s="1"/>
  <c r="B5615" i="106"/>
  <c r="D5615" i="106" s="1"/>
  <c r="F155" i="5"/>
  <c r="B4369" i="106"/>
  <c r="D4369" i="106" s="1"/>
  <c r="B7137" i="106"/>
  <c r="D7137" i="106" s="1"/>
  <c r="B5496" i="106"/>
  <c r="D5496" i="106" s="1"/>
  <c r="B6730" i="106"/>
  <c r="D6730" i="106" s="1"/>
  <c r="B6688" i="106"/>
  <c r="D6688" i="106" s="1"/>
  <c r="B5988" i="106"/>
  <c r="D5988" i="106" s="1"/>
  <c r="K18" i="5"/>
  <c r="B5992" i="106" s="1"/>
  <c r="D5992" i="106" s="1"/>
  <c r="B6136" i="106"/>
  <c r="D6136" i="106" s="1"/>
  <c r="B5601" i="106"/>
  <c r="D5601" i="106" s="1"/>
  <c r="B6255" i="106"/>
  <c r="D6255" i="106" s="1"/>
  <c r="B5124" i="106"/>
  <c r="D5124" i="106" s="1"/>
  <c r="B6707" i="106"/>
  <c r="D6707" i="106" s="1"/>
  <c r="I44" i="4"/>
  <c r="B3317" i="106" s="1"/>
  <c r="D3317" i="106" s="1"/>
  <c r="B2772" i="106"/>
  <c r="D2772" i="106" s="1"/>
  <c r="B6666" i="106"/>
  <c r="D6666" i="106" s="1"/>
  <c r="F140" i="34"/>
  <c r="B4334" i="106"/>
  <c r="D4334" i="106" s="1"/>
  <c r="B6775" i="106"/>
  <c r="D6775" i="106" s="1"/>
  <c r="B7197" i="106"/>
  <c r="D7197" i="106" s="1"/>
  <c r="B1002" i="106"/>
  <c r="D1002" i="106" s="1"/>
  <c r="H92" i="29"/>
  <c r="K92" i="29" s="1"/>
  <c r="B2089" i="106" s="1"/>
  <c r="D2089" i="106" s="1"/>
  <c r="B6981" i="106"/>
  <c r="D6981" i="106" s="1"/>
  <c r="K85" i="29"/>
  <c r="B6982" i="106" s="1"/>
  <c r="D6982" i="106" s="1"/>
  <c r="D44" i="4"/>
  <c r="B7749" i="106"/>
  <c r="D7749" i="106" s="1"/>
  <c r="B1428" i="106"/>
  <c r="D1428" i="106" s="1"/>
  <c r="D270" i="29"/>
  <c r="B1436" i="106" s="1"/>
  <c r="D1436" i="106" s="1"/>
  <c r="K263" i="29"/>
  <c r="B1492" i="106" s="1"/>
  <c r="D1492" i="106" s="1"/>
  <c r="B7184" i="106"/>
  <c r="D7184" i="106" s="1"/>
  <c r="K222" i="29"/>
  <c r="B1471" i="106" s="1"/>
  <c r="D1471" i="106" s="1"/>
  <c r="B1407" i="106"/>
  <c r="D1407" i="106" s="1"/>
  <c r="B7654" i="106"/>
  <c r="D7654" i="106" s="1"/>
  <c r="K220" i="29"/>
  <c r="B7077" i="106"/>
  <c r="D7077" i="106" s="1"/>
  <c r="B7260" i="106"/>
  <c r="B4808" i="106"/>
  <c r="D4808" i="106" s="1"/>
  <c r="B840" i="106"/>
  <c r="D840" i="106" s="1"/>
  <c r="B4179" i="106"/>
  <c r="D4179" i="106" s="1"/>
  <c r="B4868" i="106"/>
  <c r="D4868" i="106" s="1"/>
  <c r="B855" i="106"/>
  <c r="D855" i="106" s="1"/>
  <c r="B7061" i="106"/>
  <c r="D7061" i="106" s="1"/>
  <c r="B6905" i="106"/>
  <c r="D6905" i="106" s="1"/>
  <c r="J42" i="29"/>
  <c r="B5985" i="106"/>
  <c r="D5985" i="106" s="1"/>
  <c r="K12" i="5"/>
  <c r="B5987" i="106" s="1"/>
  <c r="D5987" i="106" s="1"/>
  <c r="B12" i="7"/>
  <c r="B1753" i="106" s="1"/>
  <c r="D1753" i="106" s="1"/>
  <c r="B5722" i="106"/>
  <c r="D5722" i="106" s="1"/>
  <c r="G12" i="5"/>
  <c r="B5725" i="106" s="1"/>
  <c r="D5725" i="106" s="1"/>
  <c r="B5315" i="106"/>
  <c r="D5315" i="106" s="1"/>
  <c r="F163" i="34"/>
  <c r="B7870" i="106" s="1"/>
  <c r="D7870" i="106" s="1"/>
  <c r="B3639" i="106"/>
  <c r="D3639" i="106" s="1"/>
  <c r="B6645" i="106"/>
  <c r="D6645" i="106" s="1"/>
  <c r="K284" i="29"/>
  <c r="B4166" i="106" s="1"/>
  <c r="D4166" i="106" s="1"/>
  <c r="B4165" i="106"/>
  <c r="D4165" i="106" s="1"/>
  <c r="B6985" i="106"/>
  <c r="D6985" i="106" s="1"/>
  <c r="K87" i="29"/>
  <c r="B6986" i="106" s="1"/>
  <c r="D6986" i="106" s="1"/>
  <c r="B6742" i="106"/>
  <c r="D6742" i="106" s="1"/>
  <c r="B7667" i="106"/>
  <c r="D7667" i="106" s="1"/>
  <c r="B6934" i="106"/>
  <c r="D6934" i="106" s="1"/>
  <c r="B5076" i="106"/>
  <c r="D5076" i="106" s="1"/>
  <c r="B7697" i="106"/>
  <c r="D7697" i="106" s="1"/>
  <c r="K329" i="29"/>
  <c r="B6910" i="106"/>
  <c r="D6910" i="106" s="1"/>
  <c r="B6183" i="106"/>
  <c r="D6183" i="106" s="1"/>
  <c r="B1315" i="106"/>
  <c r="D1315" i="106" s="1"/>
  <c r="K170" i="29"/>
  <c r="D69" i="36"/>
  <c r="B7150" i="106"/>
  <c r="D7150" i="106" s="1"/>
  <c r="B898" i="106"/>
  <c r="D898" i="106" s="1"/>
  <c r="B6793" i="106"/>
  <c r="D6793" i="106" s="1"/>
  <c r="F153" i="34"/>
  <c r="B7252" i="106"/>
  <c r="B7170" i="106"/>
  <c r="D7170" i="106" s="1"/>
  <c r="B6090" i="106"/>
  <c r="D6090" i="106" s="1"/>
  <c r="B3653" i="106"/>
  <c r="D3653" i="106" s="1"/>
  <c r="B6154" i="106"/>
  <c r="D6154" i="106" s="1"/>
  <c r="B4446" i="106"/>
  <c r="D4446" i="106" s="1"/>
  <c r="B5817" i="106"/>
  <c r="D5817" i="106" s="1"/>
  <c r="G217" i="5"/>
  <c r="B5829" i="106" s="1"/>
  <c r="D5829" i="106" s="1"/>
  <c r="B134" i="106"/>
  <c r="D134" i="106" s="1"/>
  <c r="B6390" i="106"/>
  <c r="D6390" i="106" s="1"/>
  <c r="B7637" i="106"/>
  <c r="B1012" i="106"/>
  <c r="D1012" i="106" s="1"/>
  <c r="B4811" i="106"/>
  <c r="D4811" i="106" s="1"/>
  <c r="B3698" i="106"/>
  <c r="D3698" i="106" s="1"/>
  <c r="K52" i="4"/>
  <c r="B3702" i="106" s="1"/>
  <c r="D3702" i="106" s="1"/>
  <c r="B5239" i="106"/>
  <c r="D5239" i="106" s="1"/>
  <c r="B6712" i="106"/>
  <c r="D6712" i="106" s="1"/>
  <c r="F144" i="34"/>
  <c r="B6151" i="106"/>
  <c r="D6151" i="106" s="1"/>
  <c r="B1046" i="106"/>
  <c r="D1046" i="106" s="1"/>
  <c r="B7058" i="106"/>
  <c r="D7058" i="106" s="1"/>
  <c r="J184" i="29"/>
  <c r="B7064" i="106" s="1"/>
  <c r="D7064" i="106" s="1"/>
  <c r="B6087" i="106"/>
  <c r="D6087" i="106" s="1"/>
  <c r="B5026" i="106"/>
  <c r="D5026" i="106" s="1"/>
  <c r="B13" i="7"/>
  <c r="B3725" i="106" s="1"/>
  <c r="D3725" i="106" s="1"/>
  <c r="B7814" i="106"/>
  <c r="D7814" i="106" s="1"/>
  <c r="B5105" i="106"/>
  <c r="D5105" i="106" s="1"/>
  <c r="B1344" i="106"/>
  <c r="D1344" i="106" s="1"/>
  <c r="B845" i="106"/>
  <c r="D845" i="106" s="1"/>
  <c r="B6323" i="106"/>
  <c r="D6323" i="106" s="1"/>
  <c r="B6690" i="106"/>
  <c r="D6690" i="106" s="1"/>
  <c r="F143" i="34"/>
  <c r="B7029" i="106"/>
  <c r="D7029" i="106" s="1"/>
  <c r="K255" i="29"/>
  <c r="B7096" i="106" s="1"/>
  <c r="D7096" i="106" s="1"/>
  <c r="B7095" i="106"/>
  <c r="D7095" i="106" s="1"/>
  <c r="B5089" i="106"/>
  <c r="D5089" i="106" s="1"/>
  <c r="C67" i="5"/>
  <c r="B5090" i="106" s="1"/>
  <c r="D5090" i="106" s="1"/>
  <c r="L340" i="29"/>
  <c r="B961" i="106"/>
  <c r="D961" i="106" s="1"/>
  <c r="B5853" i="106"/>
  <c r="D5853" i="106" s="1"/>
  <c r="B5279" i="106"/>
  <c r="D5279" i="106" s="1"/>
  <c r="F130" i="34"/>
  <c r="B7862" i="106" s="1"/>
  <c r="D7862" i="106" s="1"/>
  <c r="B501" i="106"/>
  <c r="D501" i="106" s="1"/>
  <c r="B812" i="106"/>
  <c r="D812" i="106" s="1"/>
  <c r="K205" i="29"/>
  <c r="B7068" i="106" s="1"/>
  <c r="D7068" i="106" s="1"/>
  <c r="B7067" i="106"/>
  <c r="D7067" i="106" s="1"/>
  <c r="B4356" i="106"/>
  <c r="D4356" i="106" s="1"/>
  <c r="I53" i="29"/>
  <c r="B6942" i="106" s="1"/>
  <c r="D6942" i="106" s="1"/>
  <c r="B6926" i="106"/>
  <c r="D6926" i="106" s="1"/>
  <c r="B5115" i="106"/>
  <c r="D5115" i="106" s="1"/>
  <c r="F103" i="34"/>
  <c r="B7840" i="106" s="1"/>
  <c r="D7840" i="106" s="1"/>
  <c r="B973" i="106"/>
  <c r="D973" i="106" s="1"/>
  <c r="B3577" i="106"/>
  <c r="D3577" i="106" s="1"/>
  <c r="B3251" i="106"/>
  <c r="D3251" i="106" s="1"/>
  <c r="B5568" i="106"/>
  <c r="D5568" i="106" s="1"/>
  <c r="F20" i="34"/>
  <c r="B5996" i="106"/>
  <c r="D5996" i="106" s="1"/>
  <c r="K108" i="5"/>
  <c r="B5999" i="106" s="1"/>
  <c r="D5999" i="106" s="1"/>
  <c r="B7059" i="106"/>
  <c r="D7059" i="106" s="1"/>
  <c r="B5431" i="106"/>
  <c r="D5431" i="106" s="1"/>
  <c r="D204" i="5"/>
  <c r="B5444" i="106" s="1"/>
  <c r="D5444" i="106" s="1"/>
  <c r="B1450" i="106"/>
  <c r="D1450" i="106" s="1"/>
  <c r="K289" i="29"/>
  <c r="B1513" i="106" s="1"/>
  <c r="D1513" i="106" s="1"/>
  <c r="B1026" i="106"/>
  <c r="D1026" i="106" s="1"/>
  <c r="B4358" i="106"/>
  <c r="D4358" i="106" s="1"/>
  <c r="F169" i="34"/>
  <c r="B7874" i="106" s="1"/>
  <c r="D7874" i="106" s="1"/>
  <c r="B7750" i="106"/>
  <c r="D7750" i="106" s="1"/>
  <c r="B4328" i="106"/>
  <c r="D4328" i="106" s="1"/>
  <c r="K49" i="29"/>
  <c r="B1120" i="106" s="1"/>
  <c r="D1120" i="106" s="1"/>
  <c r="B732" i="106"/>
  <c r="D732" i="106" s="1"/>
  <c r="C53" i="29"/>
  <c r="B734" i="106" s="1"/>
  <c r="D734" i="106" s="1"/>
  <c r="B6389" i="106"/>
  <c r="D6389" i="106" s="1"/>
  <c r="B7266" i="106"/>
  <c r="F184" i="29"/>
  <c r="B4084" i="106"/>
  <c r="D4084" i="106" s="1"/>
  <c r="B1420" i="106"/>
  <c r="D1420" i="106" s="1"/>
  <c r="K242" i="29"/>
  <c r="B1484" i="106" s="1"/>
  <c r="D1484" i="106" s="1"/>
  <c r="B6682" i="106"/>
  <c r="D6682" i="106" s="1"/>
  <c r="F142" i="34"/>
  <c r="B980" i="106"/>
  <c r="D980" i="106" s="1"/>
  <c r="B5556" i="106"/>
  <c r="D5556" i="106" s="1"/>
  <c r="B814" i="106"/>
  <c r="D814" i="106" s="1"/>
  <c r="B323" i="106"/>
  <c r="D323" i="106" s="1"/>
  <c r="D68" i="36"/>
  <c r="B6173" i="106"/>
  <c r="D6173" i="106" s="1"/>
  <c r="B6758" i="106"/>
  <c r="D6758" i="106" s="1"/>
  <c r="B4311" i="106"/>
  <c r="D4311" i="106" s="1"/>
  <c r="E137" i="29"/>
  <c r="K133" i="29"/>
  <c r="B7776" i="106" s="1"/>
  <c r="D7776" i="106" s="1"/>
  <c r="B7774" i="106"/>
  <c r="D7774" i="106" s="1"/>
  <c r="B6155" i="106"/>
  <c r="D6155" i="106" s="1"/>
  <c r="B863" i="106"/>
  <c r="D863" i="106" s="1"/>
  <c r="F65" i="29"/>
  <c r="B919" i="106" s="1"/>
  <c r="D919" i="106" s="1"/>
  <c r="B912" i="106"/>
  <c r="D912" i="106" s="1"/>
  <c r="B6668" i="106"/>
  <c r="D6668" i="106" s="1"/>
  <c r="B7254" i="106"/>
  <c r="B4447" i="106"/>
  <c r="D4447" i="106" s="1"/>
  <c r="B832" i="106"/>
  <c r="D832" i="106" s="1"/>
  <c r="B7687" i="106"/>
  <c r="D7687" i="106" s="1"/>
  <c r="B5625" i="106"/>
  <c r="D5625" i="106" s="1"/>
  <c r="B6806" i="106"/>
  <c r="D6806" i="106" s="1"/>
  <c r="B5724" i="106"/>
  <c r="D5724" i="106" s="1"/>
  <c r="B11" i="7"/>
  <c r="B1752" i="106" s="1"/>
  <c r="D1752" i="106" s="1"/>
  <c r="B6298" i="106"/>
  <c r="D6298" i="106" s="1"/>
  <c r="J12" i="5"/>
  <c r="B6301" i="106" s="1"/>
  <c r="D6301" i="106" s="1"/>
  <c r="B5064" i="106"/>
  <c r="D5064" i="106" s="1"/>
  <c r="B17" i="7"/>
  <c r="B4102" i="106" s="1"/>
  <c r="D4102" i="106" s="1"/>
  <c r="B4215" i="106"/>
  <c r="D4215" i="106" s="1"/>
  <c r="B5022" i="106"/>
  <c r="D5022" i="106" s="1"/>
  <c r="C76" i="4"/>
  <c r="B3231" i="106" s="1"/>
  <c r="D3231" i="106" s="1"/>
  <c r="B2769" i="106"/>
  <c r="D2769" i="106" s="1"/>
  <c r="B6117" i="106"/>
  <c r="D6117" i="106" s="1"/>
  <c r="B1262" i="106"/>
  <c r="D1262" i="106" s="1"/>
  <c r="B2817" i="106"/>
  <c r="D2817" i="106" s="1"/>
  <c r="E76" i="4"/>
  <c r="B3276" i="106" s="1"/>
  <c r="D3276" i="106" s="1"/>
  <c r="B3056" i="106"/>
  <c r="D3056" i="106" s="1"/>
  <c r="B842" i="106"/>
  <c r="D842" i="106" s="1"/>
  <c r="B7666" i="106"/>
  <c r="D7666" i="106" s="1"/>
  <c r="B6656" i="106"/>
  <c r="D6656" i="106" s="1"/>
  <c r="B7040" i="106"/>
  <c r="D7040" i="106" s="1"/>
  <c r="B4336" i="106"/>
  <c r="D4336" i="106" s="1"/>
  <c r="B4408" i="106"/>
  <c r="D4408" i="106" s="1"/>
  <c r="B6800" i="106"/>
  <c r="D6800" i="106" s="1"/>
  <c r="B5061" i="106"/>
  <c r="D5061" i="106" s="1"/>
  <c r="C12" i="5"/>
  <c r="B4" i="7"/>
  <c r="B1744" i="106" s="1"/>
  <c r="D1744" i="106" s="1"/>
  <c r="B1546" i="106"/>
  <c r="D1546" i="106" s="1"/>
  <c r="B7691" i="106"/>
  <c r="D7691" i="106" s="1"/>
  <c r="B6168" i="106"/>
  <c r="D6168" i="106" s="1"/>
  <c r="B4317" i="106"/>
  <c r="D4317" i="106" s="1"/>
  <c r="F120" i="34"/>
  <c r="B7854" i="106" s="1"/>
  <c r="D7854" i="106" s="1"/>
  <c r="B6370" i="106"/>
  <c r="D6370" i="106" s="1"/>
  <c r="B5821" i="106"/>
  <c r="D5821" i="106" s="1"/>
  <c r="B6296" i="106"/>
  <c r="D6296" i="106" s="1"/>
  <c r="B6652" i="106"/>
  <c r="D6652" i="106" s="1"/>
  <c r="B851" i="106"/>
  <c r="D851" i="106" s="1"/>
  <c r="E57" i="29"/>
  <c r="B853" i="106" s="1"/>
  <c r="D853" i="106" s="1"/>
  <c r="B6083" i="106"/>
  <c r="D6083" i="106" s="1"/>
  <c r="B6989" i="106"/>
  <c r="D6989" i="106" s="1"/>
  <c r="K89" i="29"/>
  <c r="B6990" i="106" s="1"/>
  <c r="D6990" i="106" s="1"/>
  <c r="B6865" i="106"/>
  <c r="D6865" i="106" s="1"/>
  <c r="B7680" i="106"/>
  <c r="D7680" i="106" s="1"/>
  <c r="B4353" i="106"/>
  <c r="D4353" i="106" s="1"/>
  <c r="B6393" i="106"/>
  <c r="D6393" i="106" s="1"/>
  <c r="B6320" i="106"/>
  <c r="D6320" i="106" s="1"/>
  <c r="K217" i="29"/>
  <c r="B3391" i="106" s="1"/>
  <c r="D3391" i="106" s="1"/>
  <c r="B3388" i="106"/>
  <c r="D3388" i="106" s="1"/>
  <c r="B7014" i="106"/>
  <c r="D7014" i="106" s="1"/>
  <c r="B5099" i="106"/>
  <c r="D5099" i="106" s="1"/>
  <c r="B7683" i="106"/>
  <c r="D7683" i="106" s="1"/>
  <c r="B7813" i="106"/>
  <c r="D7813" i="106" s="1"/>
  <c r="F168" i="34"/>
  <c r="B7707" i="106"/>
  <c r="D7707" i="106" s="1"/>
  <c r="B6145" i="106"/>
  <c r="D6145" i="106" s="1"/>
  <c r="B974" i="106"/>
  <c r="D974" i="106" s="1"/>
  <c r="F167" i="34"/>
  <c r="B7809" i="106"/>
  <c r="D7809" i="106" s="1"/>
  <c r="L92" i="29"/>
  <c r="B6638" i="106"/>
  <c r="D6638" i="106" s="1"/>
  <c r="K324" i="29"/>
  <c r="B7163" i="106"/>
  <c r="D7163" i="106" s="1"/>
  <c r="B1307" i="106"/>
  <c r="D1307" i="106" s="1"/>
  <c r="E172" i="29"/>
  <c r="K171" i="29"/>
  <c r="B1330" i="106" s="1"/>
  <c r="D1330" i="106" s="1"/>
  <c r="B6302" i="106"/>
  <c r="D6302" i="106" s="1"/>
  <c r="J18" i="5"/>
  <c r="B6306" i="106" s="1"/>
  <c r="D6306" i="106" s="1"/>
  <c r="B6134" i="106"/>
  <c r="D6134" i="106" s="1"/>
  <c r="B6626" i="106"/>
  <c r="D6626" i="106" s="1"/>
  <c r="F135" i="34"/>
  <c r="B7662" i="106"/>
  <c r="D7662" i="106" s="1"/>
  <c r="B7698" i="106"/>
  <c r="D7698" i="106" s="1"/>
  <c r="B6719" i="106"/>
  <c r="D6719" i="106" s="1"/>
  <c r="B742" i="106"/>
  <c r="D742" i="106" s="1"/>
  <c r="K63" i="29"/>
  <c r="E30" i="108" s="1"/>
  <c r="B6967" i="106"/>
  <c r="D6967" i="106" s="1"/>
  <c r="B6702" i="106"/>
  <c r="D6702" i="106" s="1"/>
  <c r="B7246" i="106"/>
  <c r="B6676" i="106"/>
  <c r="D6676" i="106" s="1"/>
  <c r="B6674" i="106"/>
  <c r="D6674" i="106" s="1"/>
  <c r="F141" i="34"/>
  <c r="B6119" i="106"/>
  <c r="D6119" i="106" s="1"/>
  <c r="B1423" i="106"/>
  <c r="D1423" i="106" s="1"/>
  <c r="K246" i="29"/>
  <c r="B1487" i="106" s="1"/>
  <c r="D1487" i="106" s="1"/>
  <c r="B892" i="106"/>
  <c r="D892" i="106" s="1"/>
  <c r="B4121" i="106"/>
  <c r="D4121" i="106" s="1"/>
  <c r="K18" i="4"/>
  <c r="B4135" i="106" s="1"/>
  <c r="D4135" i="106" s="1"/>
  <c r="B6315" i="106"/>
  <c r="D6315" i="106" s="1"/>
  <c r="F28" i="34"/>
  <c r="B944" i="106"/>
  <c r="D944" i="106" s="1"/>
  <c r="B4375" i="106"/>
  <c r="D4375" i="106" s="1"/>
  <c r="B2758" i="106"/>
  <c r="D2758" i="106" s="1"/>
  <c r="B6373" i="106"/>
  <c r="D6373" i="106" s="1"/>
  <c r="J169" i="5"/>
  <c r="B6396" i="106" s="1"/>
  <c r="D6396" i="106" s="1"/>
  <c r="B7678" i="106"/>
  <c r="D7678" i="106" s="1"/>
  <c r="B5012" i="106"/>
  <c r="D5012" i="106" s="1"/>
  <c r="D71" i="36"/>
  <c r="L149" i="29"/>
  <c r="L147" i="29"/>
  <c r="B6636" i="106"/>
  <c r="D6636" i="106" s="1"/>
  <c r="B4315" i="106"/>
  <c r="D4315" i="106" s="1"/>
  <c r="G72" i="29"/>
  <c r="B985" i="106" s="1"/>
  <c r="D985" i="106" s="1"/>
  <c r="B978" i="106"/>
  <c r="D978" i="106" s="1"/>
  <c r="B5882" i="106"/>
  <c r="D5882" i="106" s="1"/>
  <c r="H108" i="5"/>
  <c r="B5886" i="106" s="1"/>
  <c r="D5886" i="106" s="1"/>
  <c r="B951" i="106"/>
  <c r="D951" i="106" s="1"/>
  <c r="B3369" i="106"/>
  <c r="D3369" i="106" s="1"/>
  <c r="B1007" i="106"/>
  <c r="D1007" i="106" s="1"/>
  <c r="B5989" i="106"/>
  <c r="D5989" i="106" s="1"/>
  <c r="B4889" i="106"/>
  <c r="D4889" i="106" s="1"/>
  <c r="B5993" i="106"/>
  <c r="D5993" i="106" s="1"/>
  <c r="K67" i="5"/>
  <c r="B5995" i="106" s="1"/>
  <c r="D5995" i="106" s="1"/>
  <c r="B880" i="106"/>
  <c r="D880" i="106" s="1"/>
  <c r="B6747" i="106"/>
  <c r="D6747" i="106" s="1"/>
  <c r="B5695" i="106"/>
  <c r="D5695" i="106" s="1"/>
  <c r="B6190" i="106"/>
  <c r="D6190" i="106" s="1"/>
  <c r="B6733" i="106"/>
  <c r="D6733" i="106" s="1"/>
  <c r="B5520" i="106"/>
  <c r="D5520" i="106" s="1"/>
  <c r="B173" i="106"/>
  <c r="D173" i="106" s="1"/>
  <c r="B5877" i="106"/>
  <c r="D5877" i="106" s="1"/>
  <c r="K136" i="29"/>
  <c r="B2988" i="106" s="1"/>
  <c r="D2988" i="106" s="1"/>
  <c r="B4201" i="106"/>
  <c r="D4201" i="106" s="1"/>
  <c r="B6953" i="106"/>
  <c r="D6953" i="106" s="1"/>
  <c r="D76" i="4"/>
  <c r="B3237" i="106" s="1"/>
  <c r="D3237" i="106" s="1"/>
  <c r="B5023" i="106"/>
  <c r="D5023" i="106" s="1"/>
  <c r="B839" i="106"/>
  <c r="D839" i="106" s="1"/>
  <c r="L357" i="29"/>
  <c r="B6972" i="106"/>
  <c r="D6972" i="106" s="1"/>
  <c r="B6909" i="106"/>
  <c r="D6909" i="106" s="1"/>
  <c r="B7699" i="106"/>
  <c r="D7699" i="106" s="1"/>
  <c r="B1313" i="106"/>
  <c r="D1313" i="106" s="1"/>
  <c r="K167" i="29"/>
  <c r="B1327" i="106" s="1"/>
  <c r="D1327" i="106" s="1"/>
  <c r="B5907" i="106"/>
  <c r="D5907" i="106" s="1"/>
  <c r="H181" i="5"/>
  <c r="B5908" i="106" s="1"/>
  <c r="D5908" i="106" s="1"/>
  <c r="K30" i="29"/>
  <c r="B6897" i="106" s="1"/>
  <c r="D6897" i="106" s="1"/>
  <c r="B6896" i="106"/>
  <c r="D6896" i="106" s="1"/>
  <c r="B6911" i="106"/>
  <c r="D6911" i="106" s="1"/>
  <c r="B6643" i="106"/>
  <c r="D6643" i="106" s="1"/>
  <c r="B1439" i="106"/>
  <c r="D1439" i="106" s="1"/>
  <c r="K274" i="29"/>
  <c r="B1503" i="106" s="1"/>
  <c r="D1503" i="106" s="1"/>
  <c r="B6797" i="106"/>
  <c r="D6797" i="106" s="1"/>
  <c r="B5241" i="106"/>
  <c r="D5241" i="106" s="1"/>
  <c r="E33" i="29"/>
  <c r="B836" i="106" s="1"/>
  <c r="D836" i="106" s="1"/>
  <c r="B821" i="106"/>
  <c r="D821" i="106" s="1"/>
  <c r="B917" i="106"/>
  <c r="D917" i="106" s="1"/>
  <c r="B6407" i="106"/>
  <c r="D6407" i="106" s="1"/>
  <c r="B4882" i="106"/>
  <c r="D4882" i="106" s="1"/>
  <c r="H34" i="3"/>
  <c r="B6130" i="106"/>
  <c r="D6130" i="106" s="1"/>
  <c r="B6845" i="106"/>
  <c r="D6845" i="106" s="1"/>
  <c r="J33" i="29"/>
  <c r="B6903" i="106" s="1"/>
  <c r="D6903" i="106" s="1"/>
  <c r="K307" i="29"/>
  <c r="B7108" i="106"/>
  <c r="D7108" i="106" s="1"/>
  <c r="K224" i="29"/>
  <c r="B1473" i="106" s="1"/>
  <c r="D1473" i="106" s="1"/>
  <c r="B1409" i="106"/>
  <c r="D1409" i="106" s="1"/>
  <c r="B2960" i="106"/>
  <c r="D2960" i="106" s="1"/>
  <c r="B5340" i="106"/>
  <c r="D5340" i="106" s="1"/>
  <c r="D67" i="5"/>
  <c r="B5342" i="106" s="1"/>
  <c r="D5342" i="106" s="1"/>
  <c r="B7801" i="106"/>
  <c r="D7801" i="106" s="1"/>
  <c r="B6330" i="106"/>
  <c r="D6330" i="106" s="1"/>
  <c r="I33" i="29"/>
  <c r="B6902" i="106" s="1"/>
  <c r="D6902" i="106" s="1"/>
  <c r="B6844" i="106"/>
  <c r="D6844" i="106" s="1"/>
  <c r="L168" i="29"/>
  <c r="L172" i="29" s="1"/>
  <c r="B6780" i="106"/>
  <c r="D6780" i="106" s="1"/>
  <c r="B7226" i="106"/>
  <c r="D7226" i="106" s="1"/>
  <c r="I350" i="29"/>
  <c r="B6807" i="106"/>
  <c r="D6807" i="106" s="1"/>
  <c r="B5924" i="106"/>
  <c r="D5924" i="106" s="1"/>
  <c r="I67" i="5"/>
  <c r="B5926" i="106" s="1"/>
  <c r="D5926" i="106" s="1"/>
  <c r="B7807" i="106"/>
  <c r="D7807" i="106" s="1"/>
  <c r="B913" i="106"/>
  <c r="D913" i="106" s="1"/>
  <c r="B6391" i="106"/>
  <c r="D6391" i="106" s="1"/>
  <c r="B6959" i="106"/>
  <c r="D6959" i="106" s="1"/>
  <c r="B7099" i="106"/>
  <c r="D7099" i="106" s="1"/>
  <c r="I303" i="29"/>
  <c r="B7103" i="106" s="1"/>
  <c r="D7103" i="106" s="1"/>
  <c r="B3372" i="106"/>
  <c r="D3372" i="106" s="1"/>
  <c r="B5697" i="106"/>
  <c r="D5697" i="106" s="1"/>
  <c r="B6640" i="106"/>
  <c r="D6640" i="106" s="1"/>
  <c r="B7787" i="106"/>
  <c r="D7787" i="106" s="1"/>
  <c r="K333" i="29"/>
  <c r="B7788" i="106" s="1"/>
  <c r="D7788" i="106" s="1"/>
  <c r="K283" i="29"/>
  <c r="B3723" i="106" s="1"/>
  <c r="D3723" i="106" s="1"/>
  <c r="B3721" i="106"/>
  <c r="D3721" i="106" s="1"/>
  <c r="B6721" i="106"/>
  <c r="D6721" i="106" s="1"/>
  <c r="B1357" i="106"/>
  <c r="D1357" i="106" s="1"/>
  <c r="B5921" i="106"/>
  <c r="D5921" i="106" s="1"/>
  <c r="B6189" i="106"/>
  <c r="D6189" i="106" s="1"/>
  <c r="B6100" i="106"/>
  <c r="D6100" i="106" s="1"/>
  <c r="K9" i="29"/>
  <c r="B6853" i="106" s="1"/>
  <c r="D6853" i="106" s="1"/>
  <c r="B7251" i="106"/>
  <c r="B930" i="106"/>
  <c r="D930" i="106" s="1"/>
  <c r="B6767" i="106"/>
  <c r="D6767" i="106" s="1"/>
  <c r="K14" i="29"/>
  <c r="B1106" i="106" s="1"/>
  <c r="D1106" i="106" s="1"/>
  <c r="B718" i="106"/>
  <c r="D718" i="106" s="1"/>
  <c r="B5574" i="106"/>
  <c r="D5574" i="106" s="1"/>
  <c r="F24" i="34"/>
  <c r="B7703" i="106"/>
  <c r="D7703" i="106" s="1"/>
  <c r="B4874" i="106"/>
  <c r="D4874" i="106" s="1"/>
  <c r="B1033" i="106"/>
  <c r="D1033" i="106" s="1"/>
  <c r="K193" i="29"/>
  <c r="B3012" i="106" s="1"/>
  <c r="D3012" i="106" s="1"/>
  <c r="B2994" i="106"/>
  <c r="D2994" i="106" s="1"/>
  <c r="K108" i="29"/>
  <c r="B2796" i="106" s="1"/>
  <c r="D2796" i="106" s="1"/>
  <c r="B2792" i="106"/>
  <c r="D2792" i="106" s="1"/>
  <c r="K34" i="3"/>
  <c r="B3565" i="106" s="1"/>
  <c r="D3565" i="106" s="1"/>
  <c r="B6132" i="106"/>
  <c r="D6132" i="106" s="1"/>
  <c r="B7035" i="106"/>
  <c r="D7035" i="106" s="1"/>
  <c r="B3275" i="106"/>
  <c r="D3275" i="106" s="1"/>
  <c r="B2722" i="106"/>
  <c r="D2722" i="106" s="1"/>
  <c r="B5069" i="106"/>
  <c r="D5069" i="106" s="1"/>
  <c r="B6654" i="106"/>
  <c r="D6654" i="106" s="1"/>
  <c r="D73" i="36"/>
  <c r="B6290" i="106"/>
  <c r="D6290" i="106" s="1"/>
  <c r="B7140" i="106"/>
  <c r="D7140" i="106" s="1"/>
  <c r="B6788" i="106"/>
  <c r="D6788" i="106" s="1"/>
  <c r="B6380" i="106"/>
  <c r="D6380" i="106" s="1"/>
  <c r="G155" i="5"/>
  <c r="B4357" i="106" s="1"/>
  <c r="D4357" i="106" s="1"/>
  <c r="B6337" i="106"/>
  <c r="D6337" i="106" s="1"/>
  <c r="B6951" i="106"/>
  <c r="D6951" i="106" s="1"/>
  <c r="J65" i="29"/>
  <c r="B6962" i="106" s="1"/>
  <c r="D6962" i="106" s="1"/>
  <c r="B729" i="106"/>
  <c r="D729" i="106" s="1"/>
  <c r="K45" i="29"/>
  <c r="B1117" i="106" s="1"/>
  <c r="D1117" i="106" s="1"/>
  <c r="B198" i="106"/>
  <c r="D198" i="106" s="1"/>
  <c r="B6935" i="106"/>
  <c r="D6935" i="106" s="1"/>
  <c r="B4377" i="106"/>
  <c r="D4377" i="106" s="1"/>
  <c r="L65" i="29"/>
  <c r="B4228" i="106"/>
  <c r="D4228" i="106" s="1"/>
  <c r="B3485" i="106"/>
  <c r="D3485" i="106" s="1"/>
  <c r="B7160" i="106"/>
  <c r="D7160" i="106" s="1"/>
  <c r="B6295" i="106"/>
  <c r="D6295" i="106" s="1"/>
  <c r="B5525" i="106"/>
  <c r="D5525" i="106" s="1"/>
  <c r="B6167" i="106"/>
  <c r="D6167" i="106" s="1"/>
  <c r="B3493" i="106"/>
  <c r="D3493" i="106" s="1"/>
  <c r="B1029" i="106"/>
  <c r="D1029" i="106" s="1"/>
  <c r="B5822" i="106"/>
  <c r="D5822" i="106" s="1"/>
  <c r="B775" i="106"/>
  <c r="D775" i="106" s="1"/>
  <c r="B4448" i="106"/>
  <c r="D4448" i="106" s="1"/>
  <c r="B6731" i="106"/>
  <c r="D6731" i="106" s="1"/>
  <c r="B3579" i="106"/>
  <c r="D3579" i="106" s="1"/>
  <c r="B6823" i="106"/>
  <c r="D6823" i="106" s="1"/>
  <c r="K56" i="29"/>
  <c r="E14" i="184" s="1"/>
  <c r="H14" i="184" s="1"/>
  <c r="B736" i="106"/>
  <c r="D736" i="106" s="1"/>
  <c r="B4949" i="106"/>
  <c r="D4949" i="106" s="1"/>
  <c r="B6774" i="106"/>
  <c r="D6774" i="106" s="1"/>
  <c r="B4393" i="106"/>
  <c r="D4393" i="106" s="1"/>
  <c r="B7190" i="106"/>
  <c r="D7190" i="106" s="1"/>
  <c r="K327" i="29"/>
  <c r="B5566" i="106"/>
  <c r="D5566" i="106" s="1"/>
  <c r="F87" i="34"/>
  <c r="B6336" i="106"/>
  <c r="D6336" i="106" s="1"/>
  <c r="B4337" i="106"/>
  <c r="D4337" i="106" s="1"/>
  <c r="B6815" i="106"/>
  <c r="D6815" i="106" s="1"/>
  <c r="K189" i="29"/>
  <c r="B3008" i="106" s="1"/>
  <c r="D3008" i="106" s="1"/>
  <c r="B2990" i="106"/>
  <c r="D2990" i="106" s="1"/>
  <c r="K207" i="29"/>
  <c r="B7070" i="106" s="1"/>
  <c r="D7070" i="106" s="1"/>
  <c r="B7069" i="106"/>
  <c r="D7069" i="106" s="1"/>
  <c r="B6146" i="106"/>
  <c r="D6146" i="106" s="1"/>
  <c r="E330" i="29"/>
  <c r="B7120" i="106"/>
  <c r="D7120" i="106" s="1"/>
  <c r="B7141" i="106"/>
  <c r="D7141" i="106" s="1"/>
  <c r="B6379" i="106"/>
  <c r="D6379" i="106" s="1"/>
  <c r="L127" i="29"/>
  <c r="L129" i="29" s="1"/>
  <c r="B6252" i="106"/>
  <c r="D6252" i="106" s="1"/>
  <c r="B6123" i="106"/>
  <c r="D6123" i="106" s="1"/>
  <c r="B1426" i="106"/>
  <c r="D1426" i="106" s="1"/>
  <c r="K260" i="29"/>
  <c r="B1490" i="106" s="1"/>
  <c r="D1490" i="106" s="1"/>
  <c r="B6651" i="106"/>
  <c r="D6651" i="106" s="1"/>
  <c r="B6178" i="106"/>
  <c r="D6178" i="106" s="1"/>
  <c r="B6818" i="106"/>
  <c r="D6818" i="106" s="1"/>
  <c r="B7690" i="106"/>
  <c r="D7690" i="106" s="1"/>
  <c r="B841" i="106"/>
  <c r="D841" i="106" s="1"/>
  <c r="B4947" i="106"/>
  <c r="D4947" i="106" s="1"/>
  <c r="B7658" i="106"/>
  <c r="D7658" i="106" s="1"/>
  <c r="B7802" i="106"/>
  <c r="D7802" i="106" s="1"/>
  <c r="B6875" i="106"/>
  <c r="D6875" i="106" s="1"/>
  <c r="B3295" i="106"/>
  <c r="D3295" i="106" s="1"/>
  <c r="B7249" i="106"/>
  <c r="D7249" i="106" s="1"/>
  <c r="B4355" i="106"/>
  <c r="D4355" i="106" s="1"/>
  <c r="B5243" i="106"/>
  <c r="D5243" i="106" s="1"/>
  <c r="B5341" i="106"/>
  <c r="D5341" i="106" s="1"/>
  <c r="B5990" i="106"/>
  <c r="D5990" i="106" s="1"/>
  <c r="B6725" i="106"/>
  <c r="D6725" i="106" s="1"/>
  <c r="B6165" i="106"/>
  <c r="D6165" i="106" s="1"/>
  <c r="B5883" i="106"/>
  <c r="D5883" i="106" s="1"/>
  <c r="L238" i="29"/>
  <c r="B6249" i="106"/>
  <c r="D6249" i="106" s="1"/>
  <c r="B6759" i="106"/>
  <c r="D6759" i="106" s="1"/>
  <c r="B5593" i="106"/>
  <c r="D5593" i="106" s="1"/>
  <c r="F122" i="5"/>
  <c r="B5599" i="106" s="1"/>
  <c r="D5599" i="106" s="1"/>
  <c r="B5754" i="106"/>
  <c r="D5754" i="106" s="1"/>
  <c r="G145" i="5"/>
  <c r="B5756" i="106" s="1"/>
  <c r="D5756" i="106" s="1"/>
  <c r="B5585" i="106"/>
  <c r="D5585" i="106" s="1"/>
  <c r="B6804" i="106"/>
  <c r="D6804" i="106" s="1"/>
  <c r="B6983" i="106"/>
  <c r="D6983" i="106" s="1"/>
  <c r="K86" i="29"/>
  <c r="B6984" i="106" s="1"/>
  <c r="D6984" i="106" s="1"/>
  <c r="B4381" i="106"/>
  <c r="D4381" i="106" s="1"/>
  <c r="B6242" i="106"/>
  <c r="D6242" i="106" s="1"/>
  <c r="B6327" i="106"/>
  <c r="D6327" i="106" s="1"/>
  <c r="B4797" i="106"/>
  <c r="D4797" i="106" s="1"/>
  <c r="B6787" i="106"/>
  <c r="D6787" i="106" s="1"/>
  <c r="B6740" i="106"/>
  <c r="D6740" i="106" s="1"/>
  <c r="B5242" i="106"/>
  <c r="D5242" i="106" s="1"/>
  <c r="B7143" i="106"/>
  <c r="D7143" i="106" s="1"/>
  <c r="K227" i="29"/>
  <c r="B1466" i="106" s="1"/>
  <c r="D1466" i="106" s="1"/>
  <c r="B1402" i="106"/>
  <c r="D1402" i="106" s="1"/>
  <c r="B5594" i="106"/>
  <c r="D5594" i="106" s="1"/>
  <c r="B5107" i="106"/>
  <c r="D5107" i="106" s="1"/>
  <c r="F99" i="34"/>
  <c r="B6799" i="106"/>
  <c r="D6799" i="106" s="1"/>
  <c r="I47" i="29"/>
  <c r="B6924" i="106" s="1"/>
  <c r="D6924" i="106" s="1"/>
  <c r="B6918" i="106"/>
  <c r="D6918" i="106" s="1"/>
  <c r="B5731" i="106"/>
  <c r="D5731" i="106" s="1"/>
  <c r="G67" i="5"/>
  <c r="B5733" i="106" s="1"/>
  <c r="D5733" i="106" s="1"/>
  <c r="B5523" i="106"/>
  <c r="D5523" i="106" s="1"/>
  <c r="B3583" i="106"/>
  <c r="B5101" i="106"/>
  <c r="D5101" i="106" s="1"/>
  <c r="B7111" i="106"/>
  <c r="D7111" i="106" s="1"/>
  <c r="B6378" i="106"/>
  <c r="D6378" i="106" s="1"/>
  <c r="B3259" i="106"/>
  <c r="D3259" i="106" s="1"/>
  <c r="G76" i="4"/>
  <c r="B3260" i="106" s="1"/>
  <c r="D3260" i="106" s="1"/>
  <c r="B6684" i="106"/>
  <c r="D6684" i="106" s="1"/>
  <c r="B747" i="106"/>
  <c r="D747" i="106" s="1"/>
  <c r="K68" i="29"/>
  <c r="B6692" i="106"/>
  <c r="D6692" i="106" s="1"/>
  <c r="B5672" i="106"/>
  <c r="D5672" i="106" s="1"/>
  <c r="B5343" i="106"/>
  <c r="D5343" i="106" s="1"/>
  <c r="D82" i="5"/>
  <c r="B5348" i="106" s="1"/>
  <c r="D5348" i="106" s="1"/>
  <c r="B6921" i="106"/>
  <c r="D6921" i="106" s="1"/>
  <c r="C217" i="5"/>
  <c r="B5286" i="106" s="1"/>
  <c r="D5286" i="106" s="1"/>
  <c r="B5274" i="106"/>
  <c r="D5274" i="106" s="1"/>
  <c r="B1039" i="106"/>
  <c r="D1039" i="106" s="1"/>
  <c r="B3484" i="106"/>
  <c r="D3484" i="106" s="1"/>
  <c r="B6317" i="106"/>
  <c r="D6317" i="106" s="1"/>
  <c r="B3000" i="106"/>
  <c r="D3000" i="106" s="1"/>
  <c r="B6150" i="106"/>
  <c r="D6150" i="106" s="1"/>
  <c r="B5742" i="106"/>
  <c r="D5742" i="106" s="1"/>
  <c r="G122" i="5"/>
  <c r="B5748" i="106" s="1"/>
  <c r="D5748" i="106" s="1"/>
  <c r="B5705" i="106"/>
  <c r="D5705" i="106" s="1"/>
  <c r="B706" i="106"/>
  <c r="D706" i="106" s="1"/>
  <c r="K16" i="29"/>
  <c r="B1094" i="106" s="1"/>
  <c r="D1094" i="106" s="1"/>
  <c r="B4945" i="106"/>
  <c r="D4945" i="106" s="1"/>
  <c r="B6304" i="106"/>
  <c r="D6304" i="106" s="1"/>
  <c r="B119" i="106"/>
  <c r="D119" i="106" s="1"/>
  <c r="B4877" i="106"/>
  <c r="D4877" i="106" s="1"/>
  <c r="B5187" i="106"/>
  <c r="D5187" i="106" s="1"/>
  <c r="F114" i="34"/>
  <c r="B7848" i="106" s="1"/>
  <c r="D7848" i="106" s="1"/>
  <c r="B1432" i="106"/>
  <c r="D1432" i="106" s="1"/>
  <c r="K267" i="29"/>
  <c r="B1496" i="106" s="1"/>
  <c r="D1496" i="106" s="1"/>
  <c r="B206" i="106"/>
  <c r="D206" i="106" s="1"/>
  <c r="B5122" i="106"/>
  <c r="D5122" i="106" s="1"/>
  <c r="C114" i="5"/>
  <c r="B5125" i="106" s="1"/>
  <c r="D5125" i="106" s="1"/>
  <c r="E100" i="29"/>
  <c r="B7011" i="106" s="1"/>
  <c r="D7011" i="106" s="1"/>
  <c r="K99" i="29"/>
  <c r="B7010" i="106" s="1"/>
  <c r="D7010" i="106" s="1"/>
  <c r="B7008" i="106"/>
  <c r="D7008" i="106" s="1"/>
  <c r="B5749" i="106"/>
  <c r="D5749" i="106" s="1"/>
  <c r="G141" i="5"/>
  <c r="B5752" i="106" s="1"/>
  <c r="D5752" i="106" s="1"/>
  <c r="B6766" i="106"/>
  <c r="D6766" i="106" s="1"/>
  <c r="K361" i="29"/>
  <c r="B7239" i="106" s="1"/>
  <c r="D7239" i="106" s="1"/>
  <c r="B7238" i="106"/>
  <c r="D7238" i="106" s="1"/>
  <c r="B6825" i="106"/>
  <c r="D6825" i="106" s="1"/>
  <c r="F157" i="34"/>
  <c r="B5917" i="106"/>
  <c r="D5917" i="106" s="1"/>
  <c r="K228" i="29"/>
  <c r="B3392" i="106" s="1"/>
  <c r="D3392" i="106" s="1"/>
  <c r="B3389" i="106"/>
  <c r="D3389" i="106" s="1"/>
  <c r="B5082" i="106"/>
  <c r="D5082" i="106" s="1"/>
  <c r="B1360" i="106"/>
  <c r="D1360" i="106" s="1"/>
  <c r="B7264" i="106"/>
  <c r="B5336" i="106"/>
  <c r="D5336" i="106" s="1"/>
  <c r="B619" i="106"/>
  <c r="D619" i="106" s="1"/>
  <c r="B6979" i="106"/>
  <c r="D6979" i="106" s="1"/>
  <c r="B6341" i="106"/>
  <c r="D6341" i="106" s="1"/>
  <c r="L57" i="29"/>
  <c r="K218" i="29"/>
  <c r="K229" i="29" s="1"/>
  <c r="B7075" i="106"/>
  <c r="D7075" i="106" s="1"/>
  <c r="F109" i="34"/>
  <c r="B5167" i="106"/>
  <c r="D5167" i="106" s="1"/>
  <c r="B4321" i="106"/>
  <c r="D4321" i="106" s="1"/>
  <c r="B1270" i="106"/>
  <c r="D1270" i="106" s="1"/>
  <c r="K146" i="29"/>
  <c r="B1285" i="106" s="1"/>
  <c r="D1285" i="106" s="1"/>
  <c r="B4805" i="106"/>
  <c r="D4805" i="106" s="1"/>
  <c r="K354" i="29"/>
  <c r="K357" i="29" s="1"/>
  <c r="B7791" i="106"/>
  <c r="D7791" i="106" s="1"/>
  <c r="H357" i="29"/>
  <c r="B7237" i="106" s="1"/>
  <c r="D7237" i="106" s="1"/>
  <c r="B6233" i="106"/>
  <c r="D6233" i="106" s="1"/>
  <c r="B7156" i="106"/>
  <c r="D7156" i="106" s="1"/>
  <c r="B5362" i="106"/>
  <c r="D5362" i="106" s="1"/>
  <c r="B4771" i="106"/>
  <c r="D4771" i="106" s="1"/>
  <c r="B4078" i="106"/>
  <c r="D4078" i="106" s="1"/>
  <c r="B780" i="106"/>
  <c r="D780" i="106" s="1"/>
  <c r="H310" i="29"/>
  <c r="B7115" i="106" s="1"/>
  <c r="D7115" i="106" s="1"/>
  <c r="B7106" i="106"/>
  <c r="D7106" i="106" s="1"/>
  <c r="B5068" i="106"/>
  <c r="D5068" i="106" s="1"/>
  <c r="K216" i="29"/>
  <c r="B7073" i="106"/>
  <c r="D7073" i="106" s="1"/>
  <c r="B6695" i="106"/>
  <c r="D6695" i="106" s="1"/>
  <c r="B6874" i="106"/>
  <c r="D6874" i="106" s="1"/>
  <c r="K64" i="29"/>
  <c r="D31" i="108" s="1"/>
  <c r="B743" i="106"/>
  <c r="D743" i="106" s="1"/>
  <c r="B7232" i="106"/>
  <c r="D7232" i="106" s="1"/>
  <c r="B4799" i="106"/>
  <c r="D4799" i="106" s="1"/>
  <c r="E34" i="3"/>
  <c r="B6127" i="106"/>
  <c r="D6127" i="106" s="1"/>
  <c r="E39" i="4"/>
  <c r="B6287" i="106" s="1"/>
  <c r="D6287" i="106" s="1"/>
  <c r="B6246" i="106"/>
  <c r="D6246" i="106" s="1"/>
  <c r="B6704" i="106"/>
  <c r="D6704" i="106" s="1"/>
  <c r="B7102" i="106"/>
  <c r="D7102" i="106" s="1"/>
  <c r="B923" i="106"/>
  <c r="D923" i="106" s="1"/>
  <c r="B6254" i="106"/>
  <c r="D6254" i="106" s="1"/>
  <c r="B6931" i="106"/>
  <c r="D6931" i="106" s="1"/>
  <c r="B7229" i="106"/>
  <c r="D7229" i="106" s="1"/>
  <c r="B7639" i="106"/>
  <c r="L160" i="29"/>
  <c r="B6716" i="106"/>
  <c r="D6716" i="106" s="1"/>
  <c r="B4806" i="106"/>
  <c r="D4806" i="106" s="1"/>
  <c r="G18" i="4"/>
  <c r="B4176" i="106" s="1"/>
  <c r="D4176" i="106" s="1"/>
  <c r="B4117" i="106"/>
  <c r="D4117" i="106" s="1"/>
  <c r="B6933" i="106"/>
  <c r="D6933" i="106" s="1"/>
  <c r="B6777" i="106"/>
  <c r="D6777" i="106" s="1"/>
  <c r="F151" i="34"/>
  <c r="B791" i="106"/>
  <c r="D791" i="106" s="1"/>
  <c r="B6361" i="106"/>
  <c r="D6361" i="106" s="1"/>
  <c r="B1244" i="106"/>
  <c r="D1244" i="106" s="1"/>
  <c r="I34" i="3"/>
  <c r="B2910" i="106" s="1"/>
  <c r="D2910" i="106" s="1"/>
  <c r="B6139" i="106"/>
  <c r="D6139" i="106" s="1"/>
  <c r="K138" i="29"/>
  <c r="B2094" i="106" s="1"/>
  <c r="D2094" i="106" s="1"/>
  <c r="B2092" i="106"/>
  <c r="D2092" i="106" s="1"/>
  <c r="B1038" i="106"/>
  <c r="D1038" i="106" s="1"/>
  <c r="B6159" i="106"/>
  <c r="D6159" i="106" s="1"/>
  <c r="B756" i="106"/>
  <c r="D756" i="106" s="1"/>
  <c r="K75" i="29"/>
  <c r="B6792" i="106"/>
  <c r="D6792" i="106" s="1"/>
  <c r="B6709" i="106"/>
  <c r="D6709" i="106" s="1"/>
  <c r="B6675" i="106"/>
  <c r="D6675" i="106" s="1"/>
  <c r="K309" i="29"/>
  <c r="B3717" i="106" s="1"/>
  <c r="D3717" i="106" s="1"/>
  <c r="B7112" i="106"/>
  <c r="D7112" i="106" s="1"/>
  <c r="B722" i="106"/>
  <c r="D722" i="106" s="1"/>
  <c r="K37" i="29"/>
  <c r="B1110" i="106" s="1"/>
  <c r="D1110" i="106" s="1"/>
  <c r="B6912" i="106"/>
  <c r="D6912" i="106" s="1"/>
  <c r="K236" i="29"/>
  <c r="B1479" i="106" s="1"/>
  <c r="D1479" i="106" s="1"/>
  <c r="B1415" i="106"/>
  <c r="D1415" i="106" s="1"/>
  <c r="B955" i="106"/>
  <c r="D955" i="106" s="1"/>
  <c r="C188" i="5"/>
  <c r="B4395" i="106" s="1"/>
  <c r="D4395" i="106" s="1"/>
  <c r="B5233" i="106"/>
  <c r="D5233" i="106" s="1"/>
  <c r="B6637" i="106"/>
  <c r="D6637" i="106" s="1"/>
  <c r="B928" i="106"/>
  <c r="D928" i="106" s="1"/>
  <c r="B7258" i="106"/>
  <c r="B4376" i="106"/>
  <c r="D4376" i="106" s="1"/>
  <c r="B4885" i="106"/>
  <c r="D4885" i="106" s="1"/>
  <c r="K135" i="29"/>
  <c r="B2987" i="106" s="1"/>
  <c r="D2987" i="106" s="1"/>
  <c r="B4200" i="106"/>
  <c r="D4200" i="106" s="1"/>
  <c r="B88" i="106"/>
  <c r="D88" i="106" s="1"/>
  <c r="B5604" i="106"/>
  <c r="D5604" i="106" s="1"/>
  <c r="B5095" i="106"/>
  <c r="D5095" i="106" s="1"/>
  <c r="B7259" i="106"/>
  <c r="B7169" i="106"/>
  <c r="D7169" i="106" s="1"/>
  <c r="B6710" i="106"/>
  <c r="D6710" i="106" s="1"/>
  <c r="B6364" i="106"/>
  <c r="D6364" i="106" s="1"/>
  <c r="B6404" i="106"/>
  <c r="D6404" i="106" s="1"/>
  <c r="B7265" i="106"/>
  <c r="B5353" i="106"/>
  <c r="D5353" i="106" s="1"/>
  <c r="L277" i="29"/>
  <c r="B4881" i="106"/>
  <c r="D4881" i="106" s="1"/>
  <c r="B896" i="106"/>
  <c r="D896" i="106" s="1"/>
  <c r="K96" i="29"/>
  <c r="B7003" i="106" s="1"/>
  <c r="D7003" i="106" s="1"/>
  <c r="B7002" i="106"/>
  <c r="D7002" i="106" s="1"/>
  <c r="B5994" i="106"/>
  <c r="D5994" i="106" s="1"/>
  <c r="B6376" i="106"/>
  <c r="D6376" i="106" s="1"/>
  <c r="B897" i="106"/>
  <c r="D897" i="106" s="1"/>
  <c r="B6082" i="106"/>
  <c r="D6082" i="106" s="1"/>
  <c r="B6091" i="106"/>
  <c r="D6091" i="106" s="1"/>
  <c r="B5919" i="106"/>
  <c r="D5919" i="106" s="1"/>
  <c r="I18" i="5"/>
  <c r="B5923" i="106" s="1"/>
  <c r="D5923" i="106" s="1"/>
  <c r="B72" i="106"/>
  <c r="D72" i="106" s="1"/>
  <c r="B7682" i="106"/>
  <c r="D7682" i="106" s="1"/>
  <c r="B5142" i="106"/>
  <c r="D5142" i="106" s="1"/>
  <c r="B6744" i="106"/>
  <c r="D6744" i="106" s="1"/>
  <c r="B179" i="106"/>
  <c r="D179" i="106" s="1"/>
  <c r="K215" i="29"/>
  <c r="B3390" i="106" s="1"/>
  <c r="D3390" i="106" s="1"/>
  <c r="B3387" i="106"/>
  <c r="D3387" i="106" s="1"/>
  <c r="D229" i="29"/>
  <c r="B6706" i="106"/>
  <c r="D6706" i="106" s="1"/>
  <c r="B5586" i="106"/>
  <c r="D5586" i="106" s="1"/>
  <c r="B5799" i="106"/>
  <c r="D5799" i="106" s="1"/>
  <c r="G209" i="5"/>
  <c r="B4414" i="106" s="1"/>
  <c r="D4414" i="106" s="1"/>
  <c r="B4343" i="106"/>
  <c r="D4343" i="106" s="1"/>
  <c r="B6890" i="106"/>
  <c r="D6890" i="106" s="1"/>
  <c r="K27" i="29"/>
  <c r="B6891" i="106" s="1"/>
  <c r="D6891" i="106" s="1"/>
  <c r="B1341" i="106"/>
  <c r="D1341" i="106" s="1"/>
  <c r="B6102" i="106"/>
  <c r="D6102" i="106" s="1"/>
  <c r="B5561" i="106"/>
  <c r="D5561" i="106" s="1"/>
  <c r="K256" i="29"/>
  <c r="B7098" i="106" s="1"/>
  <c r="D7098" i="106" s="1"/>
  <c r="B7097" i="106"/>
  <c r="D7097" i="106" s="1"/>
  <c r="B6162" i="106"/>
  <c r="D6162" i="106" s="1"/>
  <c r="B4864" i="106"/>
  <c r="D4864" i="106" s="1"/>
  <c r="B2762" i="106"/>
  <c r="D2762" i="106" s="1"/>
  <c r="B6326" i="106"/>
  <c r="D6326" i="106" s="1"/>
  <c r="B5922" i="106"/>
  <c r="D5922" i="106" s="1"/>
  <c r="K237" i="29"/>
  <c r="B1480" i="106" s="1"/>
  <c r="D1480" i="106" s="1"/>
  <c r="B1416" i="106"/>
  <c r="D1416" i="106" s="1"/>
  <c r="B6109" i="106"/>
  <c r="D6109" i="106" s="1"/>
  <c r="B6728" i="106"/>
  <c r="D6728" i="106" s="1"/>
  <c r="B4855" i="106"/>
  <c r="D4855" i="106" s="1"/>
  <c r="B5735" i="106"/>
  <c r="D5735" i="106" s="1"/>
  <c r="B6789" i="106"/>
  <c r="D6789" i="106" s="1"/>
  <c r="B4804" i="106"/>
  <c r="D4804" i="106" s="1"/>
  <c r="F181" i="5"/>
  <c r="B5658" i="106" s="1"/>
  <c r="D5658" i="106" s="1"/>
  <c r="B7121" i="106"/>
  <c r="D7121" i="106" s="1"/>
  <c r="F330" i="29"/>
  <c r="B7031" i="106"/>
  <c r="D7031" i="106" s="1"/>
  <c r="B822" i="106"/>
  <c r="D822" i="106" s="1"/>
  <c r="B6251" i="106"/>
  <c r="D6251" i="106" s="1"/>
  <c r="B3058" i="106"/>
  <c r="D3058" i="106" s="1"/>
  <c r="B3427" i="106"/>
  <c r="D3427" i="106" s="1"/>
  <c r="I13" i="3"/>
  <c r="B2888" i="106" s="1"/>
  <c r="D2888" i="106" s="1"/>
  <c r="D40" i="36"/>
  <c r="B968" i="106"/>
  <c r="D968" i="106" s="1"/>
  <c r="B6743" i="106"/>
  <c r="D6743" i="106" s="1"/>
  <c r="B1016" i="106"/>
  <c r="D1016" i="106" s="1"/>
  <c r="K8" i="29"/>
  <c r="B3380" i="106" s="1"/>
  <c r="D3380" i="106" s="1"/>
  <c r="B3366" i="106"/>
  <c r="D3366" i="106" s="1"/>
  <c r="B6760" i="106"/>
  <c r="D6760" i="106" s="1"/>
  <c r="B6081" i="106"/>
  <c r="D6081" i="106" s="1"/>
  <c r="B6362" i="106"/>
  <c r="D6362" i="106" s="1"/>
  <c r="B3368" i="106"/>
  <c r="D3368" i="106" s="1"/>
  <c r="B6816" i="106"/>
  <c r="D6816" i="106" s="1"/>
  <c r="B5627" i="106"/>
  <c r="D5627" i="106" s="1"/>
  <c r="B5584" i="106"/>
  <c r="D5584" i="106" s="1"/>
  <c r="B1449" i="106"/>
  <c r="D1449" i="106" s="1"/>
  <c r="K288" i="29"/>
  <c r="H293" i="29"/>
  <c r="B1452" i="106" s="1"/>
  <c r="D1452" i="106" s="1"/>
  <c r="B5872" i="106"/>
  <c r="D5872" i="106" s="1"/>
  <c r="B981" i="106"/>
  <c r="D981" i="106" s="1"/>
  <c r="B4364" i="106"/>
  <c r="D4364" i="106" s="1"/>
  <c r="E175" i="5"/>
  <c r="B4372" i="106" s="1"/>
  <c r="D4372" i="106" s="1"/>
  <c r="B988" i="106"/>
  <c r="D988" i="106" s="1"/>
  <c r="B784" i="106"/>
  <c r="D784" i="106" s="1"/>
  <c r="B5317" i="106"/>
  <c r="D5317" i="106" s="1"/>
  <c r="F164" i="34"/>
  <c r="B7871" i="106" s="1"/>
  <c r="D7871" i="106" s="1"/>
  <c r="B4370" i="106"/>
  <c r="D4370" i="106" s="1"/>
  <c r="B7657" i="106"/>
  <c r="D7657" i="106" s="1"/>
  <c r="B5175" i="106"/>
  <c r="D5175" i="106" s="1"/>
  <c r="C155" i="5"/>
  <c r="B5178" i="106" s="1"/>
  <c r="D5178" i="106" s="1"/>
  <c r="B7178" i="106"/>
  <c r="D7178" i="106" s="1"/>
  <c r="B6929" i="106"/>
  <c r="D6929" i="106" s="1"/>
  <c r="B793" i="106"/>
  <c r="D793" i="106" s="1"/>
  <c r="D57" i="29"/>
  <c r="B795" i="106" s="1"/>
  <c r="D795" i="106" s="1"/>
  <c r="K163" i="29"/>
  <c r="B1324" i="106" s="1"/>
  <c r="D1324" i="106" s="1"/>
  <c r="H168" i="29"/>
  <c r="B1314" i="106" s="1"/>
  <c r="D1314" i="106" s="1"/>
  <c r="B1310" i="106"/>
  <c r="D1310" i="106" s="1"/>
  <c r="B4421" i="106"/>
  <c r="D4421" i="106" s="1"/>
  <c r="B6360" i="106"/>
  <c r="D6360" i="106" s="1"/>
  <c r="B2800" i="106"/>
  <c r="D2800" i="106" s="1"/>
  <c r="B6754" i="106"/>
  <c r="D6754" i="106" s="1"/>
  <c r="B6372" i="106"/>
  <c r="D6372" i="106" s="1"/>
  <c r="I169" i="5"/>
  <c r="B4363" i="106" s="1"/>
  <c r="D4363" i="106" s="1"/>
  <c r="B5823" i="106"/>
  <c r="D5823" i="106" s="1"/>
  <c r="B4417" i="106"/>
  <c r="D4417" i="106" s="1"/>
  <c r="B6954" i="106"/>
  <c r="D6954" i="106" s="1"/>
  <c r="B5312" i="106"/>
  <c r="D5312" i="106" s="1"/>
  <c r="F161" i="34"/>
  <c r="B7868" i="106" s="1"/>
  <c r="D7868" i="106" s="1"/>
  <c r="B6176" i="106"/>
  <c r="D6176" i="106" s="1"/>
  <c r="B4920" i="106"/>
  <c r="D4920" i="106" s="1"/>
  <c r="K73" i="29"/>
  <c r="B1142" i="106" s="1"/>
  <c r="D1142" i="106" s="1"/>
  <c r="B754" i="106"/>
  <c r="D754" i="106" s="1"/>
  <c r="B6753" i="106"/>
  <c r="D6753" i="106" s="1"/>
  <c r="F148" i="34"/>
  <c r="B5084" i="106"/>
  <c r="D5084" i="106" s="1"/>
  <c r="L184" i="29"/>
  <c r="B6247" i="106"/>
  <c r="D6247" i="106" s="1"/>
  <c r="K22" i="29"/>
  <c r="B6881" i="106" s="1"/>
  <c r="D6881" i="106" s="1"/>
  <c r="B6880" i="106"/>
  <c r="D6880" i="106" s="1"/>
  <c r="B6936" i="106"/>
  <c r="D6936" i="106" s="1"/>
  <c r="D261" i="29"/>
  <c r="B1427" i="106" s="1"/>
  <c r="D1427" i="106" s="1"/>
  <c r="K259" i="29"/>
  <c r="B1489" i="106" s="1"/>
  <c r="D1489" i="106" s="1"/>
  <c r="B1425" i="106"/>
  <c r="D1425" i="106" s="1"/>
  <c r="G44" i="4"/>
  <c r="B3258" i="106" s="1"/>
  <c r="D3258" i="106" s="1"/>
  <c r="B7752" i="106"/>
  <c r="D7752" i="106" s="1"/>
  <c r="B5224" i="106"/>
  <c r="D5224" i="106" s="1"/>
  <c r="C175" i="5"/>
  <c r="B5225" i="106" s="1"/>
  <c r="D5225" i="106" s="1"/>
  <c r="B6913" i="106"/>
  <c r="D6913" i="106" s="1"/>
  <c r="B6776" i="106"/>
  <c r="D6776" i="106" s="1"/>
  <c r="B7174" i="106"/>
  <c r="D7174" i="106" s="1"/>
  <c r="B5696" i="106"/>
  <c r="D5696" i="106" s="1"/>
  <c r="B6824" i="106"/>
  <c r="D6824" i="106" s="1"/>
  <c r="B7256" i="106"/>
  <c r="B7036" i="106"/>
  <c r="D7036" i="106" s="1"/>
  <c r="B7028" i="106"/>
  <c r="D7028" i="106" s="1"/>
  <c r="B6138" i="106"/>
  <c r="D6138" i="106" s="1"/>
  <c r="B903" i="106"/>
  <c r="D903" i="106" s="1"/>
  <c r="K363" i="29"/>
  <c r="B7241" i="106" s="1"/>
  <c r="D7241" i="106" s="1"/>
  <c r="B7240" i="106"/>
  <c r="D7240" i="106" s="1"/>
  <c r="B3533" i="106"/>
  <c r="D3533" i="106" s="1"/>
  <c r="B6621" i="106"/>
  <c r="D6621" i="106" s="1"/>
  <c r="K252" i="5"/>
  <c r="K266" i="5" s="1"/>
  <c r="B4442" i="106" s="1"/>
  <c r="D4442" i="106" s="1"/>
  <c r="K226" i="29"/>
  <c r="B7080" i="106" s="1"/>
  <c r="D7080" i="106" s="1"/>
  <c r="B7079" i="106"/>
  <c r="D7079" i="106" s="1"/>
  <c r="B7661" i="106"/>
  <c r="D7661" i="106" s="1"/>
  <c r="B6408" i="106"/>
  <c r="D6408" i="106" s="1"/>
  <c r="B906" i="106"/>
  <c r="D906" i="106" s="1"/>
  <c r="F53" i="29"/>
  <c r="B908" i="106" s="1"/>
  <c r="D908" i="106" s="1"/>
  <c r="B7043" i="106"/>
  <c r="D7043" i="106" s="1"/>
  <c r="B4365" i="106"/>
  <c r="D4365" i="106" s="1"/>
  <c r="H175" i="5"/>
  <c r="B4950" i="106" s="1"/>
  <c r="D4950" i="106" s="1"/>
  <c r="B6969" i="106"/>
  <c r="D6969" i="106" s="1"/>
  <c r="B6331" i="106"/>
  <c r="D6331" i="106" s="1"/>
  <c r="F44" i="4"/>
  <c r="B3252" i="106" s="1"/>
  <c r="D3252" i="106" s="1"/>
  <c r="B7751" i="106"/>
  <c r="D7751" i="106" s="1"/>
  <c r="B6158" i="106"/>
  <c r="D6158" i="106" s="1"/>
  <c r="B117" i="106"/>
  <c r="D117" i="106" s="1"/>
  <c r="B6987" i="106"/>
  <c r="D6987" i="106" s="1"/>
  <c r="K88" i="29"/>
  <c r="B6988" i="106" s="1"/>
  <c r="D6988" i="106" s="1"/>
  <c r="D12" i="171"/>
  <c r="B5123" i="106"/>
  <c r="D5123" i="106" s="1"/>
  <c r="B7675" i="106"/>
  <c r="D7675" i="106" s="1"/>
  <c r="B164" i="106"/>
  <c r="D164" i="106" s="1"/>
  <c r="B5509" i="106"/>
  <c r="D5509" i="106" s="1"/>
  <c r="E12" i="5"/>
  <c r="B5513" i="106" s="1"/>
  <c r="D5513" i="106" s="1"/>
  <c r="B6" i="7"/>
  <c r="D6" i="7" s="1"/>
  <c r="B1762" i="106" s="1"/>
  <c r="D1762" i="106" s="1"/>
  <c r="B6732" i="106"/>
  <c r="D6732" i="106" s="1"/>
  <c r="B741" i="106"/>
  <c r="D741" i="106" s="1"/>
  <c r="K62" i="29"/>
  <c r="B1129" i="106" s="1"/>
  <c r="D1129" i="106" s="1"/>
  <c r="B3297" i="106"/>
  <c r="D3297" i="106" s="1"/>
  <c r="B4922" i="106"/>
  <c r="D4922" i="106" s="1"/>
  <c r="B7024" i="106"/>
  <c r="D7024" i="106" s="1"/>
  <c r="I127" i="29"/>
  <c r="B7033" i="106" s="1"/>
  <c r="D7033" i="106" s="1"/>
  <c r="B809" i="106"/>
  <c r="D809" i="106" s="1"/>
  <c r="J175" i="5"/>
  <c r="B6400" i="106" s="1"/>
  <c r="D6400" i="106" s="1"/>
  <c r="B6398" i="106"/>
  <c r="D6398" i="106" s="1"/>
  <c r="B975" i="106"/>
  <c r="D975" i="106" s="1"/>
  <c r="B6092" i="106"/>
  <c r="D6092" i="106" s="1"/>
  <c r="K328" i="29"/>
  <c r="B7688" i="106"/>
  <c r="D7688" i="106" s="1"/>
  <c r="B7113" i="106"/>
  <c r="D7113" i="106" s="1"/>
  <c r="B958" i="106"/>
  <c r="D958" i="106" s="1"/>
  <c r="B5135" i="106"/>
  <c r="D5135" i="106" s="1"/>
  <c r="L100" i="29"/>
  <c r="B5065" i="106"/>
  <c r="D5065" i="106" s="1"/>
  <c r="B18" i="7"/>
  <c r="B4103" i="106" s="1"/>
  <c r="D4103" i="106" s="1"/>
  <c r="B500" i="106"/>
  <c r="D500" i="106" s="1"/>
  <c r="B6175" i="106"/>
  <c r="D6175" i="106" s="1"/>
  <c r="B7122" i="106"/>
  <c r="D7122" i="106" s="1"/>
  <c r="G330" i="29"/>
  <c r="B7203" i="106" s="1"/>
  <c r="D7203" i="106" s="1"/>
  <c r="B728" i="106"/>
  <c r="D728" i="106" s="1"/>
  <c r="K44" i="29"/>
  <c r="C47" i="29"/>
  <c r="B731" i="106" s="1"/>
  <c r="D731" i="106" s="1"/>
  <c r="B5153" i="106"/>
  <c r="D5153" i="106" s="1"/>
  <c r="B6811" i="106"/>
  <c r="D6811" i="106" s="1"/>
  <c r="B3580" i="106"/>
  <c r="D3580" i="106" s="1"/>
  <c r="B2757" i="106"/>
  <c r="D2757" i="106" s="1"/>
  <c r="D72" i="36"/>
  <c r="B872" i="106"/>
  <c r="D872" i="106" s="1"/>
  <c r="B4394" i="106"/>
  <c r="D4394" i="106" s="1"/>
  <c r="B5056" i="106"/>
  <c r="D5056" i="106" s="1"/>
  <c r="F116" i="34"/>
  <c r="B7850" i="106" s="1"/>
  <c r="D7850" i="106" s="1"/>
  <c r="B5375" i="106"/>
  <c r="D5375" i="106" s="1"/>
  <c r="B5755" i="106"/>
  <c r="D5755" i="106" s="1"/>
  <c r="B2880" i="106"/>
  <c r="D2880" i="106" s="1"/>
  <c r="B6291" i="106"/>
  <c r="D6291" i="106" s="1"/>
  <c r="B5577" i="106"/>
  <c r="D5577" i="106" s="1"/>
  <c r="F26" i="34"/>
  <c r="B5609" i="106"/>
  <c r="D5609" i="106" s="1"/>
  <c r="B5393" i="106"/>
  <c r="D5393" i="106" s="1"/>
  <c r="B6332" i="106"/>
  <c r="D6332" i="106" s="1"/>
  <c r="B7664" i="106"/>
  <c r="D7664" i="106" s="1"/>
  <c r="B5459" i="106"/>
  <c r="D5459" i="106" s="1"/>
  <c r="F32" i="34"/>
  <c r="B7825" i="106" s="1"/>
  <c r="D7825" i="106" s="1"/>
  <c r="B7196" i="106"/>
  <c r="D7196" i="106" s="1"/>
  <c r="B6867" i="106"/>
  <c r="D6867" i="106" s="1"/>
  <c r="B5692" i="106"/>
  <c r="D5692" i="106" s="1"/>
  <c r="B184" i="106"/>
  <c r="D184" i="106" s="1"/>
  <c r="B6293" i="106"/>
  <c r="D6293" i="106" s="1"/>
  <c r="C204" i="5"/>
  <c r="B5260" i="106" s="1"/>
  <c r="D5260" i="106" s="1"/>
  <c r="B5247" i="106"/>
  <c r="D5247" i="106" s="1"/>
  <c r="B5079" i="106"/>
  <c r="D5079" i="106" s="1"/>
  <c r="B4410" i="106"/>
  <c r="D4410" i="106" s="1"/>
  <c r="B152" i="106"/>
  <c r="D152" i="106" s="1"/>
  <c r="B6347" i="106"/>
  <c r="D6347" i="106" s="1"/>
  <c r="D13" i="3"/>
  <c r="B109" i="106" s="1"/>
  <c r="D109" i="106" s="1"/>
  <c r="B3414" i="106"/>
  <c r="D3414" i="106" s="1"/>
  <c r="D35" i="36"/>
  <c r="B5344" i="106"/>
  <c r="D5344" i="106" s="1"/>
  <c r="B4346" i="106"/>
  <c r="D4346" i="106" s="1"/>
  <c r="B7138" i="106"/>
  <c r="D7138" i="106" s="1"/>
  <c r="B6947" i="106"/>
  <c r="D6947" i="106" s="1"/>
  <c r="B6991" i="106"/>
  <c r="D6991" i="106" s="1"/>
  <c r="K90" i="29"/>
  <c r="B6992" i="106" s="1"/>
  <c r="D6992" i="106" s="1"/>
  <c r="G34" i="3"/>
  <c r="B188" i="106" s="1"/>
  <c r="D188" i="106" s="1"/>
  <c r="B6129" i="106"/>
  <c r="D6129" i="106" s="1"/>
  <c r="B6353" i="106"/>
  <c r="D6353" i="106" s="1"/>
  <c r="J122" i="5"/>
  <c r="B6357" i="106" s="1"/>
  <c r="D6357" i="106" s="1"/>
  <c r="B1232" i="106"/>
  <c r="D1232" i="106" s="1"/>
  <c r="B6177" i="106"/>
  <c r="D6177" i="106" s="1"/>
  <c r="K282" i="29"/>
  <c r="B7784" i="106" s="1"/>
  <c r="D7784" i="106" s="1"/>
  <c r="D285" i="29"/>
  <c r="B3722" i="106" s="1"/>
  <c r="D3722" i="106" s="1"/>
  <c r="B7783" i="106"/>
  <c r="D7783" i="106" s="1"/>
  <c r="B5139" i="106"/>
  <c r="D5139" i="106" s="1"/>
  <c r="B6094" i="106"/>
  <c r="D6094" i="106" s="1"/>
  <c r="B6098" i="106"/>
  <c r="D6098" i="106" s="1"/>
  <c r="B5081" i="106"/>
  <c r="D5081" i="106" s="1"/>
  <c r="B7815" i="106"/>
  <c r="D7815" i="106" s="1"/>
  <c r="B5874" i="106"/>
  <c r="D5874" i="106" s="1"/>
  <c r="H18" i="5"/>
  <c r="B5878" i="106" s="1"/>
  <c r="D5878" i="106" s="1"/>
  <c r="B7685" i="106"/>
  <c r="D7685" i="106" s="1"/>
  <c r="B3625" i="106"/>
  <c r="D3625" i="106" s="1"/>
  <c r="B5118" i="106"/>
  <c r="D5118" i="106" s="1"/>
  <c r="F105" i="34"/>
  <c r="B6698" i="106"/>
  <c r="D6698" i="106" s="1"/>
  <c r="L257" i="29"/>
  <c r="B6107" i="106"/>
  <c r="D6107" i="106" s="1"/>
  <c r="B6333" i="106"/>
  <c r="D6333" i="106" s="1"/>
  <c r="B4217" i="106"/>
  <c r="D4217" i="106" s="1"/>
  <c r="B6922" i="106"/>
  <c r="D6922" i="106" s="1"/>
  <c r="B6153" i="106"/>
  <c r="D6153" i="106" s="1"/>
  <c r="B6292" i="106"/>
  <c r="D6292" i="106" s="1"/>
  <c r="B5248" i="106"/>
  <c r="D5248" i="106" s="1"/>
  <c r="B5422" i="106"/>
  <c r="D5422" i="106" s="1"/>
  <c r="D175" i="5"/>
  <c r="B5423" i="106" s="1"/>
  <c r="D5423" i="106" s="1"/>
  <c r="B7175" i="106"/>
  <c r="D7175" i="106" s="1"/>
  <c r="B2996" i="106"/>
  <c r="D2996" i="106" s="1"/>
  <c r="B960" i="106"/>
  <c r="D960" i="106" s="1"/>
  <c r="G47" i="29"/>
  <c r="B963" i="106" s="1"/>
  <c r="D963" i="106" s="1"/>
  <c r="B5884" i="106"/>
  <c r="D5884" i="106" s="1"/>
  <c r="B4076" i="106"/>
  <c r="D4076" i="106" s="1"/>
  <c r="B3084" i="106"/>
  <c r="D3084" i="106" s="1"/>
  <c r="B6375" i="106"/>
  <c r="D6375" i="106" s="1"/>
  <c r="B5572" i="106"/>
  <c r="D5572" i="106" s="1"/>
  <c r="F90" i="34"/>
  <c r="B6219" i="106"/>
  <c r="D6219" i="106" s="1"/>
  <c r="B965" i="106"/>
  <c r="D965" i="106" s="1"/>
  <c r="B6622" i="106"/>
  <c r="D6622" i="106" s="1"/>
  <c r="F134" i="34"/>
  <c r="C34" i="3"/>
  <c r="B91" i="106" s="1"/>
  <c r="D91" i="106" s="1"/>
  <c r="B6125" i="106"/>
  <c r="D6125" i="106" s="1"/>
  <c r="B5230" i="106"/>
  <c r="D5230" i="106" s="1"/>
  <c r="C181" i="5"/>
  <c r="B5232" i="106" s="1"/>
  <c r="D5232" i="106" s="1"/>
  <c r="F123" i="34"/>
  <c r="B6365" i="106"/>
  <c r="D6365" i="106" s="1"/>
  <c r="K83" i="29"/>
  <c r="B2978" i="106" s="1"/>
  <c r="D2978" i="106" s="1"/>
  <c r="B2954" i="106"/>
  <c r="D2954" i="106" s="1"/>
  <c r="K123" i="29"/>
  <c r="B1220" i="106"/>
  <c r="D1220" i="106" s="1"/>
  <c r="B6635" i="106"/>
  <c r="D6635" i="106" s="1"/>
  <c r="B6631" i="106"/>
  <c r="D6631" i="106" s="1"/>
  <c r="B6149" i="106"/>
  <c r="D6149" i="106" s="1"/>
  <c r="B6819" i="106"/>
  <c r="D6819" i="106" s="1"/>
  <c r="K254" i="29"/>
  <c r="B7094" i="106" s="1"/>
  <c r="D7094" i="106" s="1"/>
  <c r="B7093" i="106"/>
  <c r="D7093" i="106" s="1"/>
  <c r="B6111" i="106"/>
  <c r="D6111" i="106" s="1"/>
  <c r="B6140" i="106"/>
  <c r="D6140" i="106" s="1"/>
  <c r="B1030" i="106"/>
  <c r="D1030" i="106" s="1"/>
  <c r="B6713" i="106"/>
  <c r="D6713" i="106" s="1"/>
  <c r="B5589" i="106"/>
  <c r="D5589" i="106" s="1"/>
  <c r="F114" i="5"/>
  <c r="B5592" i="106" s="1"/>
  <c r="D5592" i="106" s="1"/>
  <c r="B7026" i="106"/>
  <c r="D7026" i="106" s="1"/>
  <c r="B858" i="106"/>
  <c r="D858" i="106" s="1"/>
  <c r="B156" i="106"/>
  <c r="D156" i="106" s="1"/>
  <c r="B6300" i="106"/>
  <c r="D6300" i="106" s="1"/>
  <c r="B5565" i="106"/>
  <c r="D5565" i="106" s="1"/>
  <c r="F86" i="34"/>
  <c r="L285" i="29"/>
  <c r="B3230" i="106"/>
  <c r="D3230" i="106" s="1"/>
  <c r="B5331" i="106"/>
  <c r="D5331" i="106" s="1"/>
  <c r="B774" i="106"/>
  <c r="D774" i="106" s="1"/>
  <c r="F303" i="29"/>
  <c r="B1541" i="106" s="1"/>
  <c r="D1541" i="106" s="1"/>
  <c r="B1537" i="106"/>
  <c r="D1537" i="106" s="1"/>
  <c r="B7130" i="106"/>
  <c r="D7130" i="106" s="1"/>
  <c r="B4792" i="106"/>
  <c r="D4792" i="106" s="1"/>
  <c r="F122" i="34"/>
  <c r="B7855" i="106" s="1"/>
  <c r="D7855" i="106" s="1"/>
  <c r="B6886" i="106"/>
  <c r="D6886" i="106" s="1"/>
  <c r="K25" i="29"/>
  <c r="B6887" i="106" s="1"/>
  <c r="D6887" i="106" s="1"/>
  <c r="B3531" i="106"/>
  <c r="D3531" i="106" s="1"/>
  <c r="B6831" i="106"/>
  <c r="D6831" i="106" s="1"/>
  <c r="B7159" i="106"/>
  <c r="D7159" i="106" s="1"/>
  <c r="B1373" i="106"/>
  <c r="D1373" i="106" s="1"/>
  <c r="K203" i="29"/>
  <c r="B1385" i="106" s="1"/>
  <c r="D1385" i="106" s="1"/>
  <c r="B5498" i="106"/>
  <c r="D5498" i="106" s="1"/>
  <c r="B6907" i="106"/>
  <c r="D6907" i="106" s="1"/>
  <c r="B7128" i="106"/>
  <c r="D7128" i="106" s="1"/>
  <c r="B7147" i="106"/>
  <c r="D7147" i="106" s="1"/>
  <c r="B6348" i="106"/>
  <c r="D6348" i="106" s="1"/>
  <c r="B4351" i="106"/>
  <c r="D4351" i="106" s="1"/>
  <c r="F110" i="34"/>
  <c r="B7845" i="106" s="1"/>
  <c r="D7845" i="106" s="1"/>
  <c r="B7247" i="106"/>
  <c r="B3377" i="106"/>
  <c r="D3377" i="106" s="1"/>
  <c r="B6729" i="106"/>
  <c r="D6729" i="106" s="1"/>
  <c r="F146" i="34"/>
  <c r="B6239" i="106"/>
  <c r="D6239" i="106" s="1"/>
  <c r="J76" i="4"/>
  <c r="B6261" i="106" s="1"/>
  <c r="D6261" i="106" s="1"/>
  <c r="B733" i="106"/>
  <c r="D733" i="106" s="1"/>
  <c r="K50" i="29"/>
  <c r="E12" i="184" s="1"/>
  <c r="B2799" i="106"/>
  <c r="D2799" i="106" s="1"/>
  <c r="B749" i="106"/>
  <c r="D749" i="106" s="1"/>
  <c r="K70" i="29"/>
  <c r="B6832" i="106"/>
  <c r="D6832" i="106" s="1"/>
  <c r="B6658" i="106"/>
  <c r="D6658" i="106" s="1"/>
  <c r="B2801" i="106"/>
  <c r="D2801" i="106" s="1"/>
  <c r="B2957" i="106"/>
  <c r="D2957" i="106" s="1"/>
  <c r="B6756" i="106"/>
  <c r="D6756" i="106" s="1"/>
  <c r="B6717" i="106"/>
  <c r="D6717" i="106" s="1"/>
  <c r="B1525" i="106"/>
  <c r="D1525" i="106" s="1"/>
  <c r="D303" i="29"/>
  <c r="B1529" i="106" s="1"/>
  <c r="D1529" i="106" s="1"/>
  <c r="B2806" i="106"/>
  <c r="D2806" i="106" s="1"/>
  <c r="B4227" i="106"/>
  <c r="D4227" i="106" s="1"/>
  <c r="B6955" i="106"/>
  <c r="D6955" i="106" s="1"/>
  <c r="B6745" i="106"/>
  <c r="D6745" i="106" s="1"/>
  <c r="B6334" i="106"/>
  <c r="D6334" i="106" s="1"/>
  <c r="B6826" i="106"/>
  <c r="D6826" i="106" s="1"/>
  <c r="L84" i="29"/>
  <c r="B6852" i="106"/>
  <c r="D6852" i="106" s="1"/>
  <c r="B5991" i="106"/>
  <c r="D5991" i="106" s="1"/>
  <c r="B5494" i="106"/>
  <c r="D5494" i="106" s="1"/>
  <c r="F33" i="34"/>
  <c r="B7263" i="106"/>
  <c r="K17" i="29"/>
  <c r="B6871" i="106" s="1"/>
  <c r="D6871" i="106" s="1"/>
  <c r="B7212" i="106"/>
  <c r="D7212" i="106" s="1"/>
  <c r="K339" i="29"/>
  <c r="B7213" i="106" s="1"/>
  <c r="D7213" i="106" s="1"/>
  <c r="B716" i="106"/>
  <c r="D716" i="106" s="1"/>
  <c r="K12" i="29"/>
  <c r="B1104" i="106" s="1"/>
  <c r="D1104" i="106" s="1"/>
  <c r="B6822" i="106"/>
  <c r="D6822" i="106" s="1"/>
  <c r="K364" i="29"/>
  <c r="B7746" i="106" s="1"/>
  <c r="D7746" i="106" s="1"/>
  <c r="B7745" i="106"/>
  <c r="D7745" i="106" s="1"/>
  <c r="B1438" i="106"/>
  <c r="D1438" i="106" s="1"/>
  <c r="K273" i="29"/>
  <c r="B1502" i="106" s="1"/>
  <c r="D1502" i="106" s="1"/>
  <c r="B5791" i="106"/>
  <c r="D5791" i="106" s="1"/>
  <c r="B7663" i="106"/>
  <c r="D7663" i="106" s="1"/>
  <c r="B5511" i="106"/>
  <c r="D5511" i="106" s="1"/>
  <c r="B6687" i="106"/>
  <c r="D6687" i="106" s="1"/>
  <c r="B6966" i="106"/>
  <c r="D6966" i="106" s="1"/>
  <c r="I330" i="29"/>
  <c r="B7205" i="106" s="1"/>
  <c r="D7205" i="106" s="1"/>
  <c r="B7124" i="106"/>
  <c r="D7124" i="106" s="1"/>
  <c r="B5818" i="106"/>
  <c r="D5818" i="106" s="1"/>
  <c r="B4345" i="106"/>
  <c r="D4345" i="106" s="1"/>
  <c r="B6699" i="106"/>
  <c r="D6699" i="106" s="1"/>
  <c r="B7193" i="106"/>
  <c r="D7193" i="106" s="1"/>
  <c r="B5111" i="106"/>
  <c r="D5111" i="106" s="1"/>
  <c r="F101" i="34"/>
  <c r="B6260" i="106"/>
  <c r="D6260" i="106" s="1"/>
  <c r="B5114" i="106"/>
  <c r="D5114" i="106" s="1"/>
  <c r="B1009" i="106"/>
  <c r="D1009" i="106" s="1"/>
  <c r="B6115" i="106"/>
  <c r="D6115" i="106" s="1"/>
  <c r="B6868" i="106"/>
  <c r="D6868" i="106" s="1"/>
  <c r="L53" i="29"/>
  <c r="B202" i="106"/>
  <c r="D202" i="106" s="1"/>
  <c r="B6084" i="106"/>
  <c r="D6084" i="106" s="1"/>
  <c r="B1440" i="106"/>
  <c r="D1440" i="106" s="1"/>
  <c r="K275" i="29"/>
  <c r="B1504" i="106" s="1"/>
  <c r="D1504" i="106" s="1"/>
  <c r="B4366" i="106"/>
  <c r="D4366" i="106" s="1"/>
  <c r="I175" i="5"/>
  <c r="B4373" i="106" s="1"/>
  <c r="D4373" i="106" s="1"/>
  <c r="B6980" i="106"/>
  <c r="D6980" i="106" s="1"/>
  <c r="B6946" i="106"/>
  <c r="D6946" i="106" s="1"/>
  <c r="L261" i="29"/>
  <c r="B782" i="106"/>
  <c r="D782" i="106" s="1"/>
  <c r="B1552" i="106"/>
  <c r="D1552" i="106" s="1"/>
  <c r="B5108" i="106"/>
  <c r="D5108" i="106" s="1"/>
  <c r="B4793" i="106"/>
  <c r="D4793" i="106" s="1"/>
  <c r="B1023" i="106"/>
  <c r="D1023" i="106" s="1"/>
  <c r="K223" i="29"/>
  <c r="B1472" i="106" s="1"/>
  <c r="D1472" i="106" s="1"/>
  <c r="B1408" i="106"/>
  <c r="D1408" i="106" s="1"/>
  <c r="B1431" i="106"/>
  <c r="D1431" i="106" s="1"/>
  <c r="K266" i="29"/>
  <c r="B1495" i="106" s="1"/>
  <c r="D1495" i="106" s="1"/>
  <c r="K11" i="29"/>
  <c r="B6858" i="106" s="1"/>
  <c r="D6858" i="106" s="1"/>
  <c r="B7257" i="106"/>
  <c r="B7668" i="106"/>
  <c r="D7668" i="106" s="1"/>
  <c r="B7253" i="106"/>
  <c r="B7764" i="106"/>
  <c r="D7764" i="106" s="1"/>
  <c r="F94" i="34"/>
  <c r="L204" i="29"/>
  <c r="L208" i="29" s="1"/>
  <c r="B6970" i="106"/>
  <c r="D6970" i="106" s="1"/>
  <c r="B5664" i="106"/>
  <c r="D5664" i="106" s="1"/>
  <c r="F204" i="5"/>
  <c r="B5677" i="106" s="1"/>
  <c r="D5677" i="106" s="1"/>
  <c r="B6316" i="106"/>
  <c r="D6316" i="106" s="1"/>
  <c r="J67" i="5"/>
  <c r="B6318" i="106" s="1"/>
  <c r="D6318" i="106" s="1"/>
  <c r="B6625" i="106"/>
  <c r="D6625" i="106" s="1"/>
  <c r="K157" i="29"/>
  <c r="B7778" i="106" s="1"/>
  <c r="D7778" i="106" s="1"/>
  <c r="B7777" i="106"/>
  <c r="D7777" i="106" s="1"/>
  <c r="H160" i="29"/>
  <c r="B7053" i="106" s="1"/>
  <c r="D7053" i="106" s="1"/>
  <c r="B5738" i="106"/>
  <c r="D5738" i="106" s="1"/>
  <c r="G114" i="5"/>
  <c r="B5741" i="106" s="1"/>
  <c r="D5741" i="106" s="1"/>
  <c r="B6188" i="106"/>
  <c r="D6188" i="106" s="1"/>
  <c r="B6649" i="106"/>
  <c r="D6649" i="106" s="1"/>
  <c r="B1366" i="106"/>
  <c r="D1366" i="106" s="1"/>
  <c r="B6619" i="106"/>
  <c r="D6619" i="106" s="1"/>
  <c r="H252" i="5"/>
  <c r="H266" i="5" s="1"/>
  <c r="B4441" i="106" s="1"/>
  <c r="D4441" i="106" s="1"/>
  <c r="B739" i="106"/>
  <c r="D739" i="106" s="1"/>
  <c r="K60" i="29"/>
  <c r="D27" i="108" s="1"/>
  <c r="B6402" i="106"/>
  <c r="D6402" i="106" s="1"/>
  <c r="G198" i="5"/>
  <c r="B6409" i="106" s="1"/>
  <c r="D6409" i="106" s="1"/>
  <c r="B6157" i="106"/>
  <c r="D6157" i="106" s="1"/>
  <c r="B6944" i="106"/>
  <c r="D6944" i="106" s="1"/>
  <c r="I57" i="29"/>
  <c r="B6948" i="106" s="1"/>
  <c r="D6948" i="106" s="1"/>
  <c r="B7109" i="106"/>
  <c r="D7109" i="106" s="1"/>
  <c r="B1371" i="106"/>
  <c r="D1371" i="106" s="1"/>
  <c r="K199" i="29"/>
  <c r="B1383" i="106" s="1"/>
  <c r="D1383" i="106" s="1"/>
  <c r="H204" i="29"/>
  <c r="H208" i="29" s="1"/>
  <c r="B1375" i="106" s="1"/>
  <c r="D1375" i="106" s="1"/>
  <c r="B6669" i="106"/>
  <c r="D6669" i="106" s="1"/>
  <c r="L194" i="29"/>
  <c r="L196" i="29" s="1"/>
  <c r="B6616" i="106"/>
  <c r="D6616" i="106" s="1"/>
  <c r="E252" i="5"/>
  <c r="B5885" i="106"/>
  <c r="D5885" i="106" s="1"/>
  <c r="B2959" i="106"/>
  <c r="D2959" i="106" s="1"/>
  <c r="G350" i="29"/>
  <c r="G352" i="29" s="1"/>
  <c r="B3649" i="106" s="1"/>
  <c r="D3649" i="106" s="1"/>
  <c r="B3645" i="106"/>
  <c r="D3645" i="106" s="1"/>
  <c r="B7262" i="106"/>
  <c r="C13" i="3"/>
  <c r="B77" i="106" s="1"/>
  <c r="D77" i="106" s="1"/>
  <c r="B3411" i="106"/>
  <c r="D3411" i="106" s="1"/>
  <c r="H24" i="118"/>
  <c r="D34" i="36"/>
  <c r="B5070" i="106"/>
  <c r="D5070" i="106" s="1"/>
  <c r="L350" i="29"/>
  <c r="L352" i="29" s="1"/>
  <c r="L334" i="29"/>
  <c r="B6751" i="106"/>
  <c r="D6751" i="106" s="1"/>
  <c r="B7177" i="106"/>
  <c r="D7177" i="106" s="1"/>
  <c r="B857" i="106"/>
  <c r="D857" i="106" s="1"/>
  <c r="K291" i="29"/>
  <c r="B2846" i="106" s="1"/>
  <c r="D2846" i="106" s="1"/>
  <c r="B2844" i="106"/>
  <c r="D2844" i="106" s="1"/>
  <c r="B907" i="106"/>
  <c r="D907" i="106" s="1"/>
  <c r="B6142" i="106"/>
  <c r="D6142" i="106" s="1"/>
  <c r="E42" i="29"/>
  <c r="B843" i="106" s="1"/>
  <c r="D843" i="106" s="1"/>
  <c r="B837" i="106"/>
  <c r="D837" i="106" s="1"/>
  <c r="B986" i="106"/>
  <c r="D986" i="106" s="1"/>
  <c r="B1245" i="106"/>
  <c r="D1245" i="106" s="1"/>
  <c r="B2832" i="106"/>
  <c r="D2832" i="106" s="1"/>
  <c r="K202" i="29"/>
  <c r="B6311" i="106"/>
  <c r="D6311" i="106" s="1"/>
  <c r="B6325" i="106"/>
  <c r="D6325" i="106" s="1"/>
  <c r="B864" i="106"/>
  <c r="D864" i="106" s="1"/>
  <c r="B6714" i="106"/>
  <c r="D6714" i="106" s="1"/>
  <c r="B4418" i="106"/>
  <c r="D4418" i="106" s="1"/>
  <c r="F165" i="34"/>
  <c r="B7872" i="106" s="1"/>
  <c r="D7872" i="106" s="1"/>
  <c r="B937" i="106"/>
  <c r="D937" i="106" s="1"/>
  <c r="G33" i="29"/>
  <c r="B952" i="106" s="1"/>
  <c r="D952" i="106" s="1"/>
  <c r="B5097" i="106"/>
  <c r="D5097" i="106" s="1"/>
  <c r="C82" i="5"/>
  <c r="B5102" i="106" s="1"/>
  <c r="D5102" i="106" s="1"/>
  <c r="B5075" i="106"/>
  <c r="D5075" i="106" s="1"/>
  <c r="B6873" i="106"/>
  <c r="D6873" i="106" s="1"/>
  <c r="B7176" i="106"/>
  <c r="D7176" i="106" s="1"/>
  <c r="F72" i="29"/>
  <c r="B927" i="106" s="1"/>
  <c r="D927" i="106" s="1"/>
  <c r="B920" i="106"/>
  <c r="D920" i="106" s="1"/>
  <c r="K191" i="29"/>
  <c r="B3010" i="106" s="1"/>
  <c r="D3010" i="106" s="1"/>
  <c r="B2992" i="106"/>
  <c r="D2992" i="106" s="1"/>
  <c r="E13" i="3"/>
  <c r="B131" i="106" s="1"/>
  <c r="D131" i="106" s="1"/>
  <c r="B3417" i="106"/>
  <c r="D3417" i="106" s="1"/>
  <c r="D36" i="36"/>
  <c r="B6945" i="106"/>
  <c r="D6945" i="106" s="1"/>
  <c r="J57" i="29"/>
  <c r="B6949" i="106" s="1"/>
  <c r="D6949" i="106" s="1"/>
  <c r="B2993" i="106"/>
  <c r="D2993" i="106" s="1"/>
  <c r="K192" i="29"/>
  <c r="B3011" i="106" s="1"/>
  <c r="D3011" i="106" s="1"/>
  <c r="K24" i="29"/>
  <c r="B6884" i="106"/>
  <c r="D6884" i="106" s="1"/>
  <c r="B6620" i="106"/>
  <c r="D6620" i="106" s="1"/>
  <c r="J252" i="5"/>
  <c r="J266" i="5" s="1"/>
  <c r="B7041" i="106" s="1"/>
  <c r="D7041" i="106" s="1"/>
  <c r="B5113" i="106"/>
  <c r="D5113" i="106" s="1"/>
  <c r="C108" i="5"/>
  <c r="B5120" i="106" s="1"/>
  <c r="D5120" i="106" s="1"/>
  <c r="F102" i="34"/>
  <c r="B7839" i="106" s="1"/>
  <c r="D7839" i="106" s="1"/>
  <c r="B1228" i="106"/>
  <c r="D1228" i="106" s="1"/>
  <c r="B5858" i="106"/>
  <c r="D5858" i="106" s="1"/>
  <c r="B6928" i="106"/>
  <c r="D6928" i="106" s="1"/>
  <c r="B5578" i="106"/>
  <c r="D5578" i="106" s="1"/>
  <c r="F27" i="34"/>
  <c r="B1411" i="106"/>
  <c r="D1411" i="106" s="1"/>
  <c r="K232" i="29"/>
  <c r="D238" i="29"/>
  <c r="B1417" i="106" s="1"/>
  <c r="D1417" i="106" s="1"/>
  <c r="B324" i="106"/>
  <c r="D324" i="106" s="1"/>
  <c r="B848" i="106"/>
  <c r="D848" i="106" s="1"/>
  <c r="E53" i="29"/>
  <c r="B850" i="106" s="1"/>
  <c r="D850" i="106" s="1"/>
  <c r="B5723" i="106"/>
  <c r="D5723" i="106" s="1"/>
  <c r="B16" i="7"/>
  <c r="B3446" i="106" s="1"/>
  <c r="D3446" i="106" s="1"/>
  <c r="B5194" i="106"/>
  <c r="D5194" i="106" s="1"/>
  <c r="F115" i="34"/>
  <c r="B7849" i="106" s="1"/>
  <c r="D7849" i="106" s="1"/>
  <c r="B6749" i="106"/>
  <c r="D6749" i="106" s="1"/>
  <c r="B6343" i="106"/>
  <c r="D6343" i="106" s="1"/>
  <c r="B6116" i="106"/>
  <c r="D6116" i="106" s="1"/>
  <c r="B7812" i="106"/>
  <c r="D7812" i="106" s="1"/>
  <c r="B3080" i="106"/>
  <c r="D3080" i="106" s="1"/>
  <c r="B4852" i="106"/>
  <c r="D4852" i="106" s="1"/>
  <c r="F171" i="34"/>
  <c r="B7876" i="106" s="1"/>
  <c r="D7876" i="106" s="1"/>
  <c r="B6170" i="106"/>
  <c r="D6170" i="106" s="1"/>
  <c r="B5659" i="106"/>
  <c r="D5659" i="106" s="1"/>
  <c r="F188" i="5"/>
  <c r="B4397" i="106" s="1"/>
  <c r="D4397" i="106" s="1"/>
  <c r="B6752" i="106"/>
  <c r="D6752" i="106" s="1"/>
  <c r="B7659" i="106"/>
  <c r="D7659" i="106" s="1"/>
  <c r="B7233" i="106"/>
  <c r="D7233" i="106" s="1"/>
  <c r="B6971" i="106"/>
  <c r="D6971" i="106" s="1"/>
  <c r="B4352" i="106"/>
  <c r="D4352" i="106" s="1"/>
  <c r="B618" i="106"/>
  <c r="D618" i="106" s="1"/>
  <c r="B4333" i="106"/>
  <c r="D4333" i="106" s="1"/>
  <c r="B5739" i="106"/>
  <c r="D5739" i="106" s="1"/>
  <c r="F127" i="29"/>
  <c r="B1243" i="106"/>
  <c r="D1243" i="106" s="1"/>
  <c r="B6762" i="106"/>
  <c r="D6762" i="106" s="1"/>
  <c r="B5110" i="106"/>
  <c r="D5110" i="106" s="1"/>
  <c r="F100" i="34"/>
  <c r="C44" i="4"/>
  <c r="I47" i="4"/>
  <c r="B2105" i="106" s="1"/>
  <c r="D2105" i="106" s="1"/>
  <c r="B7748" i="106"/>
  <c r="D7748" i="106" s="1"/>
  <c r="K348" i="29"/>
  <c r="B3668" i="106" s="1"/>
  <c r="D3668" i="106" s="1"/>
  <c r="B3617" i="106"/>
  <c r="D3617" i="106" s="1"/>
  <c r="C350" i="29"/>
  <c r="B3619" i="106" s="1"/>
  <c r="D3619" i="106" s="1"/>
  <c r="B7119" i="106"/>
  <c r="D7119" i="106" s="1"/>
  <c r="D330" i="29"/>
  <c r="B7009" i="106"/>
  <c r="D7009" i="106" s="1"/>
  <c r="B4379" i="106"/>
  <c r="D4379" i="106" s="1"/>
  <c r="B7695" i="106"/>
  <c r="D7695" i="106" s="1"/>
  <c r="B5757" i="106"/>
  <c r="D5757" i="106" s="1"/>
  <c r="G65" i="29"/>
  <c r="B977" i="106" s="1"/>
  <c r="D977" i="106" s="1"/>
  <c r="B970" i="106"/>
  <c r="D970" i="106" s="1"/>
  <c r="B6863" i="106"/>
  <c r="D6863" i="106" s="1"/>
  <c r="B5986" i="106"/>
  <c r="D5986" i="106" s="1"/>
  <c r="B6086" i="106"/>
  <c r="D6086" i="106" s="1"/>
  <c r="B4378" i="106"/>
  <c r="D4378" i="106" s="1"/>
  <c r="B6307" i="106"/>
  <c r="D6307" i="106" s="1"/>
  <c r="K247" i="29"/>
  <c r="B2726" i="106" s="1"/>
  <c r="D2726" i="106" s="1"/>
  <c r="B2725" i="106"/>
  <c r="D2725" i="106" s="1"/>
  <c r="B7674" i="106"/>
  <c r="D7674" i="106" s="1"/>
  <c r="B4407" i="106"/>
  <c r="D4407" i="106" s="1"/>
  <c r="B7811" i="106"/>
  <c r="D7811" i="106" s="1"/>
  <c r="B7161" i="106"/>
  <c r="D7161" i="106" s="1"/>
  <c r="B1372" i="106"/>
  <c r="D1372" i="106" s="1"/>
  <c r="K200" i="29"/>
  <c r="B1384" i="106" s="1"/>
  <c r="D1384" i="106" s="1"/>
  <c r="B5665" i="106"/>
  <c r="D5665" i="106" s="1"/>
  <c r="B6143" i="106"/>
  <c r="D6143" i="106" s="1"/>
  <c r="B2766" i="106"/>
  <c r="D2766" i="106" s="1"/>
  <c r="L303" i="29"/>
  <c r="B3548" i="106"/>
  <c r="D3548" i="106" s="1"/>
  <c r="K13" i="3"/>
  <c r="B3552" i="106" s="1"/>
  <c r="D3552" i="106" s="1"/>
  <c r="B751" i="106"/>
  <c r="D751" i="106" s="1"/>
  <c r="K71" i="29"/>
  <c r="B1139" i="106" s="1"/>
  <c r="D1139" i="106" s="1"/>
  <c r="D17" i="171"/>
  <c r="B4362" i="106"/>
  <c r="D4362" i="106" s="1"/>
  <c r="F170" i="34"/>
  <c r="B7875" i="106" s="1"/>
  <c r="D7875" i="106" s="1"/>
  <c r="B6244" i="106"/>
  <c r="D6244" i="106" s="1"/>
  <c r="B6182" i="106"/>
  <c r="D6182" i="106" s="1"/>
  <c r="B7022" i="106"/>
  <c r="D7022" i="106" s="1"/>
  <c r="B6691" i="106"/>
  <c r="D6691" i="106" s="1"/>
  <c r="B7157" i="106"/>
  <c r="D7157" i="106" s="1"/>
  <c r="B3648" i="106"/>
  <c r="D3648" i="106" s="1"/>
  <c r="B6932" i="106"/>
  <c r="D6932" i="106" s="1"/>
  <c r="K52" i="29"/>
  <c r="B6940" i="106" s="1"/>
  <c r="D6940" i="106" s="1"/>
  <c r="C75" i="5"/>
  <c r="F95" i="34" s="1"/>
  <c r="B6031" i="106"/>
  <c r="D6031" i="106" s="1"/>
  <c r="B5391" i="106"/>
  <c r="D5391" i="106" s="1"/>
  <c r="D155" i="5"/>
  <c r="B5394" i="106" s="1"/>
  <c r="D5394" i="106" s="1"/>
  <c r="B776" i="106"/>
  <c r="D776" i="106" s="1"/>
  <c r="K19" i="29"/>
  <c r="B3381" i="106" s="1"/>
  <c r="D3381" i="106" s="1"/>
  <c r="B3367" i="106"/>
  <c r="D3367" i="106" s="1"/>
  <c r="B7684" i="106"/>
  <c r="D7684" i="106" s="1"/>
  <c r="B6726" i="106"/>
  <c r="D6726" i="106" s="1"/>
  <c r="B7132" i="106"/>
  <c r="D7132" i="106" s="1"/>
  <c r="B910" i="106"/>
  <c r="D910" i="106" s="1"/>
  <c r="B4416" i="106"/>
  <c r="D4416" i="106" s="1"/>
  <c r="B3492" i="106"/>
  <c r="D3492" i="106" s="1"/>
  <c r="B7694" i="106"/>
  <c r="D7694" i="106" s="1"/>
  <c r="B4916" i="106"/>
  <c r="D4916" i="106" s="1"/>
  <c r="B6765" i="106"/>
  <c r="D6765" i="106" s="1"/>
  <c r="F145" i="34"/>
  <c r="B6720" i="106"/>
  <c r="D6720" i="106" s="1"/>
  <c r="K97" i="29"/>
  <c r="B7005" i="106" s="1"/>
  <c r="D7005" i="106" s="1"/>
  <c r="B7004" i="106"/>
  <c r="D7004" i="106" s="1"/>
  <c r="B6368" i="106"/>
  <c r="D6368" i="106" s="1"/>
  <c r="E169" i="5"/>
  <c r="E170" i="5" s="1"/>
  <c r="B6693" i="106"/>
  <c r="D6693" i="106" s="1"/>
  <c r="B4316" i="106"/>
  <c r="D4316" i="106" s="1"/>
  <c r="B6827" i="106"/>
  <c r="D6827" i="106" s="1"/>
  <c r="B5091" i="106"/>
  <c r="D5091" i="106" s="1"/>
  <c r="K98" i="29"/>
  <c r="B7007" i="106" s="1"/>
  <c r="D7007" i="106" s="1"/>
  <c r="B7006" i="106"/>
  <c r="D7006" i="106" s="1"/>
  <c r="B2723" i="106"/>
  <c r="D2723" i="106" s="1"/>
  <c r="B5255" i="106"/>
  <c r="D5255" i="106" s="1"/>
  <c r="B5602" i="106"/>
  <c r="D5602" i="106" s="1"/>
  <c r="B7123" i="106"/>
  <c r="D7123" i="106" s="1"/>
  <c r="H330" i="29"/>
  <c r="B7204" i="106" s="1"/>
  <c r="D7204" i="106" s="1"/>
  <c r="B6673" i="106"/>
  <c r="D6673" i="106" s="1"/>
  <c r="B5519" i="106"/>
  <c r="D5519" i="106" s="1"/>
  <c r="E67" i="5"/>
  <c r="B5521" i="106" s="1"/>
  <c r="D5521" i="106" s="1"/>
  <c r="B5916" i="106"/>
  <c r="D5916" i="106" s="1"/>
  <c r="B10" i="7"/>
  <c r="B1749" i="106" s="1"/>
  <c r="D1749" i="106" s="1"/>
  <c r="I12" i="5"/>
  <c r="B5918" i="106" s="1"/>
  <c r="D5918" i="106" s="1"/>
  <c r="B1354" i="106"/>
  <c r="D1354" i="106" s="1"/>
  <c r="B7166" i="106"/>
  <c r="D7166" i="106" s="1"/>
  <c r="B5086" i="106"/>
  <c r="D5086" i="106" s="1"/>
  <c r="B6653" i="106"/>
  <c r="D6653" i="106" s="1"/>
  <c r="B7804" i="106"/>
  <c r="D7804" i="106" s="1"/>
  <c r="B4180" i="106"/>
  <c r="D4180" i="106" s="1"/>
  <c r="B5275" i="106"/>
  <c r="D5275" i="106" s="1"/>
  <c r="B7182" i="106"/>
  <c r="D7182" i="106" s="1"/>
  <c r="B5785" i="106"/>
  <c r="D5785" i="106" s="1"/>
  <c r="G188" i="5"/>
  <c r="B5013" i="106"/>
  <c r="D5013" i="106" s="1"/>
  <c r="B6952" i="106"/>
  <c r="D6952" i="106" s="1"/>
  <c r="B6802" i="106"/>
  <c r="D6802" i="106" s="1"/>
  <c r="L362" i="29"/>
  <c r="L365" i="29" s="1"/>
  <c r="B7148" i="106"/>
  <c r="D7148" i="106" s="1"/>
  <c r="B5591" i="106"/>
  <c r="D5591" i="106" s="1"/>
  <c r="D72" i="29"/>
  <c r="B811" i="106" s="1"/>
  <c r="D811" i="106" s="1"/>
  <c r="B804" i="106"/>
  <c r="D804" i="106" s="1"/>
  <c r="B4341" i="106"/>
  <c r="D4341" i="106" s="1"/>
  <c r="B740" i="106"/>
  <c r="D740" i="106" s="1"/>
  <c r="K61" i="29"/>
  <c r="B1128" i="106" s="1"/>
  <c r="D1128" i="106" s="1"/>
  <c r="K32" i="29"/>
  <c r="B6900" i="106"/>
  <c r="D6900" i="106" s="1"/>
  <c r="B6927" i="106"/>
  <c r="D6927" i="106" s="1"/>
  <c r="J53" i="29"/>
  <c r="B6943" i="106" s="1"/>
  <c r="D6943" i="106" s="1"/>
  <c r="B6642" i="106"/>
  <c r="D6642" i="106" s="1"/>
  <c r="F137" i="34"/>
  <c r="D42" i="29"/>
  <c r="B785" i="106" s="1"/>
  <c r="D785" i="106" s="1"/>
  <c r="B779" i="106"/>
  <c r="D779" i="106" s="1"/>
  <c r="B6120" i="106"/>
  <c r="D6120" i="106" s="1"/>
  <c r="B5576" i="106"/>
  <c r="D5576" i="106" s="1"/>
  <c r="F25" i="34"/>
  <c r="B7032" i="106"/>
  <c r="D7032" i="106" s="1"/>
  <c r="B3646" i="106"/>
  <c r="D3646" i="106" s="1"/>
  <c r="B7779" i="106"/>
  <c r="D7779" i="106" s="1"/>
  <c r="K158" i="29"/>
  <c r="B7780" i="106" s="1"/>
  <c r="D7780" i="106" s="1"/>
  <c r="B5567" i="106"/>
  <c r="D5567" i="106" s="1"/>
  <c r="F19" i="34"/>
  <c r="B725" i="106"/>
  <c r="D725" i="106" s="1"/>
  <c r="K40" i="29"/>
  <c r="B1113" i="106" s="1"/>
  <c r="D1113" i="106" s="1"/>
  <c r="B4181" i="106"/>
  <c r="D4181" i="106" s="1"/>
  <c r="F29" i="34"/>
  <c r="B7881" i="106" s="1"/>
  <c r="D7881" i="106" s="1"/>
  <c r="B5387" i="106"/>
  <c r="D5387" i="106" s="1"/>
  <c r="B712" i="106"/>
  <c r="D712" i="106" s="1"/>
  <c r="K18" i="29"/>
  <c r="B1100" i="106" s="1"/>
  <c r="D1100" i="106" s="1"/>
  <c r="B7210" i="106"/>
  <c r="D7210" i="106" s="1"/>
  <c r="K338" i="29"/>
  <c r="B7653" i="106"/>
  <c r="D7653" i="106" s="1"/>
  <c r="B5310" i="106"/>
  <c r="D5310" i="106" s="1"/>
  <c r="D277" i="29"/>
  <c r="B1444" i="106" s="1"/>
  <c r="D1444" i="106" s="1"/>
  <c r="B1437" i="106"/>
  <c r="D1437" i="106" s="1"/>
  <c r="K272" i="29"/>
  <c r="B1501" i="106" s="1"/>
  <c r="D1501" i="106" s="1"/>
  <c r="K166" i="29"/>
  <c r="B2819" i="106" s="1"/>
  <c r="D2819" i="106" s="1"/>
  <c r="B2813" i="106"/>
  <c r="D2813" i="106" s="1"/>
  <c r="B6099" i="106"/>
  <c r="D6099" i="106" s="1"/>
  <c r="B7039" i="106"/>
  <c r="D7039" i="106" s="1"/>
  <c r="B7669" i="106"/>
  <c r="D7669" i="106" s="1"/>
  <c r="B788" i="106"/>
  <c r="D788" i="106" s="1"/>
  <c r="B1414" i="106"/>
  <c r="D1414" i="106" s="1"/>
  <c r="K235" i="29"/>
  <c r="B1478" i="106" s="1"/>
  <c r="D1478" i="106" s="1"/>
  <c r="H53" i="29"/>
  <c r="B1024" i="106" s="1"/>
  <c r="D1024" i="106" s="1"/>
  <c r="B1022" i="106"/>
  <c r="D1022" i="106" s="1"/>
  <c r="B6791" i="106"/>
  <c r="D6791" i="106" s="1"/>
  <c r="B3634" i="106"/>
  <c r="D3634" i="106" s="1"/>
  <c r="B983" i="106"/>
  <c r="D983" i="106" s="1"/>
  <c r="B7101" i="106"/>
  <c r="D7101" i="106" s="1"/>
  <c r="B5570" i="106"/>
  <c r="D5570" i="106" s="1"/>
  <c r="F89" i="34"/>
  <c r="B5014" i="106"/>
  <c r="D5014" i="106" s="1"/>
  <c r="B6937" i="106"/>
  <c r="D6937" i="106" s="1"/>
  <c r="B5368" i="106"/>
  <c r="D5368" i="106" s="1"/>
  <c r="D132" i="5"/>
  <c r="B5369" i="106" s="1"/>
  <c r="D5369" i="106" s="1"/>
  <c r="B5439" i="106"/>
  <c r="D5439" i="106" s="1"/>
  <c r="B6342" i="106"/>
  <c r="D6342" i="106" s="1"/>
  <c r="F13" i="3"/>
  <c r="B157" i="106" s="1"/>
  <c r="D157" i="106" s="1"/>
  <c r="B3419" i="106"/>
  <c r="D3419" i="106" s="1"/>
  <c r="D37" i="36"/>
  <c r="B5181" i="106"/>
  <c r="D5181" i="106" s="1"/>
  <c r="F113" i="34"/>
  <c r="B807" i="106"/>
  <c r="D807" i="106" s="1"/>
  <c r="E184" i="29"/>
  <c r="B1351" i="106" s="1"/>
  <c r="D1351" i="106" s="1"/>
  <c r="B4083" i="106"/>
  <c r="D4083" i="106" s="1"/>
  <c r="B7191" i="106"/>
  <c r="D7191" i="106" s="1"/>
  <c r="B3641" i="106"/>
  <c r="D3641" i="106" s="1"/>
  <c r="B3549" i="106"/>
  <c r="D3549" i="106" s="1"/>
  <c r="B6141" i="106"/>
  <c r="D6141" i="106" s="1"/>
  <c r="B7693" i="106"/>
  <c r="D7693" i="106" s="1"/>
  <c r="B7702" i="106"/>
  <c r="D7702" i="106" s="1"/>
  <c r="B7062" i="106"/>
  <c r="D7062" i="106" s="1"/>
  <c r="B5528" i="106"/>
  <c r="D5528" i="106" s="1"/>
  <c r="E122" i="5"/>
  <c r="B5534" i="106" s="1"/>
  <c r="D5534" i="106" s="1"/>
  <c r="B1363" i="106"/>
  <c r="D1363" i="106" s="1"/>
  <c r="B6105" i="106"/>
  <c r="D6105" i="106" s="1"/>
  <c r="B6650" i="106"/>
  <c r="D6650" i="106" s="1"/>
  <c r="F138" i="34"/>
  <c r="B6904" i="106"/>
  <c r="D6904" i="106" s="1"/>
  <c r="I42" i="29"/>
  <c r="I74" i="29" s="1"/>
  <c r="B794" i="106"/>
  <c r="D794" i="106" s="1"/>
  <c r="K145" i="29"/>
  <c r="B2811" i="106" s="1"/>
  <c r="D2811" i="106" s="1"/>
  <c r="B2808" i="106"/>
  <c r="D2808" i="106" s="1"/>
  <c r="B4796" i="106"/>
  <c r="D4796" i="106" s="1"/>
  <c r="B1451" i="106"/>
  <c r="D1451" i="106" s="1"/>
  <c r="K292" i="29"/>
  <c r="B1514" i="106" s="1"/>
  <c r="D1514" i="106" s="1"/>
  <c r="C252" i="5"/>
  <c r="B6833" i="106" s="1"/>
  <c r="D6833" i="106" s="1"/>
  <c r="B6614" i="106"/>
  <c r="D6614" i="106" s="1"/>
  <c r="E40" i="4"/>
  <c r="B6288" i="106" s="1"/>
  <c r="D6288" i="106" s="1"/>
  <c r="B6248" i="106"/>
  <c r="D6248" i="106" s="1"/>
  <c r="B7651" i="106"/>
  <c r="D7651" i="106" s="1"/>
  <c r="D184" i="29"/>
  <c r="D210" i="29" s="1"/>
  <c r="B1346" i="106" s="1"/>
  <c r="D1346" i="106" s="1"/>
  <c r="B4082" i="106"/>
  <c r="D4082" i="106" s="1"/>
  <c r="B1041" i="106"/>
  <c r="D1041" i="106" s="1"/>
  <c r="B6735" i="106"/>
  <c r="D6735" i="106" s="1"/>
  <c r="B6346" i="106"/>
  <c r="D6346" i="106" s="1"/>
  <c r="B6381" i="106"/>
  <c r="D6381" i="106" s="1"/>
  <c r="B3273" i="106"/>
  <c r="D3273" i="106" s="1"/>
  <c r="B5880" i="106"/>
  <c r="D5880" i="106" s="1"/>
  <c r="B6234" i="106"/>
  <c r="D6234" i="106" s="1"/>
  <c r="B6741" i="106"/>
  <c r="D6741" i="106" s="1"/>
  <c r="B6253" i="106"/>
  <c r="D6253" i="106" s="1"/>
  <c r="B6324" i="106"/>
  <c r="D6324" i="106" s="1"/>
  <c r="B7883" i="106"/>
  <c r="D7883" i="106" s="1"/>
  <c r="B4917" i="106"/>
  <c r="D4917" i="106" s="1"/>
  <c r="B6664" i="106"/>
  <c r="D6664" i="106" s="1"/>
  <c r="B6089" i="106"/>
  <c r="D6089" i="106" s="1"/>
  <c r="H42" i="29"/>
  <c r="B1017" i="106" s="1"/>
  <c r="D1017" i="106" s="1"/>
  <c r="B1011" i="106"/>
  <c r="D1011" i="106" s="1"/>
  <c r="B7142" i="106"/>
  <c r="D7142" i="106" s="1"/>
  <c r="B956" i="106"/>
  <c r="D956" i="106" s="1"/>
  <c r="B5350" i="106"/>
  <c r="D5350" i="106" s="1"/>
  <c r="K251" i="29"/>
  <c r="B7088" i="106" s="1"/>
  <c r="D7088" i="106" s="1"/>
  <c r="B7087" i="106"/>
  <c r="D7087" i="106" s="1"/>
  <c r="B6245" i="106"/>
  <c r="D6245" i="106" s="1"/>
  <c r="B5345" i="106"/>
  <c r="D5345" i="106" s="1"/>
  <c r="B724" i="106"/>
  <c r="D724" i="106" s="1"/>
  <c r="K39" i="29"/>
  <c r="B1112" i="106" s="1"/>
  <c r="D1112" i="106" s="1"/>
  <c r="B6857" i="106"/>
  <c r="D6857" i="106" s="1"/>
  <c r="B5328" i="106"/>
  <c r="D5328" i="106" s="1"/>
  <c r="D12" i="5"/>
  <c r="B5334" i="106" s="1"/>
  <c r="D5334" i="106" s="1"/>
  <c r="B5" i="7"/>
  <c r="B1745" i="106" s="1"/>
  <c r="D1745" i="106" s="1"/>
  <c r="K7" i="12"/>
  <c r="B6339" i="106"/>
  <c r="D6339" i="106" s="1"/>
  <c r="K169" i="29"/>
  <c r="B1326" i="106" s="1"/>
  <c r="D1326" i="106" s="1"/>
  <c r="B1312" i="106"/>
  <c r="D1312" i="106" s="1"/>
  <c r="B6854" i="106"/>
  <c r="D6854" i="106" s="1"/>
  <c r="B7146" i="106"/>
  <c r="D7146" i="106" s="1"/>
  <c r="B1445" i="106"/>
  <c r="D1445" i="106" s="1"/>
  <c r="K278" i="29"/>
  <c r="B1509" i="106" s="1"/>
  <c r="D1509" i="106" s="1"/>
  <c r="B4391" i="106"/>
  <c r="D4391" i="106" s="1"/>
  <c r="B6681" i="106"/>
  <c r="D6681" i="106" s="1"/>
  <c r="B6739" i="106"/>
  <c r="D6739" i="106" s="1"/>
  <c r="B5335" i="106"/>
  <c r="D5335" i="106" s="1"/>
  <c r="D18" i="5"/>
  <c r="B5339" i="106" s="1"/>
  <c r="D5339" i="106" s="1"/>
  <c r="B5860" i="106"/>
  <c r="D5860" i="106" s="1"/>
  <c r="B5522" i="106"/>
  <c r="D5522" i="106" s="1"/>
  <c r="E108" i="5"/>
  <c r="B5526" i="106" s="1"/>
  <c r="D5526" i="106" s="1"/>
  <c r="B1269" i="106"/>
  <c r="D1269" i="106" s="1"/>
  <c r="K143" i="29"/>
  <c r="B1284" i="106" s="1"/>
  <c r="D1284" i="106" s="1"/>
  <c r="B6697" i="106"/>
  <c r="D6697" i="106" s="1"/>
  <c r="B6849" i="106"/>
  <c r="D6849" i="106" s="1"/>
  <c r="B6930" i="106"/>
  <c r="D6930" i="106" s="1"/>
  <c r="B6137" i="106"/>
  <c r="D6137" i="106" s="1"/>
  <c r="B2840" i="106"/>
  <c r="D2840" i="106" s="1"/>
  <c r="K130" i="29"/>
  <c r="B2797" i="106"/>
  <c r="D2797" i="106" s="1"/>
  <c r="B6859" i="106"/>
  <c r="D6859" i="106" s="1"/>
  <c r="B7885" i="106"/>
  <c r="D7885" i="106" s="1"/>
  <c r="B7652" i="106"/>
  <c r="D7652" i="106" s="1"/>
  <c r="B1316" i="106"/>
  <c r="D1316" i="106" s="1"/>
  <c r="B6957" i="106"/>
  <c r="D6957" i="106" s="1"/>
  <c r="B925" i="106"/>
  <c r="D925" i="106" s="1"/>
  <c r="B5424" i="106"/>
  <c r="D5424" i="106" s="1"/>
  <c r="D181" i="5"/>
  <c r="B5425" i="106" s="1"/>
  <c r="D5425" i="106" s="1"/>
  <c r="B938" i="106"/>
  <c r="D938" i="106" s="1"/>
  <c r="B4801" i="106"/>
  <c r="D4801" i="106" s="1"/>
  <c r="B6724" i="106"/>
  <c r="D6724" i="106" s="1"/>
  <c r="B1369" i="106"/>
  <c r="D1369" i="106" s="1"/>
  <c r="H5" i="12"/>
  <c r="B5063" i="106"/>
  <c r="D5063" i="106" s="1"/>
  <c r="B14" i="7"/>
  <c r="B1754" i="106" s="1"/>
  <c r="D1754" i="106" s="1"/>
  <c r="B65" i="106"/>
  <c r="D65" i="106" s="1"/>
  <c r="B1048" i="106"/>
  <c r="D1048" i="106" s="1"/>
  <c r="K105" i="29"/>
  <c r="K110" i="29" s="1"/>
  <c r="H110" i="29"/>
  <c r="B1053" i="106" s="1"/>
  <c r="D1053" i="106" s="1"/>
  <c r="B6665" i="106"/>
  <c r="D6665" i="106" s="1"/>
  <c r="B6923" i="106"/>
  <c r="D6923" i="106" s="1"/>
  <c r="B6711" i="106"/>
  <c r="D6711" i="106" s="1"/>
  <c r="B1540" i="106"/>
  <c r="D1540" i="106" s="1"/>
  <c r="B7228" i="106"/>
  <c r="D7228" i="106" s="1"/>
  <c r="B6976" i="106"/>
  <c r="D6976" i="106" s="1"/>
  <c r="B6920" i="106"/>
  <c r="D6920" i="106" s="1"/>
  <c r="K67" i="29"/>
  <c r="C72" i="29"/>
  <c r="B753" i="106" s="1"/>
  <c r="D753" i="106" s="1"/>
  <c r="B746" i="106"/>
  <c r="D746" i="106" s="1"/>
  <c r="J13" i="3"/>
  <c r="B6124" i="106" s="1"/>
  <c r="D6124" i="106" s="1"/>
  <c r="B6217" i="106"/>
  <c r="D6217" i="106" s="1"/>
  <c r="D41" i="36"/>
  <c r="B6617" i="106"/>
  <c r="D6617" i="106" s="1"/>
  <c r="F252" i="5"/>
  <c r="B6836" i="106" s="1"/>
  <c r="D6836" i="106" s="1"/>
  <c r="K248" i="29"/>
  <c r="B7082" i="106" s="1"/>
  <c r="D7082" i="106" s="1"/>
  <c r="B7081" i="106"/>
  <c r="D7081" i="106" s="1"/>
  <c r="B6965" i="106"/>
  <c r="D6965" i="106" s="1"/>
  <c r="B3487" i="106"/>
  <c r="D3487" i="106" s="1"/>
  <c r="B6856" i="106"/>
  <c r="D6856" i="106" s="1"/>
  <c r="B7268" i="106"/>
  <c r="B5374" i="106"/>
  <c r="D5374" i="106" s="1"/>
  <c r="B6829" i="106"/>
  <c r="D6829" i="106" s="1"/>
  <c r="B922" i="106"/>
  <c r="D922" i="106" s="1"/>
  <c r="B2829" i="106"/>
  <c r="D2829" i="106" s="1"/>
  <c r="B6722" i="106"/>
  <c r="D6722" i="106" s="1"/>
  <c r="B721" i="106"/>
  <c r="D721" i="106" s="1"/>
  <c r="K36" i="29"/>
  <c r="C42" i="29"/>
  <c r="B727" i="106" s="1"/>
  <c r="D727" i="106" s="1"/>
  <c r="K190" i="29"/>
  <c r="B3009" i="106" s="1"/>
  <c r="D3009" i="106" s="1"/>
  <c r="B2991" i="106"/>
  <c r="D2991" i="106" s="1"/>
  <c r="B6166" i="106"/>
  <c r="D6166" i="106" s="1"/>
  <c r="B783" i="106"/>
  <c r="D783" i="106" s="1"/>
  <c r="B5581" i="106"/>
  <c r="D5581" i="106" s="1"/>
  <c r="F67" i="5"/>
  <c r="B5582" i="106" s="1"/>
  <c r="D5582" i="106" s="1"/>
  <c r="K120" i="29"/>
  <c r="B4080" i="106" s="1"/>
  <c r="D4080" i="106" s="1"/>
  <c r="B4074" i="106"/>
  <c r="D4074" i="106" s="1"/>
  <c r="B7155" i="106"/>
  <c r="D7155" i="106" s="1"/>
  <c r="B4865" i="106"/>
  <c r="D4865" i="106" s="1"/>
  <c r="B6796" i="106"/>
  <c r="D6796" i="106" s="1"/>
  <c r="B5103" i="106"/>
  <c r="D5103" i="106" s="1"/>
  <c r="F97" i="34"/>
  <c r="C93" i="5"/>
  <c r="B5112" i="106" s="1"/>
  <c r="D5112" i="106" s="1"/>
  <c r="B6657" i="106"/>
  <c r="D6657" i="106" s="1"/>
  <c r="B3373" i="106"/>
  <c r="D3373" i="106" s="1"/>
  <c r="B4948" i="106"/>
  <c r="D4948" i="106" s="1"/>
  <c r="B2998" i="106"/>
  <c r="D2998" i="106" s="1"/>
  <c r="B5349" i="106"/>
  <c r="D5349" i="106" s="1"/>
  <c r="D108" i="5"/>
  <c r="B5355" i="106" s="1"/>
  <c r="D5355" i="106" s="1"/>
  <c r="B7158" i="106"/>
  <c r="D7158" i="106" s="1"/>
  <c r="B4313" i="106"/>
  <c r="D4313" i="106" s="1"/>
  <c r="F30" i="34"/>
  <c r="B7823" i="106" s="1"/>
  <c r="B7255" i="106"/>
  <c r="B6241" i="106"/>
  <c r="D6241" i="106" s="1"/>
  <c r="B1350" i="106"/>
  <c r="D1350" i="106" s="1"/>
  <c r="B5240" i="106"/>
  <c r="D5240" i="106" s="1"/>
  <c r="B4420" i="106"/>
  <c r="D4420" i="106" s="1"/>
  <c r="K59" i="29"/>
  <c r="E15" i="184" s="1"/>
  <c r="C65" i="29"/>
  <c r="B745" i="106" s="1"/>
  <c r="D745" i="106" s="1"/>
  <c r="B738" i="106"/>
  <c r="D738" i="106" s="1"/>
  <c r="B6646" i="106"/>
  <c r="D6646" i="106" s="1"/>
  <c r="B4339" i="106"/>
  <c r="D4339" i="106" s="1"/>
  <c r="B5654" i="106"/>
  <c r="D5654" i="106" s="1"/>
  <c r="F175" i="5"/>
  <c r="B5655" i="106" s="1"/>
  <c r="D5655" i="106" s="1"/>
  <c r="B5395" i="106"/>
  <c r="D5395" i="106" s="1"/>
  <c r="B1422" i="106"/>
  <c r="D1422" i="106" s="1"/>
  <c r="D257" i="29"/>
  <c r="B1424" i="106" s="1"/>
  <c r="D1424" i="106" s="1"/>
  <c r="K245" i="29"/>
  <c r="B1486" i="106" s="1"/>
  <c r="D1486" i="106" s="1"/>
  <c r="B7133" i="106"/>
  <c r="D7133" i="106" s="1"/>
  <c r="B4335" i="106"/>
  <c r="D4335" i="106" s="1"/>
  <c r="B6864" i="106"/>
  <c r="D6864" i="106" s="1"/>
  <c r="B6112" i="106"/>
  <c r="D6112" i="106" s="1"/>
  <c r="B6358" i="106"/>
  <c r="D6358" i="106" s="1"/>
  <c r="B6939" i="106"/>
  <c r="D6939" i="106" s="1"/>
  <c r="B5516" i="106"/>
  <c r="D5516" i="106" s="1"/>
  <c r="B6670" i="106"/>
  <c r="D6670" i="106" s="1"/>
  <c r="B6663" i="106"/>
  <c r="D6663" i="106" s="1"/>
  <c r="B5401" i="106"/>
  <c r="D5401" i="106" s="1"/>
  <c r="B3578" i="106"/>
  <c r="D3578" i="106" s="1"/>
  <c r="B1025" i="106"/>
  <c r="D1025" i="106" s="1"/>
  <c r="H57" i="29"/>
  <c r="B1027" i="106" s="1"/>
  <c r="D1027" i="106" s="1"/>
  <c r="B7152" i="106"/>
  <c r="D7152" i="106" s="1"/>
  <c r="B4810" i="106"/>
  <c r="D4810" i="106" s="1"/>
  <c r="G181" i="5"/>
  <c r="B5784" i="106" s="1"/>
  <c r="D5784" i="106" s="1"/>
  <c r="B6160" i="106"/>
  <c r="D6160" i="106" s="1"/>
  <c r="B5177" i="106"/>
  <c r="D5177" i="106" s="1"/>
  <c r="B867" i="106"/>
  <c r="D867" i="106" s="1"/>
  <c r="B787" i="106"/>
  <c r="D787" i="106" s="1"/>
  <c r="K308" i="29"/>
  <c r="B4100" i="106" s="1"/>
  <c r="D4100" i="106" s="1"/>
  <c r="B7110" i="106"/>
  <c r="D7110" i="106" s="1"/>
  <c r="B844" i="106"/>
  <c r="D844" i="106" s="1"/>
  <c r="E47" i="29"/>
  <c r="B5060" i="106"/>
  <c r="D5060" i="106" s="1"/>
  <c r="F117" i="34"/>
  <c r="B7851" i="106" s="1"/>
  <c r="D7851" i="106" s="1"/>
  <c r="B1006" i="106"/>
  <c r="D1006" i="106" s="1"/>
  <c r="K165" i="29"/>
  <c r="B2818" i="106" s="1"/>
  <c r="D2818" i="106" s="1"/>
  <c r="B2812" i="106"/>
  <c r="D2812" i="106" s="1"/>
  <c r="B6615" i="106"/>
  <c r="D6615" i="106" s="1"/>
  <c r="D252" i="5"/>
  <c r="B6834" i="106" s="1"/>
  <c r="D6834" i="106" s="1"/>
  <c r="B7044" i="106"/>
  <c r="D7044" i="106" s="1"/>
  <c r="B2980" i="106"/>
  <c r="D2980" i="106" s="1"/>
  <c r="K183" i="29"/>
  <c r="B1380" i="106" s="1"/>
  <c r="D1380" i="106" s="1"/>
  <c r="B1338" i="106"/>
  <c r="D1338" i="106" s="1"/>
  <c r="B3376" i="106"/>
  <c r="D3376" i="106" s="1"/>
  <c r="B5929" i="106"/>
  <c r="D5929" i="106" s="1"/>
  <c r="K51" i="29"/>
  <c r="K53" i="29" s="1"/>
  <c r="B2718" i="106"/>
  <c r="D2718" i="106" s="1"/>
  <c r="B6958" i="106"/>
  <c r="D6958" i="106" s="1"/>
  <c r="B5729" i="106"/>
  <c r="D5729" i="106" s="1"/>
  <c r="B1037" i="106"/>
  <c r="D1037" i="106" s="1"/>
  <c r="B6106" i="106"/>
  <c r="D6106" i="106" s="1"/>
  <c r="K290" i="29"/>
  <c r="B2845" i="106" s="1"/>
  <c r="D2845" i="106" s="1"/>
  <c r="B2843" i="106"/>
  <c r="D2843" i="106" s="1"/>
  <c r="B5106" i="106"/>
  <c r="D5106" i="106" s="1"/>
  <c r="F98" i="34"/>
  <c r="B2798" i="106"/>
  <c r="D2798" i="106" s="1"/>
  <c r="B4368" i="106"/>
  <c r="D4368" i="106" s="1"/>
  <c r="K175" i="5"/>
  <c r="B4951" i="106" s="1"/>
  <c r="D4951" i="106" s="1"/>
  <c r="B5844" i="106"/>
  <c r="D5844" i="106" s="1"/>
  <c r="G221" i="5"/>
  <c r="B5847" i="106" s="1"/>
  <c r="D5847" i="106" s="1"/>
  <c r="B5879" i="106"/>
  <c r="D5879" i="106" s="1"/>
  <c r="H67" i="5"/>
  <c r="B5881" i="106" s="1"/>
  <c r="D5881" i="106" s="1"/>
  <c r="B6259" i="106"/>
  <c r="D6259" i="106" s="1"/>
  <c r="B6727" i="106"/>
  <c r="D6727" i="106" s="1"/>
  <c r="K7" i="29"/>
  <c r="B6848" i="106" s="1"/>
  <c r="D6848" i="106" s="1"/>
  <c r="D78" i="36"/>
  <c r="B4113" i="106"/>
  <c r="D4113" i="106" s="1"/>
  <c r="C18" i="4"/>
  <c r="B4131" i="106" s="1"/>
  <c r="D4131" i="106" s="1"/>
  <c r="B6144" i="106"/>
  <c r="D6144" i="106" s="1"/>
  <c r="E72" i="29"/>
  <c r="B869" i="106" s="1"/>
  <c r="D869" i="106" s="1"/>
  <c r="B862" i="106"/>
  <c r="D862" i="106" s="1"/>
  <c r="B3632" i="106"/>
  <c r="D3632" i="106" s="1"/>
  <c r="B6399" i="106"/>
  <c r="D6399" i="106" s="1"/>
  <c r="B5073" i="106"/>
  <c r="D5073" i="106" s="1"/>
  <c r="B5078" i="106"/>
  <c r="D5078" i="106" s="1"/>
  <c r="B962" i="106"/>
  <c r="D962" i="106" s="1"/>
  <c r="B852" i="106"/>
  <c r="D852" i="106" s="1"/>
  <c r="B5875" i="106"/>
  <c r="D5875" i="106" s="1"/>
  <c r="B7167" i="106"/>
  <c r="D7167" i="106" s="1"/>
  <c r="B786" i="106"/>
  <c r="D786" i="106" s="1"/>
  <c r="D47" i="29"/>
  <c r="B789" i="106" s="1"/>
  <c r="D789" i="106" s="1"/>
  <c r="B4330" i="106"/>
  <c r="D4330" i="106" s="1"/>
  <c r="B3057" i="106"/>
  <c r="D3057" i="106" s="1"/>
  <c r="B6938" i="106"/>
  <c r="D6938" i="106" s="1"/>
  <c r="K26" i="29"/>
  <c r="B6889" i="106" s="1"/>
  <c r="D6889" i="106" s="1"/>
  <c r="B6888" i="106"/>
  <c r="D6888" i="106" s="1"/>
  <c r="B5357" i="106"/>
  <c r="D5357" i="106" s="1"/>
  <c r="D114" i="5"/>
  <c r="B5360" i="106" s="1"/>
  <c r="D5360" i="106" s="1"/>
  <c r="B5058" i="106"/>
  <c r="D5058" i="106" s="1"/>
  <c r="B1008" i="106"/>
  <c r="D1008" i="106" s="1"/>
  <c r="B6179" i="106"/>
  <c r="D6179" i="106" s="1"/>
  <c r="B3627" i="106"/>
  <c r="D3627" i="106" s="1"/>
  <c r="B5606" i="106"/>
  <c r="D5606" i="106" s="1"/>
  <c r="B1015" i="106"/>
  <c r="D1015" i="106" s="1"/>
  <c r="B4192" i="106"/>
  <c r="D4192" i="106" s="1"/>
  <c r="B7139" i="106"/>
  <c r="D7139" i="106" s="1"/>
  <c r="B7660" i="106"/>
  <c r="D7660" i="106" s="1"/>
  <c r="B900" i="106"/>
  <c r="D900" i="106" s="1"/>
  <c r="B5126" i="106"/>
  <c r="D5126" i="106" s="1"/>
  <c r="C122" i="5"/>
  <c r="B5132" i="106" s="1"/>
  <c r="D5132" i="106" s="1"/>
  <c r="B7181" i="106"/>
  <c r="D7181" i="106" s="1"/>
  <c r="K326" i="29"/>
  <c r="B7189" i="106" s="1"/>
  <c r="D7189" i="106" s="1"/>
  <c r="B4878" i="106"/>
  <c r="D4878" i="106" s="1"/>
  <c r="B7185" i="106"/>
  <c r="D7185" i="106" s="1"/>
  <c r="B723" i="106"/>
  <c r="D723" i="106" s="1"/>
  <c r="K38" i="29"/>
  <c r="B1111" i="106" s="1"/>
  <c r="D1111" i="106" s="1"/>
  <c r="B6677" i="106"/>
  <c r="D6677" i="106" s="1"/>
  <c r="B705" i="106"/>
  <c r="D705" i="106" s="1"/>
  <c r="K5" i="29"/>
  <c r="B1093" i="106" s="1"/>
  <c r="D1093" i="106" s="1"/>
  <c r="C33" i="29"/>
  <c r="B720" i="106" s="1"/>
  <c r="D720" i="106" s="1"/>
  <c r="B1018" i="106"/>
  <c r="D1018" i="106" s="1"/>
  <c r="H47" i="29"/>
  <c r="B6915" i="106"/>
  <c r="D6915" i="106" s="1"/>
  <c r="J303" i="29"/>
  <c r="B7104" i="106" s="1"/>
  <c r="D7104" i="106" s="1"/>
  <c r="B7100" i="106"/>
  <c r="D7100" i="106" s="1"/>
  <c r="B7765" i="106"/>
  <c r="D7765" i="106" s="1"/>
  <c r="F160" i="34"/>
  <c r="B7867" i="106" s="1"/>
  <c r="D7867" i="106" s="1"/>
  <c r="B1396" i="106"/>
  <c r="D1396" i="106" s="1"/>
  <c r="K225" i="29"/>
  <c r="B1460" i="106" s="1"/>
  <c r="D1460" i="106" s="1"/>
  <c r="B7670" i="106"/>
  <c r="D7670" i="106" s="1"/>
  <c r="B859" i="106"/>
  <c r="D859" i="106" s="1"/>
  <c r="B5109" i="106"/>
  <c r="D5109" i="106" s="1"/>
  <c r="B432" i="106"/>
  <c r="D432" i="106" s="1"/>
  <c r="B4322" i="106"/>
  <c r="D4322" i="106" s="1"/>
  <c r="B1020" i="106"/>
  <c r="D1020" i="106" s="1"/>
  <c r="B1229" i="106"/>
  <c r="D1229" i="106" s="1"/>
  <c r="B6624" i="106"/>
  <c r="D6624" i="106" s="1"/>
  <c r="B5359" i="106"/>
  <c r="D5359" i="106" s="1"/>
  <c r="B1335" i="106"/>
  <c r="D1335" i="106" s="1"/>
  <c r="K182" i="29"/>
  <c r="B1377" i="106" s="1"/>
  <c r="D1377" i="106" s="1"/>
  <c r="K134" i="29"/>
  <c r="K137" i="29" s="1"/>
  <c r="B4199" i="106"/>
  <c r="D4199" i="106" s="1"/>
  <c r="B6356" i="106"/>
  <c r="D6356" i="106" s="1"/>
  <c r="B4886" i="106"/>
  <c r="D4886" i="106" s="1"/>
  <c r="B6345" i="106"/>
  <c r="D6345" i="106" s="1"/>
  <c r="B5560" i="106"/>
  <c r="D5560" i="106" s="1"/>
  <c r="B6737" i="106"/>
  <c r="D6737" i="106" s="1"/>
  <c r="F147" i="34"/>
  <c r="B2981" i="106"/>
  <c r="D2981" i="106" s="1"/>
  <c r="B6769" i="106"/>
  <c r="D6769" i="106" s="1"/>
  <c r="F150" i="34"/>
  <c r="B5464" i="106"/>
  <c r="D5464" i="106" s="1"/>
  <c r="B6801" i="106"/>
  <c r="D6801" i="106" s="1"/>
  <c r="F154" i="34"/>
  <c r="B3078" i="106"/>
  <c r="D3078" i="106" s="1"/>
  <c r="B7656" i="106"/>
  <c r="D7656" i="106" s="1"/>
  <c r="B6395" i="106"/>
  <c r="D6395" i="106" s="1"/>
  <c r="B6786" i="106"/>
  <c r="D6786" i="106" s="1"/>
  <c r="B7781" i="106"/>
  <c r="D7781" i="106" s="1"/>
  <c r="K159" i="29"/>
  <c r="B7782" i="106" s="1"/>
  <c r="D7782" i="106" s="1"/>
  <c r="B6779" i="106"/>
  <c r="D6779" i="106" s="1"/>
  <c r="B7173" i="106"/>
  <c r="D7173" i="106" s="1"/>
  <c r="C198" i="5"/>
  <c r="B5246" i="106" s="1"/>
  <c r="D5246" i="106" s="1"/>
  <c r="B6401" i="106"/>
  <c r="D6401" i="106" s="1"/>
  <c r="B5732" i="106"/>
  <c r="D5732" i="106" s="1"/>
  <c r="L110" i="29"/>
  <c r="L112" i="29" s="1"/>
  <c r="B5163" i="106"/>
  <c r="D5163" i="106" s="1"/>
  <c r="C145" i="5"/>
  <c r="B5165" i="106" s="1"/>
  <c r="D5165" i="106" s="1"/>
  <c r="B6770" i="106"/>
  <c r="D6770" i="106" s="1"/>
  <c r="E37" i="4"/>
  <c r="B6285" i="106" s="1"/>
  <c r="D6285" i="106" s="1"/>
  <c r="B6240" i="106"/>
  <c r="D6240" i="106" s="1"/>
  <c r="H14" i="118"/>
  <c r="H19" i="118"/>
  <c r="B15" i="7"/>
  <c r="B1756" i="106" s="1"/>
  <c r="D1756" i="106" s="1"/>
  <c r="B5332" i="106"/>
  <c r="D5332" i="106" s="1"/>
  <c r="B996" i="106"/>
  <c r="D996" i="106" s="1"/>
  <c r="B5093" i="106"/>
  <c r="D5093" i="106" s="1"/>
  <c r="B6795" i="106"/>
  <c r="D6795" i="106" s="1"/>
  <c r="B6647" i="106"/>
  <c r="D6647" i="106" s="1"/>
  <c r="B879" i="106"/>
  <c r="D879" i="106" s="1"/>
  <c r="F33" i="29"/>
  <c r="B894" i="106" s="1"/>
  <c r="D894" i="106" s="1"/>
  <c r="B5358" i="106"/>
  <c r="D5358" i="106" s="1"/>
  <c r="B6256" i="106"/>
  <c r="D6256" i="106" s="1"/>
  <c r="B6686" i="106"/>
  <c r="D6686" i="106" s="1"/>
  <c r="K80" i="29"/>
  <c r="B2975" i="106" s="1"/>
  <c r="D2975" i="106" s="1"/>
  <c r="B2951" i="106"/>
  <c r="D2951" i="106" s="1"/>
  <c r="B97" i="106"/>
  <c r="D97" i="106" s="1"/>
  <c r="B7125" i="106"/>
  <c r="D7125" i="106" s="1"/>
  <c r="J330" i="29"/>
  <c r="B7206" i="106" s="1"/>
  <c r="D7206" i="106" s="1"/>
  <c r="B6369" i="106"/>
  <c r="D6369" i="106" s="1"/>
  <c r="B2760" i="106"/>
  <c r="D2760" i="106" s="1"/>
  <c r="B6771" i="106"/>
  <c r="D6771" i="106" s="1"/>
  <c r="B185" i="106"/>
  <c r="D185" i="106" s="1"/>
  <c r="B4884" i="106"/>
  <c r="D4884" i="106" s="1"/>
  <c r="B7761" i="106"/>
  <c r="D7761" i="106" s="1"/>
  <c r="F159" i="34"/>
  <c r="B5057" i="106"/>
  <c r="D5057" i="106" s="1"/>
  <c r="B2802" i="106"/>
  <c r="D2802" i="106" s="1"/>
  <c r="B6093" i="106"/>
  <c r="D6093" i="106" s="1"/>
  <c r="B3055" i="106"/>
  <c r="D3055" i="106" s="1"/>
  <c r="K10" i="29"/>
  <c r="B3062" i="106" s="1"/>
  <c r="D3062" i="106" s="1"/>
  <c r="B5164" i="106"/>
  <c r="D5164" i="106" s="1"/>
  <c r="D243" i="29"/>
  <c r="B1421" i="106" s="1"/>
  <c r="D1421" i="106" s="1"/>
  <c r="B1418" i="106"/>
  <c r="D1418" i="106" s="1"/>
  <c r="K240" i="29"/>
  <c r="B1482" i="106" s="1"/>
  <c r="D1482" i="106" s="1"/>
  <c r="B4392" i="106"/>
  <c r="D4392" i="106" s="1"/>
  <c r="B6164" i="106"/>
  <c r="D6164" i="106" s="1"/>
  <c r="B4116" i="106"/>
  <c r="D4116" i="106" s="1"/>
  <c r="F18" i="4"/>
  <c r="B4133" i="106" s="1"/>
  <c r="D4133" i="106" s="1"/>
  <c r="G13" i="3"/>
  <c r="B180" i="106" s="1"/>
  <c r="D180" i="106" s="1"/>
  <c r="B3422" i="106"/>
  <c r="D3422" i="106" s="1"/>
  <c r="D38" i="36"/>
  <c r="B6764" i="106"/>
  <c r="D6764" i="106" s="1"/>
  <c r="B6872" i="106"/>
  <c r="D6872" i="106" s="1"/>
  <c r="B3082" i="106"/>
  <c r="D3082" i="106" s="1"/>
  <c r="B6000" i="106"/>
  <c r="D6000" i="106" s="1"/>
  <c r="K122" i="5"/>
  <c r="B6006" i="106" s="1"/>
  <c r="D6006" i="106" s="1"/>
  <c r="B5485" i="106"/>
  <c r="D5485" i="106" s="1"/>
  <c r="D221" i="5"/>
  <c r="B5488" i="106" s="1"/>
  <c r="D5488" i="106" s="1"/>
  <c r="B6667" i="106"/>
  <c r="D6667" i="106" s="1"/>
  <c r="B5555" i="106"/>
  <c r="D5555" i="106" s="1"/>
  <c r="B5740" i="106"/>
  <c r="D5740" i="106" s="1"/>
  <c r="B4191" i="106"/>
  <c r="D4191" i="106" s="1"/>
  <c r="B4079" i="106"/>
  <c r="D4079" i="106" s="1"/>
  <c r="B3483" i="106"/>
  <c r="D3483" i="106" s="1"/>
  <c r="B849" i="106"/>
  <c r="D849" i="106" s="1"/>
  <c r="B6232" i="106"/>
  <c r="D6232" i="106" s="1"/>
  <c r="B6001" i="106"/>
  <c r="D6001" i="106" s="1"/>
  <c r="B5573" i="106"/>
  <c r="D5573" i="106" s="1"/>
  <c r="F92" i="34"/>
  <c r="B7766" i="106"/>
  <c r="D7766" i="106" s="1"/>
  <c r="B4359" i="106"/>
  <c r="D4359" i="106" s="1"/>
  <c r="B5463" i="106"/>
  <c r="D5463" i="106" s="1"/>
  <c r="B6394" i="106"/>
  <c r="D6394" i="106" s="1"/>
  <c r="B2979" i="106"/>
  <c r="D2979" i="106" s="1"/>
  <c r="F47" i="29"/>
  <c r="B902" i="106"/>
  <c r="D902" i="106" s="1"/>
  <c r="B891" i="106"/>
  <c r="D891" i="106" s="1"/>
  <c r="F42" i="29"/>
  <c r="B901" i="106" s="1"/>
  <c r="D901" i="106" s="1"/>
  <c r="B895" i="106"/>
  <c r="D895" i="106" s="1"/>
  <c r="B7164" i="106"/>
  <c r="D7164" i="106" s="1"/>
  <c r="B5617" i="106"/>
  <c r="D5617" i="106" s="1"/>
  <c r="B6768" i="106"/>
  <c r="D6768" i="106" s="1"/>
  <c r="B6703" i="106"/>
  <c r="D6703" i="106" s="1"/>
  <c r="B5876" i="106"/>
  <c r="D5876" i="106" s="1"/>
  <c r="B6392" i="106"/>
  <c r="D6392" i="106" s="1"/>
  <c r="B7192" i="106"/>
  <c r="D7192" i="106" s="1"/>
  <c r="B7172" i="106"/>
  <c r="D7172" i="106" s="1"/>
  <c r="K325" i="29"/>
  <c r="B7180" i="106" s="1"/>
  <c r="D7180" i="106" s="1"/>
  <c r="B7030" i="106"/>
  <c r="D7030" i="106" s="1"/>
  <c r="K6" i="29"/>
  <c r="B7763" i="106" s="1"/>
  <c r="D7763" i="106" s="1"/>
  <c r="B7762" i="106"/>
  <c r="D7762" i="106" s="1"/>
  <c r="B4331" i="106"/>
  <c r="D4331" i="106" s="1"/>
  <c r="B108" i="106"/>
  <c r="D108" i="106" s="1"/>
  <c r="B2720" i="106"/>
  <c r="D2720" i="106" s="1"/>
  <c r="B995" i="106"/>
  <c r="D995" i="106" s="1"/>
  <c r="H33" i="29"/>
  <c r="B1010" i="106" s="1"/>
  <c r="D1010" i="106" s="1"/>
  <c r="B5553" i="106"/>
  <c r="D5553" i="106" s="1"/>
  <c r="F12" i="5"/>
  <c r="B5557" i="106" s="1"/>
  <c r="D5557" i="106" s="1"/>
  <c r="B7" i="7"/>
  <c r="B1747" i="106" s="1"/>
  <c r="D1747" i="106" s="1"/>
  <c r="B6095" i="106"/>
  <c r="D6095" i="106" s="1"/>
  <c r="B5067" i="106"/>
  <c r="D5067" i="106" s="1"/>
  <c r="C18" i="5"/>
  <c r="B5071" i="106" s="1"/>
  <c r="D5071" i="106" s="1"/>
  <c r="B6817" i="106"/>
  <c r="D6817" i="106" s="1"/>
  <c r="F156" i="34"/>
  <c r="B4354" i="106"/>
  <c r="D4354" i="106" s="1"/>
  <c r="B3638" i="106"/>
  <c r="D3638" i="106" s="1"/>
  <c r="F350" i="29"/>
  <c r="B7636" i="106"/>
  <c r="B4419" i="106"/>
  <c r="D4419" i="106" s="1"/>
  <c r="B6172" i="106"/>
  <c r="D6172" i="106" s="1"/>
  <c r="B6763" i="106"/>
  <c r="D6763" i="106" s="1"/>
  <c r="B5077" i="106"/>
  <c r="D5077" i="106" s="1"/>
  <c r="B1237" i="106"/>
  <c r="D1237" i="106" s="1"/>
  <c r="B5524" i="106"/>
  <c r="D5524" i="106" s="1"/>
  <c r="B6257" i="106"/>
  <c r="D6257" i="106" s="1"/>
  <c r="B3532" i="106"/>
  <c r="D3532" i="106" s="1"/>
  <c r="B1224" i="106"/>
  <c r="D1224" i="106" s="1"/>
  <c r="K128" i="29"/>
  <c r="B1280" i="106" s="1"/>
  <c r="D1280" i="106" s="1"/>
  <c r="B6319" i="106"/>
  <c r="D6319" i="106" s="1"/>
  <c r="J108" i="5"/>
  <c r="B6351" i="106" s="1"/>
  <c r="D6351" i="106" s="1"/>
  <c r="B3585" i="106"/>
  <c r="D3585" i="106" s="1"/>
  <c r="B6340" i="106"/>
  <c r="D6340" i="106" s="1"/>
  <c r="D65" i="29"/>
  <c r="B803" i="106" s="1"/>
  <c r="D803" i="106" s="1"/>
  <c r="B796" i="106"/>
  <c r="D796" i="106" s="1"/>
  <c r="B4075" i="106"/>
  <c r="D4075" i="106" s="1"/>
  <c r="B4813" i="106"/>
  <c r="D4813" i="106" s="1"/>
  <c r="H184" i="29"/>
  <c r="B1370" i="106" s="1"/>
  <c r="D1370" i="106" s="1"/>
  <c r="B4086" i="106"/>
  <c r="D4086" i="106" s="1"/>
  <c r="B1240" i="106"/>
  <c r="D1240" i="106" s="1"/>
  <c r="B5117" i="106"/>
  <c r="D5117" i="106" s="1"/>
  <c r="B899" i="106"/>
  <c r="D899" i="106" s="1"/>
  <c r="B7793" i="106"/>
  <c r="D7793" i="106" s="1"/>
  <c r="K355" i="29"/>
  <c r="B7794" i="106" s="1"/>
  <c r="D7794" i="106" s="1"/>
  <c r="B3060" i="106"/>
  <c r="D3060" i="106" s="1"/>
  <c r="B7168" i="106"/>
  <c r="D7168" i="106" s="1"/>
  <c r="B6778" i="106"/>
  <c r="D6778" i="106" s="1"/>
  <c r="B846" i="106"/>
  <c r="D846" i="106" s="1"/>
  <c r="B6746" i="106"/>
  <c r="D6746" i="106" s="1"/>
  <c r="B7769" i="106"/>
  <c r="D7769" i="106" s="1"/>
  <c r="B805" i="106"/>
  <c r="D805" i="106" s="1"/>
  <c r="B6975" i="106"/>
  <c r="D6975" i="106" s="1"/>
  <c r="B1254" i="106"/>
  <c r="D1254" i="106" s="1"/>
  <c r="K126" i="29"/>
  <c r="B1277" i="106" s="1"/>
  <c r="D1277" i="106" s="1"/>
  <c r="B1257" i="106"/>
  <c r="D1257" i="106" s="1"/>
  <c r="B5127" i="106"/>
  <c r="D5127" i="106" s="1"/>
  <c r="K124" i="29"/>
  <c r="B1276" i="106" s="1"/>
  <c r="D1276" i="106" s="1"/>
  <c r="B1221" i="106"/>
  <c r="D1221" i="106" s="1"/>
  <c r="B6355" i="106"/>
  <c r="D6355" i="106" s="1"/>
  <c r="B890" i="106"/>
  <c r="D890" i="106" s="1"/>
  <c r="B726" i="106"/>
  <c r="D726" i="106" s="1"/>
  <c r="K41" i="29"/>
  <c r="B1114" i="106" s="1"/>
  <c r="D1114" i="106" s="1"/>
  <c r="B6305" i="106"/>
  <c r="D6305" i="106" s="1"/>
  <c r="B5134" i="106"/>
  <c r="D5134" i="106" s="1"/>
  <c r="B4312" i="106"/>
  <c r="D4312" i="106" s="1"/>
  <c r="B7701" i="106"/>
  <c r="D7701" i="106" s="1"/>
  <c r="B1013" i="106"/>
  <c r="D1013" i="106" s="1"/>
  <c r="B6869" i="106"/>
  <c r="D6869" i="106" s="1"/>
  <c r="B5462" i="106"/>
  <c r="D5462" i="106" s="1"/>
  <c r="K122" i="29"/>
  <c r="F15" i="184" s="1"/>
  <c r="F19" i="184" s="1"/>
  <c r="C127" i="29"/>
  <c r="B1223" i="106" s="1"/>
  <c r="D1223" i="106" s="1"/>
  <c r="B1219" i="106"/>
  <c r="D1219" i="106" s="1"/>
  <c r="B652" i="106"/>
  <c r="D652" i="106" s="1"/>
  <c r="B6147" i="106"/>
  <c r="D6147" i="106" s="1"/>
  <c r="B6236" i="106"/>
  <c r="D6236" i="106" s="1"/>
  <c r="B5590" i="106"/>
  <c r="D5590" i="106" s="1"/>
  <c r="B6639" i="106"/>
  <c r="D6639" i="106" s="1"/>
  <c r="B5148" i="106"/>
  <c r="D5148" i="106" s="1"/>
  <c r="C141" i="5"/>
  <c r="B5161" i="106" s="1"/>
  <c r="D5161" i="106" s="1"/>
  <c r="B7884" i="106"/>
  <c r="D7884" i="106" s="1"/>
  <c r="B4115" i="106"/>
  <c r="D4115" i="106" s="1"/>
  <c r="E18" i="4"/>
  <c r="B4175" i="106" s="1"/>
  <c r="D4175" i="106" s="1"/>
  <c r="B7145" i="106"/>
  <c r="D7145" i="106" s="1"/>
  <c r="K322" i="29"/>
  <c r="B7153" i="106" s="1"/>
  <c r="D7153" i="106" s="1"/>
  <c r="B1528" i="106"/>
  <c r="D1528" i="106" s="1"/>
  <c r="B4077" i="106"/>
  <c r="D4077" i="106" s="1"/>
  <c r="B6377" i="106"/>
  <c r="D6377" i="106" s="1"/>
  <c r="B5726" i="106"/>
  <c r="D5726" i="106" s="1"/>
  <c r="G18" i="5"/>
  <c r="B5730" i="106" s="1"/>
  <c r="D5730" i="106" s="1"/>
  <c r="B948" i="106"/>
  <c r="D948" i="106" s="1"/>
  <c r="B208" i="106"/>
  <c r="D208" i="106" s="1"/>
  <c r="B6096" i="106"/>
  <c r="D6096" i="106" s="1"/>
  <c r="B7679" i="106"/>
  <c r="D7679" i="106" s="1"/>
  <c r="B7665" i="106"/>
  <c r="D7665" i="106" s="1"/>
  <c r="C303" i="29"/>
  <c r="C312" i="29" s="1"/>
  <c r="B1524" i="106" s="1"/>
  <c r="D1524" i="106" s="1"/>
  <c r="B1519" i="106"/>
  <c r="D1519" i="106" s="1"/>
  <c r="K301" i="29"/>
  <c r="K303" i="29" s="1"/>
  <c r="B6828" i="106"/>
  <c r="D6828" i="106" s="1"/>
  <c r="B4802" i="106"/>
  <c r="D4802" i="106" s="1"/>
  <c r="B5196" i="106"/>
  <c r="D5196" i="106" s="1"/>
  <c r="B6632" i="106"/>
  <c r="D6632" i="106" s="1"/>
  <c r="B5727" i="106"/>
  <c r="D5727" i="106" s="1"/>
  <c r="B5763" i="106"/>
  <c r="D5763" i="106" s="1"/>
  <c r="B781" i="106"/>
  <c r="D781" i="106" s="1"/>
  <c r="K79" i="29"/>
  <c r="B2974" i="106" s="1"/>
  <c r="D2974" i="106" s="1"/>
  <c r="B2950" i="106"/>
  <c r="D2950" i="106" s="1"/>
  <c r="B7638" i="106"/>
  <c r="B4342" i="106"/>
  <c r="D4342" i="106" s="1"/>
  <c r="B4944" i="106"/>
  <c r="D4944" i="106" s="1"/>
  <c r="K148" i="29"/>
  <c r="B7050" i="106" s="1"/>
  <c r="D7050" i="106" s="1"/>
  <c r="B7049" i="106"/>
  <c r="D7049" i="106" s="1"/>
  <c r="B7803" i="106"/>
  <c r="D7803" i="106" s="1"/>
  <c r="G42" i="29"/>
  <c r="B959" i="106" s="1"/>
  <c r="D959" i="106" s="1"/>
  <c r="B953" i="106"/>
  <c r="D953" i="106" s="1"/>
  <c r="B6781" i="106"/>
  <c r="D6781" i="106" s="1"/>
  <c r="B6641" i="106"/>
  <c r="D6641" i="106" s="1"/>
  <c r="B3631" i="106"/>
  <c r="D3631" i="106" s="1"/>
  <c r="E350" i="29"/>
  <c r="B3633" i="106" s="1"/>
  <c r="D3633" i="106" s="1"/>
  <c r="B7179" i="106"/>
  <c r="D7179" i="106" s="1"/>
  <c r="B7700" i="106"/>
  <c r="D7700" i="106" s="1"/>
  <c r="B5384" i="106"/>
  <c r="D5384" i="106" s="1"/>
  <c r="B5370" i="106"/>
  <c r="D5370" i="106" s="1"/>
  <c r="D141" i="5"/>
  <c r="B5383" i="106" s="1"/>
  <c r="D5383" i="106" s="1"/>
  <c r="B4314" i="106"/>
  <c r="D4314" i="106" s="1"/>
  <c r="B6808" i="106"/>
  <c r="D6808" i="106" s="1"/>
  <c r="B6783" i="106"/>
  <c r="D6783" i="106" s="1"/>
  <c r="B3699" i="106"/>
  <c r="D3699" i="106" s="1"/>
  <c r="K53" i="4"/>
  <c r="B6629" i="106"/>
  <c r="D6629" i="106" s="1"/>
  <c r="B5346" i="106"/>
  <c r="D5346" i="106" s="1"/>
  <c r="B4338" i="106"/>
  <c r="D4338" i="106" s="1"/>
  <c r="B3374" i="106"/>
  <c r="D3374" i="106" s="1"/>
  <c r="B950" i="106"/>
  <c r="D950" i="106" s="1"/>
  <c r="B5231" i="106"/>
  <c r="D5231" i="106" s="1"/>
  <c r="B3371" i="106"/>
  <c r="D3371" i="106" s="1"/>
  <c r="B6655" i="106"/>
  <c r="D6655" i="106" s="1"/>
  <c r="B5278" i="106"/>
  <c r="D5278" i="106" s="1"/>
  <c r="F129" i="34"/>
  <c r="B7861" i="106" s="1"/>
  <c r="D7861" i="106" s="1"/>
  <c r="B7673" i="106"/>
  <c r="D7673" i="106" s="1"/>
  <c r="B7183" i="106"/>
  <c r="D7183" i="106" s="1"/>
  <c r="B3581" i="106"/>
  <c r="D3581" i="106" s="1"/>
  <c r="B5104" i="106"/>
  <c r="D5104" i="106" s="1"/>
  <c r="B4118" i="106"/>
  <c r="D4118" i="106" s="1"/>
  <c r="H18" i="4"/>
  <c r="B4134" i="106" s="1"/>
  <c r="D4134" i="106" s="1"/>
  <c r="B5575" i="106"/>
  <c r="D5575" i="106" s="1"/>
  <c r="F93" i="34"/>
  <c r="B6755" i="106"/>
  <c r="D6755" i="106" s="1"/>
  <c r="B5337" i="106"/>
  <c r="D5337" i="106" s="1"/>
  <c r="B6906" i="106"/>
  <c r="D6906" i="106" s="1"/>
  <c r="B6683" i="106"/>
  <c r="D6683" i="106" s="1"/>
  <c r="K349" i="29"/>
  <c r="B3669" i="106" s="1"/>
  <c r="D3669" i="106" s="1"/>
  <c r="B3618" i="106"/>
  <c r="D3618" i="106" s="1"/>
  <c r="F88" i="34"/>
  <c r="B6312" i="106"/>
  <c r="D6312" i="106" s="1"/>
  <c r="B2958" i="106"/>
  <c r="D2958" i="106" s="1"/>
  <c r="B5583" i="106"/>
  <c r="D5583" i="106" s="1"/>
  <c r="F108" i="5"/>
  <c r="B5587" i="106" s="1"/>
  <c r="D5587" i="106" s="1"/>
  <c r="B1430" i="106"/>
  <c r="D1430" i="106" s="1"/>
  <c r="K265" i="29"/>
  <c r="B1494" i="106" s="1"/>
  <c r="D1494" i="106" s="1"/>
  <c r="B4380" i="106"/>
  <c r="D4380" i="106" s="1"/>
  <c r="B7127" i="106"/>
  <c r="D7127" i="106" s="1"/>
  <c r="K320" i="29"/>
  <c r="B6914" i="106"/>
  <c r="D6914" i="106" s="1"/>
  <c r="B7671" i="106"/>
  <c r="D7671" i="106" s="1"/>
  <c r="B6882" i="106"/>
  <c r="D6882" i="106" s="1"/>
  <c r="K23" i="29"/>
  <c r="B6883" i="106" s="1"/>
  <c r="D6883" i="106" s="1"/>
  <c r="B954" i="106"/>
  <c r="D954" i="106" s="1"/>
  <c r="B6956" i="106"/>
  <c r="D6956" i="106" s="1"/>
  <c r="B5708" i="106"/>
  <c r="D5708" i="106" s="1"/>
  <c r="B3375" i="106"/>
  <c r="D3375" i="106" s="1"/>
  <c r="B6821" i="106"/>
  <c r="D6821" i="106" s="1"/>
  <c r="B5563" i="106"/>
  <c r="D5563" i="106" s="1"/>
  <c r="F85" i="34"/>
  <c r="F63" i="5"/>
  <c r="B5579" i="106" s="1"/>
  <c r="D5579" i="106" s="1"/>
  <c r="B1227" i="106"/>
  <c r="D1227" i="106" s="1"/>
  <c r="D127" i="29"/>
  <c r="B1231" i="106" s="1"/>
  <c r="D1231" i="106" s="1"/>
  <c r="B3059" i="106"/>
  <c r="D3059" i="106" s="1"/>
  <c r="B5779" i="106"/>
  <c r="D5779" i="106" s="1"/>
  <c r="G175" i="5"/>
  <c r="B5780" i="106" s="1"/>
  <c r="D5780" i="106" s="1"/>
  <c r="G127" i="29"/>
  <c r="B1251" i="106"/>
  <c r="D1251" i="106" s="1"/>
  <c r="B6993" i="106"/>
  <c r="D6993" i="106" s="1"/>
  <c r="K91" i="29"/>
  <c r="B6994" i="106" s="1"/>
  <c r="D6994" i="106" s="1"/>
  <c r="B7025" i="106"/>
  <c r="D7025" i="106" s="1"/>
  <c r="J127" i="29"/>
  <c r="B7034" i="106" s="1"/>
  <c r="D7034" i="106" s="1"/>
  <c r="E65" i="29"/>
  <c r="B861" i="106" s="1"/>
  <c r="D861" i="106" s="1"/>
  <c r="B854" i="106"/>
  <c r="D854" i="106" s="1"/>
  <c r="B6798" i="106"/>
  <c r="D6798" i="106" s="1"/>
  <c r="B7149" i="106"/>
  <c r="D7149" i="106" s="1"/>
  <c r="B6908" i="106"/>
  <c r="D6908" i="106" s="1"/>
  <c r="B4876" i="106"/>
  <c r="D4876" i="106" s="1"/>
  <c r="B1347" i="106"/>
  <c r="D1347" i="106" s="1"/>
  <c r="B5743" i="106"/>
  <c r="D5743" i="106" s="1"/>
  <c r="B5514" i="106"/>
  <c r="D5514" i="106" s="1"/>
  <c r="E18" i="5"/>
  <c r="B5518" i="106" s="1"/>
  <c r="D5518" i="106" s="1"/>
  <c r="B2794" i="106"/>
  <c r="D2794" i="106" s="1"/>
  <c r="K306" i="29"/>
  <c r="B7107" i="106" s="1"/>
  <c r="D7107" i="106" s="1"/>
  <c r="E310" i="29"/>
  <c r="B7114" i="106" s="1"/>
  <c r="D7114" i="106" s="1"/>
  <c r="B7105" i="106"/>
  <c r="D7105" i="106" s="1"/>
  <c r="B4814" i="106"/>
  <c r="D4814" i="106" s="1"/>
  <c r="K201" i="29"/>
  <c r="B2841" i="106" s="1"/>
  <c r="D2841" i="106" s="1"/>
  <c r="B2831" i="106"/>
  <c r="D2831" i="106" s="1"/>
  <c r="B7188" i="106"/>
  <c r="D7188" i="106" s="1"/>
  <c r="H72" i="29"/>
  <c r="B1043" i="106" s="1"/>
  <c r="D1043" i="106" s="1"/>
  <c r="B1036" i="106"/>
  <c r="D1036" i="106" s="1"/>
  <c r="B1531" i="106"/>
  <c r="D1531" i="106" s="1"/>
  <c r="E303" i="29"/>
  <c r="B1535" i="106" s="1"/>
  <c r="D1535" i="106" s="1"/>
  <c r="B3228" i="106"/>
  <c r="D3228" i="106" s="1"/>
  <c r="B7250" i="106"/>
  <c r="B6846" i="106"/>
  <c r="D6846" i="106" s="1"/>
  <c r="B6363" i="106"/>
  <c r="D6363" i="106" s="1"/>
  <c r="B4761" i="106"/>
  <c r="D4761" i="106" s="1"/>
  <c r="F104" i="34"/>
  <c r="B7841" i="106" s="1"/>
  <c r="D7841" i="106" s="1"/>
  <c r="B651" i="106"/>
  <c r="D651" i="106" s="1"/>
  <c r="B5529" i="106"/>
  <c r="D5529" i="106" s="1"/>
  <c r="B5098" i="106"/>
  <c r="D5098" i="106" s="1"/>
  <c r="K15" i="29"/>
  <c r="B1107" i="106" s="1"/>
  <c r="D1107" i="106" s="1"/>
  <c r="B719" i="106"/>
  <c r="D719" i="106" s="1"/>
  <c r="B6309" i="106"/>
  <c r="D6309" i="106" s="1"/>
  <c r="H84" i="29"/>
  <c r="B2081" i="106" s="1"/>
  <c r="D2081" i="106" s="1"/>
  <c r="B2955" i="106"/>
  <c r="D2955" i="106" s="1"/>
  <c r="K268" i="29"/>
  <c r="B1497" i="106" s="1"/>
  <c r="D1497" i="106" s="1"/>
  <c r="B1433" i="106"/>
  <c r="D1433" i="106" s="1"/>
  <c r="B6185" i="106"/>
  <c r="D6185" i="106" s="1"/>
  <c r="B7045" i="106"/>
  <c r="D7045" i="106" s="1"/>
  <c r="B5691" i="106"/>
  <c r="D5691" i="106" s="1"/>
  <c r="F217" i="5"/>
  <c r="B5703" i="106" s="1"/>
  <c r="D5703" i="106" s="1"/>
  <c r="B6785" i="106"/>
  <c r="D6785" i="106" s="1"/>
  <c r="B5085" i="106"/>
  <c r="D5085" i="106" s="1"/>
  <c r="B5790" i="106"/>
  <c r="D5790" i="106" s="1"/>
  <c r="G204" i="5"/>
  <c r="B5803" i="106" s="1"/>
  <c r="D5803" i="106" s="1"/>
  <c r="E194" i="29"/>
  <c r="E196" i="29" s="1"/>
  <c r="B1352" i="106" s="1"/>
  <c r="D1352" i="106" s="1"/>
  <c r="K188" i="29"/>
  <c r="B3007" i="106" s="1"/>
  <c r="D3007" i="106" s="1"/>
  <c r="B2989" i="106"/>
  <c r="D2989" i="106" s="1"/>
  <c r="B6354" i="106"/>
  <c r="D6354" i="106" s="1"/>
  <c r="L47" i="29"/>
  <c r="B7792" i="106"/>
  <c r="D7792" i="106" s="1"/>
  <c r="B7786" i="106"/>
  <c r="D7786" i="106" s="1"/>
  <c r="K334" i="29"/>
  <c r="I129" i="29"/>
  <c r="B7037" i="106" s="1"/>
  <c r="D7037" i="106" s="1"/>
  <c r="F50" i="34"/>
  <c r="F71" i="34"/>
  <c r="G14" i="4"/>
  <c r="B2609" i="106" s="1"/>
  <c r="D2609" i="106" s="1"/>
  <c r="F72" i="34"/>
  <c r="F34" i="34"/>
  <c r="B7826" i="106" s="1"/>
  <c r="D7826" i="106" s="1"/>
  <c r="H12" i="184"/>
  <c r="B7198" i="106"/>
  <c r="D7198" i="106" s="1"/>
  <c r="E65" i="184"/>
  <c r="N65" i="184" s="1"/>
  <c r="B7126" i="106"/>
  <c r="D7126" i="106" s="1"/>
  <c r="E57" i="184"/>
  <c r="B7705" i="106"/>
  <c r="D7705" i="106" s="1"/>
  <c r="E67" i="184"/>
  <c r="N67" i="184" s="1"/>
  <c r="E63" i="184"/>
  <c r="N63" i="184" s="1"/>
  <c r="B7696" i="106"/>
  <c r="D7696" i="106" s="1"/>
  <c r="E66" i="184"/>
  <c r="N66" i="184" s="1"/>
  <c r="B7171" i="106"/>
  <c r="D7171" i="106" s="1"/>
  <c r="E62" i="184"/>
  <c r="N62" i="184" s="1"/>
  <c r="B7135" i="106"/>
  <c r="D7135" i="106" s="1"/>
  <c r="E58" i="184"/>
  <c r="N58" i="184" s="1"/>
  <c r="G33" i="108"/>
  <c r="E17" i="184"/>
  <c r="H17" i="184" s="1"/>
  <c r="F37" i="34"/>
  <c r="B7829" i="106" s="1"/>
  <c r="D7829" i="106" s="1"/>
  <c r="C342" i="29"/>
  <c r="B7216" i="106" s="1"/>
  <c r="D721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F70" i="34"/>
  <c r="B7047" i="106"/>
  <c r="D7047" i="106" s="1"/>
  <c r="C352" i="29"/>
  <c r="B3621" i="106" s="1"/>
  <c r="D3621" i="106" s="1"/>
  <c r="B1124" i="106"/>
  <c r="D1124" i="106" s="1"/>
  <c r="E33" i="108"/>
  <c r="J22" i="37"/>
  <c r="F19" i="7"/>
  <c r="B1807" i="106" s="1"/>
  <c r="D1807" i="106" s="1"/>
  <c r="F46" i="34"/>
  <c r="F38" i="34"/>
  <c r="B7830" i="106" s="1"/>
  <c r="D7830" i="106" s="1"/>
  <c r="F28" i="108"/>
  <c r="E26" i="108"/>
  <c r="H112" i="29"/>
  <c r="B7018" i="106" s="1"/>
  <c r="D7018" i="106" s="1"/>
  <c r="J77" i="4"/>
  <c r="B6262" i="106" s="1"/>
  <c r="D6262" i="106" s="1"/>
  <c r="K76" i="4"/>
  <c r="B3586" i="106" s="1"/>
  <c r="D3586" i="106" s="1"/>
  <c r="L13" i="11"/>
  <c r="B2060" i="106" s="1"/>
  <c r="D2060" i="106" s="1"/>
  <c r="G210" i="29"/>
  <c r="L5" i="11"/>
  <c r="B2056" i="106" s="1"/>
  <c r="D2056" i="106" s="1"/>
  <c r="J352" i="29"/>
  <c r="J367" i="29" s="1"/>
  <c r="B7245" i="106" s="1"/>
  <c r="D7245" i="106" s="1"/>
  <c r="D6103" i="10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D37" i="108"/>
  <c r="F37" i="108"/>
  <c r="E28" i="108"/>
  <c r="D31" i="36"/>
  <c r="B4087" i="106"/>
  <c r="D4087" i="106" s="1"/>
  <c r="L15" i="11"/>
  <c r="B3459" i="106" s="1"/>
  <c r="D3459" i="106" s="1"/>
  <c r="I24" i="12"/>
  <c r="D5" i="4"/>
  <c r="B3406" i="106" s="1"/>
  <c r="D3406" i="106" s="1"/>
  <c r="L312" i="29"/>
  <c r="F21" i="8"/>
  <c r="F41" i="34"/>
  <c r="D3583" i="106"/>
  <c r="B1410" i="106"/>
  <c r="D1410" i="106" s="1"/>
  <c r="B1329" i="106"/>
  <c r="D1329" i="106" s="1"/>
  <c r="F61" i="34"/>
  <c r="D12" i="7"/>
  <c r="B1769" i="106" s="1"/>
  <c r="D1769" i="106" s="1"/>
  <c r="D13" i="7"/>
  <c r="B3726" i="106" s="1"/>
  <c r="D3726" i="106" s="1"/>
  <c r="I170" i="5"/>
  <c r="B4216" i="106" s="1"/>
  <c r="D4216" i="106" s="1"/>
  <c r="G5" i="4"/>
  <c r="B3409" i="106" s="1"/>
  <c r="D3409" i="106" s="1"/>
  <c r="F125" i="34"/>
  <c r="B7857" i="106" s="1"/>
  <c r="D7857" i="106" s="1"/>
  <c r="G169" i="5"/>
  <c r="B5770" i="106" s="1"/>
  <c r="D5770" i="106" s="1"/>
  <c r="I267" i="5"/>
  <c r="B4435" i="106" s="1"/>
  <c r="D4435" i="106" s="1"/>
  <c r="B4396" i="106"/>
  <c r="D4396" i="106" s="1"/>
  <c r="B5066" i="106"/>
  <c r="D5066" i="106" s="1"/>
  <c r="F112" i="34"/>
  <c r="B7847" i="106" s="1"/>
  <c r="D7847" i="106" s="1"/>
  <c r="F124" i="34"/>
  <c r="B7856" i="106" s="1"/>
  <c r="D7856" i="106" s="1"/>
  <c r="D5" i="7"/>
  <c r="B1761" i="106" s="1"/>
  <c r="D1761" i="106" s="1"/>
  <c r="K170" i="5"/>
  <c r="K6" i="4" s="1"/>
  <c r="B3570" i="106" s="1"/>
  <c r="D3570" i="106" s="1"/>
  <c r="K267" i="5"/>
  <c r="B6022" i="106" s="1"/>
  <c r="D6022" i="106" s="1"/>
  <c r="F127" i="34"/>
  <c r="B7859" i="106" s="1"/>
  <c r="D7859" i="106" s="1"/>
  <c r="D11" i="7"/>
  <c r="B1768" i="106" s="1"/>
  <c r="D1768" i="106" s="1"/>
  <c r="F169" i="5"/>
  <c r="B5644" i="106" s="1"/>
  <c r="D5644" i="106" s="1"/>
  <c r="H295" i="29"/>
  <c r="B1454" i="106" s="1"/>
  <c r="D1454" i="106" s="1"/>
  <c r="B4156" i="106"/>
  <c r="D4156" i="106" s="1"/>
  <c r="H172" i="29"/>
  <c r="H174" i="29" s="1"/>
  <c r="B1318" i="106" s="1"/>
  <c r="D1318" i="106" s="1"/>
  <c r="B2823" i="106"/>
  <c r="D2823" i="106" s="1"/>
  <c r="E102" i="29"/>
  <c r="B2790" i="106" s="1"/>
  <c r="D2790" i="106" s="1"/>
  <c r="G342" i="29"/>
  <c r="B79" i="36"/>
  <c r="B77" i="36"/>
  <c r="F126" i="34"/>
  <c r="B7858" i="106" s="1"/>
  <c r="D7858" i="106" s="1"/>
  <c r="D14" i="7"/>
  <c r="B1770" i="106" s="1"/>
  <c r="D1770" i="106" s="1"/>
  <c r="F5" i="4"/>
  <c r="B3408" i="106" s="1"/>
  <c r="D3408" i="106" s="1"/>
  <c r="C5" i="4"/>
  <c r="B3405" i="106" s="1"/>
  <c r="D3405" i="106" s="1"/>
  <c r="B6840" i="106"/>
  <c r="D6840" i="106" s="1"/>
  <c r="B6839" i="106"/>
  <c r="D6839"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D352" i="29"/>
  <c r="D367" i="29" s="1"/>
  <c r="B3629" i="106" s="1"/>
  <c r="D3629" i="106" s="1"/>
  <c r="K16" i="11"/>
  <c r="B2055" i="106" s="1"/>
  <c r="D2055" i="106" s="1"/>
  <c r="H312" i="29"/>
  <c r="B1554" i="106" s="1"/>
  <c r="D1554" i="106" s="1"/>
  <c r="B1512" i="106"/>
  <c r="D1512" i="106" s="1"/>
  <c r="B1239" i="106"/>
  <c r="D1239" i="106" s="1"/>
  <c r="E129" i="29"/>
  <c r="B1146" i="106"/>
  <c r="D1146" i="106" s="1"/>
  <c r="B122" i="106"/>
  <c r="D122" i="106" s="1"/>
  <c r="B1134" i="106"/>
  <c r="D1134" i="106" s="1"/>
  <c r="B7759" i="106"/>
  <c r="D7759" i="106" s="1"/>
  <c r="B169" i="106"/>
  <c r="D169" i="106" s="1"/>
  <c r="L3" i="11"/>
  <c r="B7596" i="106" s="1"/>
  <c r="L9" i="11"/>
  <c r="B7614" i="106" s="1"/>
  <c r="L10" i="11"/>
  <c r="B2058" i="106" s="1"/>
  <c r="D2058" i="106" s="1"/>
  <c r="D10" i="7"/>
  <c r="B1765" i="106" s="1"/>
  <c r="D1765" i="106" s="1"/>
  <c r="D16" i="7"/>
  <c r="B3447" i="106" s="1"/>
  <c r="D3447" i="106" s="1"/>
  <c r="D8" i="7"/>
  <c r="B1764" i="106" s="1"/>
  <c r="D1764" i="106" s="1"/>
  <c r="B1121" i="106"/>
  <c r="D1121" i="106" s="1"/>
  <c r="B1116" i="106"/>
  <c r="D1116" i="106" s="1"/>
  <c r="K47" i="29"/>
  <c r="B7600" i="106"/>
  <c r="L6" i="11"/>
  <c r="B7605" i="106" s="1"/>
  <c r="A7250" i="106"/>
  <c r="A7251" i="106" s="1"/>
  <c r="A7252" i="106" s="1"/>
  <c r="A7253" i="106" s="1"/>
  <c r="A7254" i="106" s="1"/>
  <c r="A7255" i="106" s="1"/>
  <c r="A7256" i="106" s="1"/>
  <c r="A7257" i="106" s="1"/>
  <c r="E266" i="5"/>
  <c r="B6835" i="106"/>
  <c r="D6835"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D7248" i="106"/>
  <c r="D7247" i="106"/>
  <c r="D7246" i="106"/>
  <c r="J312" i="29"/>
  <c r="B7117" i="106" s="1"/>
  <c r="D7117" i="106" s="1"/>
  <c r="B6916" i="106"/>
  <c r="D6916" i="106" s="1"/>
  <c r="I49" i="8"/>
  <c r="E352" i="29"/>
  <c r="E44" i="4"/>
  <c r="B3235" i="106"/>
  <c r="D3235" i="106" s="1"/>
  <c r="D77" i="4"/>
  <c r="B3238" i="106" s="1"/>
  <c r="D3238" i="106" s="1"/>
  <c r="B3229" i="106"/>
  <c r="D3229" i="106" s="1"/>
  <c r="B1867" i="106"/>
  <c r="D1867" i="106" s="1"/>
  <c r="F15" i="8"/>
  <c r="B4099" i="106"/>
  <c r="D4099" i="106" s="1"/>
  <c r="F312" i="29"/>
  <c r="B1542" i="106" s="1"/>
  <c r="D1542" i="106" s="1"/>
  <c r="B1523" i="106"/>
  <c r="D1523" i="106" s="1"/>
  <c r="K261" i="29"/>
  <c r="B1491" i="106" s="1"/>
  <c r="D1491" i="106" s="1"/>
  <c r="B1475" i="106"/>
  <c r="D1475" i="106" s="1"/>
  <c r="B2842" i="106"/>
  <c r="D2842" i="106" s="1"/>
  <c r="B1127" i="106"/>
  <c r="D1127" i="106" s="1"/>
  <c r="B3640" i="106"/>
  <c r="D3640" i="106" s="1"/>
  <c r="F352" i="29"/>
  <c r="F367" i="29" s="1"/>
  <c r="L12" i="11"/>
  <c r="B2059" i="106" s="1"/>
  <c r="D2059" i="106" s="1"/>
  <c r="L8" i="11"/>
  <c r="B2057" i="106" s="1"/>
  <c r="D2057" i="106" s="1"/>
  <c r="G24" i="12"/>
  <c r="B1256" i="106"/>
  <c r="D1256" i="106" s="1"/>
  <c r="G129" i="29"/>
  <c r="K100" i="29"/>
  <c r="B7013" i="106" s="1"/>
  <c r="D7013" i="106" s="1"/>
  <c r="B1135" i="106"/>
  <c r="D1135" i="106" s="1"/>
  <c r="B1021" i="106"/>
  <c r="D1021" i="106" s="1"/>
  <c r="B847" i="106"/>
  <c r="D847" i="106" s="1"/>
  <c r="B1358" i="106"/>
  <c r="D1358" i="106" s="1"/>
  <c r="F210" i="29"/>
  <c r="B1359" i="106" s="1"/>
  <c r="D1359" i="106" s="1"/>
  <c r="B1345" i="106"/>
  <c r="D1345" i="106" s="1"/>
  <c r="B1275" i="106"/>
  <c r="D1275" i="106" s="1"/>
  <c r="B1247" i="106"/>
  <c r="D1247" i="106" s="1"/>
  <c r="F129" i="29"/>
  <c r="B1109" i="106"/>
  <c r="D1109" i="106" s="1"/>
  <c r="B905" i="106"/>
  <c r="D905" i="106" s="1"/>
  <c r="B211" i="106"/>
  <c r="D211" i="106" s="1"/>
  <c r="B139" i="106"/>
  <c r="D139" i="106" s="1"/>
  <c r="J24" i="12"/>
  <c r="B7730" i="106"/>
  <c r="D7730" i="106" s="1"/>
  <c r="F45" i="34" l="1"/>
  <c r="B3647" i="106"/>
  <c r="D3647" i="106" s="1"/>
  <c r="K204" i="29"/>
  <c r="F31" i="108"/>
  <c r="H74" i="29"/>
  <c r="K350" i="29"/>
  <c r="E16" i="184"/>
  <c r="H16" i="184" s="1"/>
  <c r="B1131" i="106"/>
  <c r="D1131" i="106" s="1"/>
  <c r="H129" i="29"/>
  <c r="E35" i="108"/>
  <c r="E61" i="184"/>
  <c r="N61" i="184" s="1"/>
  <c r="B1555" i="106"/>
  <c r="D1555" i="106" s="1"/>
  <c r="D312" i="29"/>
  <c r="B1530" i="106" s="1"/>
  <c r="D1530" i="106" s="1"/>
  <c r="G312" i="29"/>
  <c r="B1548" i="106" s="1"/>
  <c r="D1548" i="106" s="1"/>
  <c r="K238" i="29"/>
  <c r="B2828" i="106"/>
  <c r="D2828" i="106" s="1"/>
  <c r="K184" i="29"/>
  <c r="F13" i="4" s="1"/>
  <c r="B2596" i="106" s="1"/>
  <c r="D2596" i="106" s="1"/>
  <c r="L210" i="29"/>
  <c r="B2986" i="106"/>
  <c r="D2986" i="106" s="1"/>
  <c r="L102" i="29"/>
  <c r="B6995" i="106"/>
  <c r="D6995" i="106" s="1"/>
  <c r="K72" i="29"/>
  <c r="B1141" i="106" s="1"/>
  <c r="D1141" i="106" s="1"/>
  <c r="G35" i="108"/>
  <c r="E74" i="29"/>
  <c r="E114" i="29" s="1"/>
  <c r="B873" i="106" s="1"/>
  <c r="D873" i="106" s="1"/>
  <c r="J74" i="29"/>
  <c r="J114" i="29" s="1"/>
  <c r="B7021" i="106" s="1"/>
  <c r="D7021" i="106" s="1"/>
  <c r="L74" i="29"/>
  <c r="L114" i="29" s="1"/>
  <c r="D74" i="29"/>
  <c r="B813" i="106" s="1"/>
  <c r="D813" i="106" s="1"/>
  <c r="I312" i="29"/>
  <c r="B7116" i="106" s="1"/>
  <c r="D7116" i="106" s="1"/>
  <c r="E210" i="29"/>
  <c r="B1353" i="106" s="1"/>
  <c r="D1353" i="106" s="1"/>
  <c r="K168" i="29"/>
  <c r="K172" i="29" s="1"/>
  <c r="J129" i="29"/>
  <c r="B7038" i="106" s="1"/>
  <c r="D7038" i="106" s="1"/>
  <c r="K257" i="29"/>
  <c r="B1488" i="106" s="1"/>
  <c r="D1488" i="106" s="1"/>
  <c r="C74" i="29"/>
  <c r="B755" i="106" s="1"/>
  <c r="D755" i="106" s="1"/>
  <c r="H352" i="29"/>
  <c r="B3656" i="106" s="1"/>
  <c r="D3656" i="106" s="1"/>
  <c r="K84" i="29"/>
  <c r="B2088" i="106" s="1"/>
  <c r="D2088" i="106" s="1"/>
  <c r="H365" i="29"/>
  <c r="B7242" i="106" s="1"/>
  <c r="D7242" i="106" s="1"/>
  <c r="K147" i="29"/>
  <c r="K277" i="29"/>
  <c r="B1508" i="106" s="1"/>
  <c r="D1508" i="106" s="1"/>
  <c r="J342" i="29"/>
  <c r="B7223" i="106" s="1"/>
  <c r="D7223" i="106" s="1"/>
  <c r="H342" i="29"/>
  <c r="B7221" i="106" s="1"/>
  <c r="D7221" i="106" s="1"/>
  <c r="L151" i="29"/>
  <c r="G266" i="5"/>
  <c r="B5863" i="106" s="1"/>
  <c r="D5863" i="106" s="1"/>
  <c r="B4398" i="106"/>
  <c r="D4398" i="106" s="1"/>
  <c r="J267" i="5"/>
  <c r="B7054" i="106" s="1"/>
  <c r="D7054" i="106" s="1"/>
  <c r="H170" i="5"/>
  <c r="B5537" i="106"/>
  <c r="D5537" i="106" s="1"/>
  <c r="G109" i="5"/>
  <c r="D4" i="7"/>
  <c r="B1760" i="106" s="1"/>
  <c r="D1760" i="106" s="1"/>
  <c r="F107" i="34"/>
  <c r="B7843" i="106" s="1"/>
  <c r="D7843" i="106" s="1"/>
  <c r="D169" i="5"/>
  <c r="B5412" i="106" s="1"/>
  <c r="D5412" i="106" s="1"/>
  <c r="F96" i="34"/>
  <c r="B7838" i="106" s="1"/>
  <c r="D7838" i="106" s="1"/>
  <c r="D15" i="7"/>
  <c r="B1772" i="106" s="1"/>
  <c r="D1772" i="106" s="1"/>
  <c r="I109" i="5"/>
  <c r="I4" i="4" s="1"/>
  <c r="B6838" i="106"/>
  <c r="D6838" i="106" s="1"/>
  <c r="J170" i="5"/>
  <c r="B6397" i="106" s="1"/>
  <c r="D6397" i="106" s="1"/>
  <c r="F133" i="34"/>
  <c r="B7865" i="106" s="1"/>
  <c r="D7865" i="106" s="1"/>
  <c r="B1746" i="106"/>
  <c r="D1746" i="106" s="1"/>
  <c r="F106" i="34"/>
  <c r="B7842" i="106" s="1"/>
  <c r="D7842" i="106" s="1"/>
  <c r="D7" i="7"/>
  <c r="B1763" i="106" s="1"/>
  <c r="D1763" i="106" s="1"/>
  <c r="F266" i="5"/>
  <c r="B5713" i="106" s="1"/>
  <c r="D5713" i="106" s="1"/>
  <c r="E109" i="5"/>
  <c r="E4" i="4" s="1"/>
  <c r="B2630" i="106" s="1"/>
  <c r="D2630" i="106" s="1"/>
  <c r="G77" i="4"/>
  <c r="B3261" i="106" s="1"/>
  <c r="D3261" i="106" s="1"/>
  <c r="C77" i="4"/>
  <c r="B3232" i="106" s="1"/>
  <c r="D3232" i="106" s="1"/>
  <c r="I76" i="4"/>
  <c r="B3318" i="106" s="1"/>
  <c r="D3318" i="106" s="1"/>
  <c r="H76" i="4"/>
  <c r="B3298" i="106" s="1"/>
  <c r="D3298" i="106" s="1"/>
  <c r="L342" i="29"/>
  <c r="L367" i="29"/>
  <c r="K362" i="29"/>
  <c r="G367" i="29"/>
  <c r="B3650" i="106" s="1"/>
  <c r="D3650" i="106" s="1"/>
  <c r="K330" i="29"/>
  <c r="E23" i="108" s="1"/>
  <c r="I342" i="29"/>
  <c r="F76" i="34" s="1"/>
  <c r="B7887" i="106" s="1"/>
  <c r="D7887" i="106" s="1"/>
  <c r="E60" i="184"/>
  <c r="N60" i="184" s="1"/>
  <c r="K293" i="29"/>
  <c r="G16" i="4" s="1"/>
  <c r="B2611" i="106" s="1"/>
  <c r="D2611" i="106" s="1"/>
  <c r="K285" i="29"/>
  <c r="B3724" i="106" s="1"/>
  <c r="D3724" i="106" s="1"/>
  <c r="L279" i="29"/>
  <c r="L295" i="29" s="1"/>
  <c r="D279" i="29"/>
  <c r="D295" i="29" s="1"/>
  <c r="B1448" i="106" s="1"/>
  <c r="D1448" i="106" s="1"/>
  <c r="K243" i="29"/>
  <c r="B1485" i="106" s="1"/>
  <c r="D1485" i="106" s="1"/>
  <c r="K194" i="29"/>
  <c r="K196" i="29" s="1"/>
  <c r="I210" i="29"/>
  <c r="B7071" i="106" s="1"/>
  <c r="D7071" i="106" s="1"/>
  <c r="C210" i="29"/>
  <c r="B1340" i="106" s="1"/>
  <c r="D1340" i="106" s="1"/>
  <c r="J210" i="29"/>
  <c r="B7072" i="106" s="1"/>
  <c r="D7072" i="106" s="1"/>
  <c r="E39" i="108"/>
  <c r="K127" i="29"/>
  <c r="B1279" i="106" s="1"/>
  <c r="D1279" i="106" s="1"/>
  <c r="C129" i="29"/>
  <c r="D129" i="29"/>
  <c r="D151" i="29" s="1"/>
  <c r="B1234" i="106" s="1"/>
  <c r="D1234" i="106" s="1"/>
  <c r="H102" i="29"/>
  <c r="B1047" i="106" s="1"/>
  <c r="D1047" i="106" s="1"/>
  <c r="G39" i="108"/>
  <c r="B1144" i="106"/>
  <c r="D1144" i="106" s="1"/>
  <c r="F27" i="108"/>
  <c r="G29" i="108"/>
  <c r="B1126" i="106"/>
  <c r="D1126" i="106" s="1"/>
  <c r="D26" i="108"/>
  <c r="F26" i="108"/>
  <c r="E29" i="108"/>
  <c r="K65" i="29"/>
  <c r="B1133" i="106" s="1"/>
  <c r="D1133" i="106" s="1"/>
  <c r="F74" i="29"/>
  <c r="F114" i="29" s="1"/>
  <c r="B931" i="106" s="1"/>
  <c r="D931" i="106" s="1"/>
  <c r="K57" i="29"/>
  <c r="E24" i="108" s="1"/>
  <c r="G74" i="29"/>
  <c r="G114" i="29" s="1"/>
  <c r="F36" i="34"/>
  <c r="B7828" i="106" s="1"/>
  <c r="D7828" i="106" s="1"/>
  <c r="F35" i="34"/>
  <c r="B7827" i="106" s="1"/>
  <c r="D7827" i="106" s="1"/>
  <c r="K33" i="29"/>
  <c r="B1108" i="106" s="1"/>
  <c r="D1108" i="106" s="1"/>
  <c r="H267" i="5"/>
  <c r="H7" i="4" s="1"/>
  <c r="B2657" i="106" s="1"/>
  <c r="D2657" i="106" s="1"/>
  <c r="F158" i="34"/>
  <c r="B7866" i="106" s="1"/>
  <c r="D7866" i="106" s="1"/>
  <c r="F128" i="34"/>
  <c r="B7860" i="106" s="1"/>
  <c r="D7860" i="106" s="1"/>
  <c r="C266" i="5"/>
  <c r="B5320" i="106" s="1"/>
  <c r="D5320" i="106" s="1"/>
  <c r="D266" i="5"/>
  <c r="B5501" i="106" s="1"/>
  <c r="D5501" i="106" s="1"/>
  <c r="F108" i="34"/>
  <c r="B7844" i="106" s="1"/>
  <c r="D7844" i="106" s="1"/>
  <c r="B5096" i="106"/>
  <c r="D5096" i="106" s="1"/>
  <c r="J109" i="5"/>
  <c r="H109" i="5"/>
  <c r="B19" i="7"/>
  <c r="B1759" i="106" s="1"/>
  <c r="D1759" i="106" s="1"/>
  <c r="D18" i="7"/>
  <c r="B4105" i="106" s="1"/>
  <c r="D4105" i="106" s="1"/>
  <c r="D109" i="5"/>
  <c r="B5356" i="106" s="1"/>
  <c r="D5356" i="106" s="1"/>
  <c r="F77" i="4"/>
  <c r="B3255" i="106" s="1"/>
  <c r="D3255" i="106" s="1"/>
  <c r="E13" i="184"/>
  <c r="H13" i="184" s="1"/>
  <c r="B2724" i="106"/>
  <c r="D2724" i="106" s="1"/>
  <c r="H12" i="12"/>
  <c r="B1972" i="106"/>
  <c r="D1972" i="106" s="1"/>
  <c r="C14" i="4"/>
  <c r="B2558" i="106" s="1"/>
  <c r="D2558" i="106" s="1"/>
  <c r="F52" i="34"/>
  <c r="B7831" i="106" s="1"/>
  <c r="D7831" i="106" s="1"/>
  <c r="F68" i="34"/>
  <c r="B7076" i="106"/>
  <c r="D7076" i="106" s="1"/>
  <c r="L174" i="29"/>
  <c r="B1130" i="106"/>
  <c r="D1130" i="106" s="1"/>
  <c r="G30" i="108"/>
  <c r="G38" i="108"/>
  <c r="H139" i="29"/>
  <c r="B1267" i="106" s="1"/>
  <c r="D1267" i="106" s="1"/>
  <c r="B2091" i="106"/>
  <c r="D2091" i="106" s="1"/>
  <c r="G34" i="108"/>
  <c r="E34" i="108"/>
  <c r="K42" i="29"/>
  <c r="G21" i="108" s="1"/>
  <c r="K270" i="29"/>
  <c r="B1500" i="106" s="1"/>
  <c r="D1500" i="106" s="1"/>
  <c r="C169" i="5"/>
  <c r="B5214" i="106" s="1"/>
  <c r="D5214" i="106" s="1"/>
  <c r="C109" i="5"/>
  <c r="B5121" i="106" s="1"/>
  <c r="D5121" i="106" s="1"/>
  <c r="B1274" i="106"/>
  <c r="D1274" i="106" s="1"/>
  <c r="B4211" i="106"/>
  <c r="D4211" i="106" s="1"/>
  <c r="F64" i="34"/>
  <c r="F109" i="5"/>
  <c r="F4" i="4" s="1"/>
  <c r="B2591" i="106" s="1"/>
  <c r="D2591" i="106" s="1"/>
  <c r="K160" i="29"/>
  <c r="K12" i="12"/>
  <c r="B7712" i="106"/>
  <c r="D7712" i="106" s="1"/>
  <c r="B1137" i="106"/>
  <c r="D1137" i="106" s="1"/>
  <c r="D36" i="108"/>
  <c r="F36" i="108"/>
  <c r="B7074" i="106"/>
  <c r="D7074" i="106" s="1"/>
  <c r="F67" i="34"/>
  <c r="F69" i="34"/>
  <c r="B7078" i="106"/>
  <c r="D7078" i="106" s="1"/>
  <c r="E38" i="108"/>
  <c r="E64" i="184"/>
  <c r="N64" i="184" s="1"/>
  <c r="G26" i="108"/>
  <c r="B2805" i="106"/>
  <c r="D2805" i="106" s="1"/>
  <c r="F56" i="34"/>
  <c r="B7832" i="106" s="1"/>
  <c r="D7832" i="106" s="1"/>
  <c r="D14" i="4"/>
  <c r="B2570" i="106" s="1"/>
  <c r="D2570" i="106" s="1"/>
  <c r="K310" i="29"/>
  <c r="K312" i="29" s="1"/>
  <c r="B1560" i="106" s="1"/>
  <c r="D1560" i="106" s="1"/>
  <c r="E312" i="29"/>
  <c r="B1536" i="106" s="1"/>
  <c r="D1536" i="106" s="1"/>
  <c r="H15" i="184"/>
  <c r="F42" i="34"/>
  <c r="E139" i="29"/>
  <c r="B4203" i="106" s="1"/>
  <c r="D4203" i="106" s="1"/>
  <c r="B4202" i="106"/>
  <c r="D4202" i="106" s="1"/>
  <c r="H44" i="4"/>
  <c r="B3296" i="106" s="1"/>
  <c r="D3296" i="106" s="1"/>
  <c r="B6289" i="106"/>
  <c r="D6289" i="106" s="1"/>
  <c r="I151" i="29"/>
  <c r="F59" i="34" s="1"/>
  <c r="B7790" i="106"/>
  <c r="D7790" i="106" s="1"/>
  <c r="F74" i="34"/>
  <c r="J15" i="4"/>
  <c r="B7796" i="106" s="1"/>
  <c r="D7796" i="106" s="1"/>
  <c r="K15" i="4"/>
  <c r="B3573" i="106" s="1"/>
  <c r="D3573" i="106" s="1"/>
  <c r="B3674" i="106"/>
  <c r="D3674" i="106" s="1"/>
  <c r="B7215" i="106"/>
  <c r="D7215" i="106" s="1"/>
  <c r="B1266" i="106"/>
  <c r="D1266" i="106" s="1"/>
  <c r="K77" i="4"/>
  <c r="B3587" i="106" s="1"/>
  <c r="D3587" i="106" s="1"/>
  <c r="B1381" i="106"/>
  <c r="D1381" i="106" s="1"/>
  <c r="B1328" i="106"/>
  <c r="D1328" i="106" s="1"/>
  <c r="N57" i="184"/>
  <c r="C367" i="29"/>
  <c r="B3622" i="106" s="1"/>
  <c r="D3622" i="106" s="1"/>
  <c r="I7" i="4"/>
  <c r="B4444" i="106" s="1"/>
  <c r="D4444" i="106" s="1"/>
  <c r="G170" i="5"/>
  <c r="B5778" i="106" s="1"/>
  <c r="D5778" i="106" s="1"/>
  <c r="B273" i="106"/>
  <c r="D273" i="106" s="1"/>
  <c r="M23" i="3"/>
  <c r="B2914" i="106"/>
  <c r="D2914" i="106" s="1"/>
  <c r="L34" i="3"/>
  <c r="B7235" i="106"/>
  <c r="D7235" i="106" s="1"/>
  <c r="E367" i="29"/>
  <c r="B3636" i="106" s="1"/>
  <c r="D3636" i="106" s="1"/>
  <c r="B3635" i="106"/>
  <c r="D3635" i="106" s="1"/>
  <c r="B7220" i="106"/>
  <c r="D7220" i="106" s="1"/>
  <c r="F75" i="34"/>
  <c r="B7886" i="106" s="1"/>
  <c r="D7886" i="106" s="1"/>
  <c r="B7222" i="106"/>
  <c r="D7222" i="106" s="1"/>
  <c r="K342" i="29"/>
  <c r="F13" i="34" s="1"/>
  <c r="L16" i="11"/>
  <c r="B2061" i="106" s="1"/>
  <c r="D2061" i="106" s="1"/>
  <c r="D7256" i="106"/>
  <c r="D7251" i="106"/>
  <c r="D7254" i="106"/>
  <c r="D7250" i="106"/>
  <c r="B1365" i="106"/>
  <c r="D1365" i="106" s="1"/>
  <c r="F65" i="34"/>
  <c r="I26" i="12"/>
  <c r="B7741" i="106" s="1"/>
  <c r="D7741" i="106" s="1"/>
  <c r="B1996" i="106"/>
  <c r="D1996" i="106" s="1"/>
  <c r="B1317" i="106"/>
  <c r="D1317" i="106" s="1"/>
  <c r="D7255" i="106"/>
  <c r="D7253" i="106"/>
  <c r="D7252" i="106"/>
  <c r="B1879" i="106"/>
  <c r="D1879" i="106" s="1"/>
  <c r="H22" i="37"/>
  <c r="B3628" i="106"/>
  <c r="D3628" i="106" s="1"/>
  <c r="G15" i="4"/>
  <c r="B6032" i="106" s="1"/>
  <c r="D6032" i="106" s="1"/>
  <c r="B3670" i="106"/>
  <c r="D3670" i="106" s="1"/>
  <c r="K352" i="29"/>
  <c r="I6" i="4"/>
  <c r="B5011" i="106" s="1"/>
  <c r="D5011" i="106" s="1"/>
  <c r="K7" i="4"/>
  <c r="B3718" i="106" s="1"/>
  <c r="D3718" i="106" s="1"/>
  <c r="F170" i="5"/>
  <c r="B6024" i="106"/>
  <c r="D6024" i="106" s="1"/>
  <c r="G4" i="4"/>
  <c r="B2603" i="106" s="1"/>
  <c r="D2603" i="106" s="1"/>
  <c r="B6014" i="106"/>
  <c r="D6014" i="106" s="1"/>
  <c r="B5906" i="106"/>
  <c r="D5906" i="106" s="1"/>
  <c r="H6" i="4"/>
  <c r="B2656" i="106" s="1"/>
  <c r="D2656" i="106" s="1"/>
  <c r="B7760" i="106"/>
  <c r="D7760" i="106" s="1"/>
  <c r="D24" i="36"/>
  <c r="K102" i="29"/>
  <c r="F53" i="34" s="1"/>
  <c r="B1515" i="106"/>
  <c r="D1515" i="106" s="1"/>
  <c r="K4" i="4"/>
  <c r="B6028" i="106"/>
  <c r="D6028" i="106" s="1"/>
  <c r="B1151" i="106"/>
  <c r="D1151" i="106" s="1"/>
  <c r="K112" i="29"/>
  <c r="B1241" i="106"/>
  <c r="D1241" i="106" s="1"/>
  <c r="B1474" i="106"/>
  <c r="D1474" i="106" s="1"/>
  <c r="G12" i="4"/>
  <c r="B2607" i="106" s="1"/>
  <c r="D2607" i="106" s="1"/>
  <c r="J13" i="4"/>
  <c r="B7042" i="106" s="1"/>
  <c r="D7042" i="106" s="1"/>
  <c r="K268" i="5"/>
  <c r="B6023" i="106" s="1"/>
  <c r="D6023" i="106" s="1"/>
  <c r="B1115" i="106"/>
  <c r="D1115" i="106" s="1"/>
  <c r="B1233" i="106"/>
  <c r="D1233" i="106" s="1"/>
  <c r="F151" i="29"/>
  <c r="B1250" i="106" s="1"/>
  <c r="D1250" i="106" s="1"/>
  <c r="B1249" i="106"/>
  <c r="D1249" i="106" s="1"/>
  <c r="K149" i="29"/>
  <c r="B7048" i="106"/>
  <c r="D7048" i="106" s="1"/>
  <c r="G151" i="29"/>
  <c r="F58" i="34" s="1"/>
  <c r="B1258" i="106"/>
  <c r="D1258" i="106" s="1"/>
  <c r="B1331" i="106"/>
  <c r="D1331" i="106" s="1"/>
  <c r="E16" i="4"/>
  <c r="B1125" i="106"/>
  <c r="D1125" i="106" s="1"/>
  <c r="G24" i="108"/>
  <c r="K208" i="29"/>
  <c r="B4157" i="106"/>
  <c r="D4157" i="106" s="1"/>
  <c r="B1559" i="106"/>
  <c r="D1559" i="106" s="1"/>
  <c r="H13" i="4"/>
  <c r="B1875" i="106"/>
  <c r="D1875" i="106" s="1"/>
  <c r="F22" i="37"/>
  <c r="B3274" i="106"/>
  <c r="D3274" i="106" s="1"/>
  <c r="E77" i="4"/>
  <c r="B3277" i="106" s="1"/>
  <c r="D3277" i="106" s="1"/>
  <c r="B6977" i="106"/>
  <c r="D6977" i="106" s="1"/>
  <c r="I114" i="29"/>
  <c r="G267" i="5"/>
  <c r="B7747" i="106"/>
  <c r="D7747" i="106" s="1"/>
  <c r="E267" i="5"/>
  <c r="A7258" i="106"/>
  <c r="D7257" i="106"/>
  <c r="B1122" i="106"/>
  <c r="D1122" i="106" s="1"/>
  <c r="B7732" i="106"/>
  <c r="D7732" i="106" s="1"/>
  <c r="J26" i="12"/>
  <c r="B7742" i="106" s="1"/>
  <c r="D7742" i="106" s="1"/>
  <c r="B1045" i="106"/>
  <c r="D1045"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1481" i="106"/>
  <c r="D1481" i="106" s="1"/>
  <c r="H15" i="4"/>
  <c r="B2660" i="106" s="1"/>
  <c r="D2660" i="106" s="1"/>
  <c r="B4171" i="106"/>
  <c r="D4171" i="106" s="1"/>
  <c r="N36" i="3"/>
  <c r="B7244" i="106"/>
  <c r="D7244" i="106" s="1"/>
  <c r="B7234" i="106"/>
  <c r="D7234" i="106" s="1"/>
  <c r="C12" i="4"/>
  <c r="B5544" i="106"/>
  <c r="D5544" i="106" s="1"/>
  <c r="E6" i="4"/>
  <c r="G22" i="108"/>
  <c r="B1119" i="106"/>
  <c r="D1119" i="106" s="1"/>
  <c r="E22" i="108"/>
  <c r="N68" i="184" l="1"/>
  <c r="H19" i="184"/>
  <c r="L20" i="184" s="1"/>
  <c r="H367" i="29"/>
  <c r="B3660" i="106" s="1"/>
  <c r="D3660" i="106" s="1"/>
  <c r="G23" i="108"/>
  <c r="B7207" i="106"/>
  <c r="D7207" i="106" s="1"/>
  <c r="E68" i="184"/>
  <c r="B2102" i="106"/>
  <c r="D2102" i="106" s="1"/>
  <c r="F73" i="34"/>
  <c r="B2837" i="106"/>
  <c r="D2837" i="106" s="1"/>
  <c r="F66" i="34"/>
  <c r="K174" i="29"/>
  <c r="F10" i="34" s="1"/>
  <c r="J151" i="29"/>
  <c r="B7052" i="106" s="1"/>
  <c r="D7052" i="106" s="1"/>
  <c r="B7051" i="106"/>
  <c r="D7051" i="106" s="1"/>
  <c r="H114" i="29"/>
  <c r="B1054" i="106" s="1"/>
  <c r="D1054" i="106" s="1"/>
  <c r="D114" i="29"/>
  <c r="B815" i="106" s="1"/>
  <c r="D815" i="106" s="1"/>
  <c r="B6978" i="106"/>
  <c r="D6978" i="106" s="1"/>
  <c r="B871" i="106"/>
  <c r="D871" i="106" s="1"/>
  <c r="C114" i="29"/>
  <c r="B757" i="106" s="1"/>
  <c r="D757" i="106" s="1"/>
  <c r="G19" i="108"/>
  <c r="G41" i="108" s="1"/>
  <c r="G44" i="108" s="1"/>
  <c r="E19" i="108"/>
  <c r="F267" i="5"/>
  <c r="F7" i="4" s="1"/>
  <c r="B2594" i="106" s="1"/>
  <c r="D2594" i="106" s="1"/>
  <c r="D267" i="5"/>
  <c r="D7" i="4" s="1"/>
  <c r="B2567" i="106" s="1"/>
  <c r="D2567" i="106" s="1"/>
  <c r="B5914" i="106"/>
  <c r="D5914" i="106" s="1"/>
  <c r="J7" i="4"/>
  <c r="B6222" i="106" s="1"/>
  <c r="D6222" i="106" s="1"/>
  <c r="J6" i="4"/>
  <c r="B6221" i="106" s="1"/>
  <c r="D6221" i="106" s="1"/>
  <c r="J268" i="5"/>
  <c r="B7055" i="106" s="1"/>
  <c r="D7055" i="106" s="1"/>
  <c r="H268" i="5"/>
  <c r="B5915" i="106" s="1"/>
  <c r="D5915" i="106" s="1"/>
  <c r="D170" i="5"/>
  <c r="D6" i="4" s="1"/>
  <c r="B2566" i="106" s="1"/>
  <c r="D2566" i="106" s="1"/>
  <c r="B6026" i="106"/>
  <c r="D6026" i="106" s="1"/>
  <c r="I268" i="5"/>
  <c r="B5946" i="106" s="1"/>
  <c r="D5946" i="106" s="1"/>
  <c r="B5527" i="106"/>
  <c r="D5527" i="106" s="1"/>
  <c r="D19" i="7"/>
  <c r="B1775" i="106" s="1"/>
  <c r="D1775" i="106" s="1"/>
  <c r="I77" i="4"/>
  <c r="B3319" i="106" s="1"/>
  <c r="D3319" i="106" s="1"/>
  <c r="B3676" i="106"/>
  <c r="D3676" i="106" s="1"/>
  <c r="K365" i="29"/>
  <c r="K367" i="29" s="1"/>
  <c r="B3678" i="106" s="1"/>
  <c r="D3678" i="106" s="1"/>
  <c r="F41" i="108"/>
  <c r="G43" i="108" s="1"/>
  <c r="D41" i="108"/>
  <c r="E43" i="108" s="1"/>
  <c r="K279" i="29"/>
  <c r="K295" i="29" s="1"/>
  <c r="F12" i="34" s="1"/>
  <c r="B1446" i="106"/>
  <c r="D1446" i="106" s="1"/>
  <c r="H151" i="29"/>
  <c r="B1273" i="106" s="1"/>
  <c r="D1273" i="106" s="1"/>
  <c r="E151" i="29"/>
  <c r="B1242" i="106" s="1"/>
  <c r="D1242" i="106" s="1"/>
  <c r="K129" i="29"/>
  <c r="D13" i="4" s="1"/>
  <c r="B1225" i="106"/>
  <c r="D1225" i="106" s="1"/>
  <c r="C151" i="29"/>
  <c r="B1226" i="106" s="1"/>
  <c r="D1226" i="106" s="1"/>
  <c r="B929" i="106"/>
  <c r="D929" i="106" s="1"/>
  <c r="B987" i="106"/>
  <c r="D987" i="106" s="1"/>
  <c r="E21" i="108"/>
  <c r="K74" i="29"/>
  <c r="B1143" i="106" s="1"/>
  <c r="D1143" i="106" s="1"/>
  <c r="C267" i="5"/>
  <c r="B5326" i="106" s="1"/>
  <c r="D5326" i="106" s="1"/>
  <c r="F175" i="34"/>
  <c r="B7877" i="106" s="1"/>
  <c r="D7877" i="106" s="1"/>
  <c r="C170" i="5"/>
  <c r="B5588" i="106"/>
  <c r="D5588" i="106" s="1"/>
  <c r="D4" i="4"/>
  <c r="B2564" i="106" s="1"/>
  <c r="D2564" i="106" s="1"/>
  <c r="H4" i="4"/>
  <c r="H8" i="4" s="1"/>
  <c r="B6352" i="106"/>
  <c r="D6352" i="106" s="1"/>
  <c r="B6025" i="106"/>
  <c r="D6025" i="106" s="1"/>
  <c r="J4" i="4"/>
  <c r="B6220" i="106" s="1"/>
  <c r="D6220" i="106" s="1"/>
  <c r="C4" i="4"/>
  <c r="B2551" i="106" s="1"/>
  <c r="D2551" i="106" s="1"/>
  <c r="H77" i="4"/>
  <c r="B3299" i="106" s="1"/>
  <c r="D3299" i="106" s="1"/>
  <c r="E19" i="184"/>
  <c r="B7719" i="106"/>
  <c r="D7719" i="106" s="1"/>
  <c r="K24" i="12"/>
  <c r="H14" i="12"/>
  <c r="B1977" i="106"/>
  <c r="D1977" i="106" s="1"/>
  <c r="F60" i="34"/>
  <c r="B1323" i="106"/>
  <c r="D1323" i="106" s="1"/>
  <c r="E15" i="4"/>
  <c r="B2633" i="106" s="1"/>
  <c r="D2633" i="106" s="1"/>
  <c r="B7224" i="106"/>
  <c r="D7224" i="106" s="1"/>
  <c r="G6" i="4"/>
  <c r="B2604" i="106" s="1"/>
  <c r="D2604" i="106" s="1"/>
  <c r="B279" i="106"/>
  <c r="D279" i="106" s="1"/>
  <c r="B2916" i="106"/>
  <c r="D2916" i="106" s="1"/>
  <c r="L41" i="3"/>
  <c r="B1145" i="106"/>
  <c r="D1145" i="106" s="1"/>
  <c r="F24" i="37"/>
  <c r="D268" i="5"/>
  <c r="B5508" i="106" s="1"/>
  <c r="D5508" i="106" s="1"/>
  <c r="J17" i="4"/>
  <c r="J19" i="4" s="1"/>
  <c r="B6229" i="106" s="1"/>
  <c r="D6229" i="106" s="1"/>
  <c r="K13" i="4"/>
  <c r="B3572" i="106" s="1"/>
  <c r="D3572" i="106" s="1"/>
  <c r="B3672" i="106"/>
  <c r="D3672" i="106" s="1"/>
  <c r="F6" i="4"/>
  <c r="B2593" i="106" s="1"/>
  <c r="D2593" i="106" s="1"/>
  <c r="B5653" i="106"/>
  <c r="D5653" i="106" s="1"/>
  <c r="C15" i="4"/>
  <c r="B2559" i="106" s="1"/>
  <c r="D2559" i="106" s="1"/>
  <c r="B7019" i="106"/>
  <c r="D7019" i="106" s="1"/>
  <c r="C16" i="4"/>
  <c r="B2560" i="106" s="1"/>
  <c r="D2560" i="106" s="1"/>
  <c r="B5421" i="106"/>
  <c r="D5421" i="106" s="1"/>
  <c r="B3569" i="106"/>
  <c r="D3569" i="106" s="1"/>
  <c r="K8" i="4"/>
  <c r="B2631" i="106"/>
  <c r="D2631" i="106" s="1"/>
  <c r="B2556" i="106"/>
  <c r="D2556" i="106" s="1"/>
  <c r="A7259" i="106"/>
  <c r="D7258" i="106"/>
  <c r="B4434" i="106"/>
  <c r="D4434" i="106" s="1"/>
  <c r="E7" i="4"/>
  <c r="B4443" i="106" s="1"/>
  <c r="D4443" i="106" s="1"/>
  <c r="E268" i="5"/>
  <c r="B2634" i="106"/>
  <c r="D2634" i="106" s="1"/>
  <c r="B1332" i="106"/>
  <c r="D1332" i="106" s="1"/>
  <c r="B1259" i="106"/>
  <c r="D1259" i="106" s="1"/>
  <c r="B989" i="106"/>
  <c r="D989" i="106" s="1"/>
  <c r="F54" i="34"/>
  <c r="H37" i="37"/>
  <c r="B285" i="106"/>
  <c r="D285" i="106" s="1"/>
  <c r="N37" i="3"/>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G13" i="4" l="1"/>
  <c r="B2608" i="106" s="1"/>
  <c r="D2608" i="106" s="1"/>
  <c r="K114" i="29"/>
  <c r="B1152" i="106" s="1"/>
  <c r="D1152" i="106" s="1"/>
  <c r="E41" i="108"/>
  <c r="E44" i="108" s="1"/>
  <c r="E45" i="108" s="1"/>
  <c r="K343" i="29"/>
  <c r="B7225" i="106" s="1"/>
  <c r="D7225" i="106" s="1"/>
  <c r="K313" i="29"/>
  <c r="B1561" i="106" s="1"/>
  <c r="D1561" i="106" s="1"/>
  <c r="F268" i="5"/>
  <c r="B5720" i="106" s="1"/>
  <c r="D5720" i="106" s="1"/>
  <c r="B5719" i="106"/>
  <c r="D5719" i="106" s="1"/>
  <c r="B5507" i="106"/>
  <c r="D5507" i="106" s="1"/>
  <c r="C7" i="4"/>
  <c r="D10" i="171" s="1"/>
  <c r="D19" i="171" s="1"/>
  <c r="D32" i="171" s="1"/>
  <c r="D49" i="171" s="1"/>
  <c r="C268" i="5"/>
  <c r="B2655" i="106"/>
  <c r="D2655" i="106" s="1"/>
  <c r="J8" i="4"/>
  <c r="J10" i="4" s="1"/>
  <c r="B6225" i="106" s="1"/>
  <c r="D6225" i="106" s="1"/>
  <c r="K368" i="29"/>
  <c r="B3681" i="106" s="1"/>
  <c r="D3681" i="106" s="1"/>
  <c r="K16" i="4"/>
  <c r="B3574" i="106" s="1"/>
  <c r="D3574" i="106" s="1"/>
  <c r="B7243" i="106"/>
  <c r="D7243" i="106" s="1"/>
  <c r="B1510" i="106"/>
  <c r="D1510" i="106" s="1"/>
  <c r="G45" i="108"/>
  <c r="B1281" i="106"/>
  <c r="D1281" i="106" s="1"/>
  <c r="K151" i="29"/>
  <c r="K152" i="29" s="1"/>
  <c r="B1289" i="106" s="1"/>
  <c r="D1289" i="106" s="1"/>
  <c r="C13" i="4"/>
  <c r="B2557" i="106" s="1"/>
  <c r="D2557" i="106" s="1"/>
  <c r="C6" i="4"/>
  <c r="B2553" i="106" s="1"/>
  <c r="D2553" i="106" s="1"/>
  <c r="B5223" i="106"/>
  <c r="D5223" i="106" s="1"/>
  <c r="E17" i="4"/>
  <c r="E19" i="4" s="1"/>
  <c r="B4138" i="106" s="1"/>
  <c r="D4138" i="106" s="1"/>
  <c r="H23" i="12"/>
  <c r="B7720" i="106"/>
  <c r="D7720" i="106" s="1"/>
  <c r="B7733" i="106"/>
  <c r="D7733" i="106" s="1"/>
  <c r="K26" i="12"/>
  <c r="B7743" i="106" s="1"/>
  <c r="D7743" i="106" s="1"/>
  <c r="F8" i="4"/>
  <c r="F10" i="4" s="1"/>
  <c r="B4125" i="106" s="1"/>
  <c r="D4125" i="106" s="1"/>
  <c r="B280" i="106"/>
  <c r="D280" i="106" s="1"/>
  <c r="M41" i="3"/>
  <c r="F77" i="34"/>
  <c r="B7834" i="106" s="1"/>
  <c r="D7834" i="106" s="1"/>
  <c r="B2917" i="106"/>
  <c r="D2917" i="106" s="1"/>
  <c r="D53" i="36"/>
  <c r="B6227" i="106"/>
  <c r="D6227" i="106" s="1"/>
  <c r="D8" i="4"/>
  <c r="C8" i="146" s="1"/>
  <c r="B2658" i="106"/>
  <c r="D2658" i="106" s="1"/>
  <c r="H10" i="4"/>
  <c r="B4127" i="106" s="1"/>
  <c r="D4127" i="106" s="1"/>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B2569" i="106"/>
  <c r="D2569" i="106" s="1"/>
  <c r="D17" i="4"/>
  <c r="B2598" i="106"/>
  <c r="D2598" i="106" s="1"/>
  <c r="F17" i="4"/>
  <c r="B3226" i="106"/>
  <c r="D3226" i="106" s="1"/>
  <c r="E8" i="146"/>
  <c r="E10" i="146" s="1"/>
  <c r="I20" i="4"/>
  <c r="I10" i="4"/>
  <c r="B4128" i="106" s="1"/>
  <c r="D4128" i="106" s="1"/>
  <c r="G8" i="4"/>
  <c r="B2605" i="106"/>
  <c r="D2605" i="106" s="1"/>
  <c r="G17" i="4"/>
  <c r="B5552" i="106"/>
  <c r="D5552" i="106" s="1"/>
  <c r="K175" i="29"/>
  <c r="B1333" i="106" s="1"/>
  <c r="D1333" i="106" s="1"/>
  <c r="A7260" i="106"/>
  <c r="D7259" i="106"/>
  <c r="E8" i="4"/>
  <c r="K115" i="29" l="1"/>
  <c r="B1153" i="106" s="1"/>
  <c r="D1153" i="106" s="1"/>
  <c r="F8" i="34"/>
  <c r="B2554" i="106"/>
  <c r="D2554" i="106" s="1"/>
  <c r="B5327" i="106"/>
  <c r="D5327" i="106" s="1"/>
  <c r="C8" i="4"/>
  <c r="H13" i="118" s="1"/>
  <c r="K17" i="4"/>
  <c r="B3575" i="106" s="1"/>
  <c r="D3575" i="106" s="1"/>
  <c r="J20" i="4"/>
  <c r="J78" i="4" s="1"/>
  <c r="J81" i="4" s="1"/>
  <c r="B6223" i="106"/>
  <c r="D6223" i="106" s="1"/>
  <c r="B2635" i="106"/>
  <c r="D2635" i="106" s="1"/>
  <c r="B1288" i="106"/>
  <c r="D1288" i="106" s="1"/>
  <c r="F9" i="34"/>
  <c r="C17" i="4"/>
  <c r="F16" i="37" s="1"/>
  <c r="B1982" i="106"/>
  <c r="D1982" i="106" s="1"/>
  <c r="H24" i="12"/>
  <c r="B2595" i="106"/>
  <c r="D2595" i="106" s="1"/>
  <c r="D8" i="146"/>
  <c r="B281" i="106"/>
  <c r="D281" i="106" s="1"/>
  <c r="D54" i="36"/>
  <c r="D10" i="4"/>
  <c r="B4123" i="106" s="1"/>
  <c r="D4123" i="106" s="1"/>
  <c r="B2568" i="106"/>
  <c r="D2568" i="106" s="1"/>
  <c r="D20" i="4"/>
  <c r="B2574" i="106" s="1"/>
  <c r="D2574" i="106" s="1"/>
  <c r="G10" i="4"/>
  <c r="B4126" i="106" s="1"/>
  <c r="D4126" i="106" s="1"/>
  <c r="G20" i="4"/>
  <c r="B2606" i="106"/>
  <c r="D2606" i="106" s="1"/>
  <c r="E20" i="4"/>
  <c r="B2632" i="106"/>
  <c r="D2632" i="106" s="1"/>
  <c r="E10" i="4"/>
  <c r="B4124" i="106" s="1"/>
  <c r="D4124" i="106" s="1"/>
  <c r="A7261" i="106"/>
  <c r="D7260" i="106"/>
  <c r="G19" i="4"/>
  <c r="B4140" i="106" s="1"/>
  <c r="D4140" i="106" s="1"/>
  <c r="B2612" i="106"/>
  <c r="D2612"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20" i="4" l="1"/>
  <c r="K78" i="4" s="1"/>
  <c r="B3588" i="106" s="1"/>
  <c r="D3588" i="106" s="1"/>
  <c r="K19" i="4"/>
  <c r="B4144" i="106" s="1"/>
  <c r="D4144" i="106" s="1"/>
  <c r="F14" i="34"/>
  <c r="F78" i="34" s="1"/>
  <c r="F80" i="34" s="1"/>
  <c r="B7837" i="106" s="1"/>
  <c r="D7837" i="106" s="1"/>
  <c r="B2555" i="106"/>
  <c r="D2555" i="106" s="1"/>
  <c r="B8" i="146"/>
  <c r="F8" i="146" s="1"/>
  <c r="C10" i="4"/>
  <c r="B4122" i="106" s="1"/>
  <c r="D4122" i="106" s="1"/>
  <c r="H18" i="118"/>
  <c r="D16" i="37"/>
  <c r="H16" i="37" s="1"/>
  <c r="B6263" i="106"/>
  <c r="D6263" i="106" s="1"/>
  <c r="B6230" i="106"/>
  <c r="D6230" i="106" s="1"/>
  <c r="H17" i="118"/>
  <c r="H25" i="118" s="1"/>
  <c r="K24" i="118" s="1"/>
  <c r="O23" i="118" s="1"/>
  <c r="O25" i="118" s="1"/>
  <c r="B2561" i="106"/>
  <c r="D2561" i="106" s="1"/>
  <c r="B9" i="146"/>
  <c r="F9" i="146" s="1"/>
  <c r="C20" i="4"/>
  <c r="B2562" i="106" s="1"/>
  <c r="D2562" i="106" s="1"/>
  <c r="C19" i="4"/>
  <c r="B4136" i="106" s="1"/>
  <c r="D4136" i="106" s="1"/>
  <c r="B1983" i="106"/>
  <c r="D1983" i="106" s="1"/>
  <c r="H26" i="12"/>
  <c r="B7740" i="106" s="1"/>
  <c r="D7740" i="106" s="1"/>
  <c r="D10" i="146"/>
  <c r="B6215" i="106"/>
  <c r="D6215" i="106" s="1"/>
  <c r="J41" i="3"/>
  <c r="D78" i="4"/>
  <c r="B3239" i="106" s="1"/>
  <c r="D3239" i="106" s="1"/>
  <c r="F78" i="4"/>
  <c r="B2601" i="106"/>
  <c r="D2601" i="106" s="1"/>
  <c r="B3320" i="106"/>
  <c r="D3320" i="106" s="1"/>
  <c r="I81" i="4"/>
  <c r="B3300" i="106"/>
  <c r="D3300" i="106" s="1"/>
  <c r="H81" i="4"/>
  <c r="B7631" i="106"/>
  <c r="F177" i="34"/>
  <c r="A7262" i="106"/>
  <c r="D7261" i="106"/>
  <c r="G78" i="4"/>
  <c r="B2613" i="106"/>
  <c r="D2613" i="106" s="1"/>
  <c r="E78" i="4"/>
  <c r="B2636" i="106"/>
  <c r="D2636" i="106" s="1"/>
  <c r="D64" i="36"/>
  <c r="J82" i="4"/>
  <c r="B6266" i="106"/>
  <c r="D6266" i="106" s="1"/>
  <c r="K81" i="4" l="1"/>
  <c r="B3591" i="106" s="1"/>
  <c r="D3591" i="106" s="1"/>
  <c r="B3576" i="106"/>
  <c r="D3576" i="106" s="1"/>
  <c r="B7822" i="106"/>
  <c r="B10" i="146"/>
  <c r="K17" i="118"/>
  <c r="J20" i="118" s="1"/>
  <c r="C78" i="4"/>
  <c r="C81" i="4" s="1"/>
  <c r="C41" i="3" s="1"/>
  <c r="D81" i="4"/>
  <c r="B123" i="106" s="1"/>
  <c r="D123"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A7263" i="106"/>
  <c r="D7262" i="106"/>
  <c r="B1700" i="106"/>
  <c r="D1700" i="106" s="1"/>
  <c r="H82" i="4"/>
  <c r="D62" i="36"/>
  <c r="F81" i="4"/>
  <c r="B3256" i="106"/>
  <c r="D3256" i="106" s="1"/>
  <c r="G81" i="4"/>
  <c r="B3262" i="106"/>
  <c r="D3262" i="106" s="1"/>
  <c r="B3323" i="106"/>
  <c r="D3323" i="106" s="1"/>
  <c r="I82" i="4"/>
  <c r="D63" i="36"/>
  <c r="E11" i="146"/>
  <c r="J83" i="4"/>
  <c r="B6283" i="106" s="1"/>
  <c r="D6283" i="106" s="1"/>
  <c r="B6274" i="106"/>
  <c r="D6274" i="106" s="1"/>
  <c r="K82" i="4" l="1"/>
  <c r="D65" i="36"/>
  <c r="K20" i="118"/>
  <c r="O16" i="118"/>
  <c r="O17" i="118" s="1"/>
  <c r="O20" i="118" s="1"/>
  <c r="B3233" i="106"/>
  <c r="D3233" i="106" s="1"/>
  <c r="D58" i="36"/>
  <c r="B1644" i="106"/>
  <c r="D1644" i="106" s="1"/>
  <c r="D82" i="4"/>
  <c r="B6268" i="106" s="1"/>
  <c r="D6268" i="106" s="1"/>
  <c r="D41" i="3"/>
  <c r="D45" i="36" s="1"/>
  <c r="C11" i="146"/>
  <c r="B93" i="106"/>
  <c r="D93" i="106" s="1"/>
  <c r="D44" i="36"/>
  <c r="D49" i="36"/>
  <c r="B213" i="106"/>
  <c r="D213" i="106" s="1"/>
  <c r="B2913" i="106"/>
  <c r="D2913" i="106" s="1"/>
  <c r="D50" i="36"/>
  <c r="B189" i="106"/>
  <c r="D189" i="106" s="1"/>
  <c r="G41" i="3"/>
  <c r="D46" i="36"/>
  <c r="B141" i="106"/>
  <c r="D141" i="106" s="1"/>
  <c r="B3568" i="106"/>
  <c r="D3568" i="106" s="1"/>
  <c r="D52" i="36"/>
  <c r="B170" i="106"/>
  <c r="D170" i="106" s="1"/>
  <c r="F41" i="3"/>
  <c r="B140" i="106"/>
  <c r="D140" i="106" s="1"/>
  <c r="D76" i="36"/>
  <c r="B92" i="106"/>
  <c r="D92" i="106" s="1"/>
  <c r="J16" i="37"/>
  <c r="B4269" i="106" s="1"/>
  <c r="D4269" i="106" s="1"/>
  <c r="F178" i="34"/>
  <c r="H12" i="118"/>
  <c r="K12" i="118" s="1"/>
  <c r="O11" i="118" s="1"/>
  <c r="O13"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B124" i="106"/>
  <c r="D124" i="106" s="1"/>
  <c r="B171" i="106"/>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<sst xmlns="http://schemas.openxmlformats.org/spreadsheetml/2006/main" count="5186" uniqueCount="2102">
  <si>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</si>
  <si>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</si>
  <si>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</si>
  <si>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</si>
  <si>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</si>
  <si>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</si>
  <si>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</si>
  <si>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</si>
  <si>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</si>
  <si>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</si>
  <si>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</si>
  <si>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</si>
  <si>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</si>
  <si>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</si>
  <si>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</si>
  <si>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</si>
  <si>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</si>
  <si>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</si>
  <si>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</si>
  <si>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</si>
  <si>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</si>
  <si>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</si>
  <si>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</si>
  <si>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</si>
  <si>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</si>
  <si>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</si>
  <si>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</si>
  <si>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</si>
  <si>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</si>
  <si>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</si>
  <si>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</si>
  <si>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</si>
  <si>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</si>
  <si>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</si>
  <si>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</si>
  <si>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</si>
  <si>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</si>
  <si>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</si>
  <si>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</si>
  <si>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</si>
  <si>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</si>
  <si>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</si>
  <si>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</si>
  <si>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</si>
  <si>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</si>
  <si>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</si>
  <si>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</si>
  <si>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</si>
  <si>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</si>
  <si>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</si>
  <si>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</si>
  <si>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</si>
  <si>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</si>
  <si>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</si>
  <si>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</si>
  <si>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</si>
  <si>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</si>
  <si>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</si>
  <si>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</si>
  <si>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</si>
  <si>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</si>
  <si>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</si>
  <si>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</si>
  <si>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</si>
  <si>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</si>
  <si>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</si>
  <si>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</si>
  <si>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</si>
  <si>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</si>
  <si>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</si>
  <si>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</si>
  <si>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</si>
  <si>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</si>
  <si>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</si>
  <si>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</si>
  <si>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</si>
  <si>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</si>
  <si>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</si>
  <si>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</si>
  <si>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</si>
  <si>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</si>
  <si>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</si>
  <si>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</si>
  <si>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</si>
  <si>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</si>
  <si>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</si>
  <si>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</si>
  <si>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</si>
  <si>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</si>
  <si>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</si>
  <si>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</si>
  <si>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</si>
  <si>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</si>
  <si>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</si>
  <si>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</si>
  <si>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</si>
  <si>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</si>
  <si>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</si>
  <si>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</si>
  <si>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</si>
  <si>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</si>
  <si>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</si>
  <si>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</si>
  <si>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</si>
  <si>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</si>
  <si>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</si>
  <si>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</si>
  <si>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</si>
  <si>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</si>
  <si>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</si>
  <si>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</si>
  <si>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</si>
  <si>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</si>
  <si>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</si>
  <si>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</si>
  <si>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</si>
  <si>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</si>
  <si>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</si>
  <si>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</si>
  <si>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</si>
  <si>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</si>
  <si>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</si>
  <si>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</si>
  <si>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</si>
  <si>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</si>
  <si>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</si>
  <si>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</si>
  <si>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</si>
  <si>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</si>
  <si>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</si>
  <si>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</si>
  <si>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</si>
  <si>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</si>
  <si>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</si>
  <si>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</si>
  <si>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</si>
  <si>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</si>
  <si>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</si>
  <si>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</si>
  <si>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</si>
  <si>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</si>
  <si>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</si>
  <si>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</si>
  <si>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</si>
  <si>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</si>
  <si>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</si>
  <si>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</si>
  <si>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</si>
  <si>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</si>
  <si>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</si>
  <si>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</si>
  <si>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</si>
  <si>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</si>
  <si>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</si>
  <si>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</si>
  <si>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</si>
  <si>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</si>
  <si>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</si>
  <si>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</si>
  <si>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</si>
  <si>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</si>
  <si>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</si>
  <si>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</si>
  <si>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</si>
  <si>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</si>
  <si>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</si>
  <si>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</si>
  <si>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</si>
  <si>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</si>
  <si>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</si>
  <si>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</si>
  <si>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</si>
  <si>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</si>
  <si>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</si>
  <si>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</si>
  <si>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</si>
  <si>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</si>
  <si>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</si>
  <si>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</si>
  <si>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</si>
  <si>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</si>
  <si>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</si>
  <si>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</si>
  <si>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</si>
  <si>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</si>
  <si>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</si>
  <si>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</si>
  <si>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</si>
  <si>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</si>
  <si>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</si>
  <si>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</si>
  <si>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</si>
  <si>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</si>
  <si>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</si>
  <si>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</si>
  <si>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</si>
  <si>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</si>
  <si>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</si>
  <si>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</si>
  <si>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</si>
  <si>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</si>
  <si>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</si>
  <si>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</si>
  <si>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</si>
  <si>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</si>
  <si>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</si>
  <si>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</si>
  <si>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</si>
  <si>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</si>
  <si>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</si>
  <si>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</si>
  <si>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</si>
  <si>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</si>
  <si>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</si>
  <si>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</si>
  <si>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</si>
  <si>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</si>
  <si>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</si>
  <si>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</si>
  <si>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</si>
  <si>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</si>
  <si>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</si>
  <si>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</si>
  <si>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</si>
  <si>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</si>
  <si>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</si>
  <si>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</si>
  <si>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</si>
  <si>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</si>
  <si>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</si>
  <si>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</si>
  <si>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</si>
  <si>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</si>
  <si>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</si>
  <si>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</si>
  <si>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</si>
  <si>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</si>
  <si>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</si>
  <si>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</si>
  <si>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</si>
  <si>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</si>
  <si>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</si>
  <si>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</si>
  <si>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</si>
  <si>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</si>
  <si>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</si>
  <si>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</si>
  <si>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</si>
  <si>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</si>
  <si>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</si>
  <si>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</si>
  <si>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</si>
  <si>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</si>
  <si>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</si>
  <si>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</si>
  <si>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</si>
  <si>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</si>
  <si>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</si>
  <si>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</si>
  <si>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</si>
  <si>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</si>
  <si>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</si>
  <si>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</si>
  <si>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</si>
  <si>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</si>
  <si>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</si>
  <si>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</si>
  <si>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</si>
  <si>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</si>
  <si>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</si>
  <si>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</si>
  <si>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</si>
  <si>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</si>
  <si>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</si>
  <si>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</si>
  <si>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</si>
  <si>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</si>
  <si>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</si>
  <si>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</si>
  <si>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</si>
  <si>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</si>
  <si>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</si>
  <si>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</si>
  <si>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</si>
  <si>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</si>
  <si>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</si>
  <si>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</si>
  <si>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</si>
  <si>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</si>
  <si>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</si>
  <si>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</si>
  <si>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</si>
  <si>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</si>
  <si>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</si>
  <si>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</si>
  <si>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</si>
  <si>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</si>
  <si>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</si>
  <si>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</si>
  <si>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</si>
  <si>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</si>
  <si>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</si>
  <si>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</si>
  <si>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</si>
  <si>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</si>
  <si>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</si>
  <si>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</si>
  <si>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</si>
  <si>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</si>
  <si>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</si>
  <si>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</si>
  <si>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</si>
  <si>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</si>
  <si>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</si>
  <si>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</si>
  <si>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</si>
  <si>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</si>
  <si>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</si>
  <si>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</si>
  <si>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</si>
  <si>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</si>
  <si>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</si>
  <si>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</si>
  <si>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</si>
  <si>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</si>
  <si>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</si>
  <si>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</si>
  <si>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</si>
  <si>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</si>
  <si>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</si>
  <si>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</si>
  <si>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</si>
  <si>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</si>
  <si>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</si>
  <si>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</si>
  <si>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</si>
  <si>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</si>
  <si>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</si>
  <si>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</si>
  <si>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</si>
  <si>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</si>
  <si>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</si>
  <si>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</si>
  <si>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</si>
  <si>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</si>
  <si>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</si>
  <si>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</si>
  <si>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</si>
  <si>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</si>
  <si>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</si>
  <si>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</si>
  <si>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</si>
  <si>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</si>
  <si>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</si>
  <si>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</si>
  <si>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</si>
  <si>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</si>
  <si>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</si>
  <si>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</si>
  <si>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</si>
  <si>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</si>
  <si>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</si>
  <si>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</si>
  <si>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</si>
  <si>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</si>
  <si>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</si>
  <si>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</si>
  <si>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</si>
  <si>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</si>
  <si>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</si>
  <si>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</si>
  <si>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</si>
  <si>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</si>
  <si>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</si>
  <si>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</si>
  <si>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</si>
  <si>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</si>
  <si>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</si>
  <si>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</si>
  <si>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</si>
  <si>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</si>
  <si>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</si>
  <si>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</si>
  <si>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</si>
  <si>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</si>
  <si>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</si>
  <si>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</si>
  <si>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</si>
  <si>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</si>
  <si>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</si>
  <si>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</si>
  <si>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</si>
  <si>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</si>
  <si>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</si>
  <si>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</si>
  <si>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</si>
  <si>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</si>
  <si>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</si>
  <si>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</si>
  <si>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</si>
  <si>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</si>
  <si>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</si>
  <si>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</si>
  <si>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</si>
  <si>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</si>
  <si>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</si>
  <si>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</si>
  <si>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</si>
  <si>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</si>
  <si>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</si>
  <si>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</si>
  <si>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</si>
  <si>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</si>
  <si>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</si>
  <si>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</si>
  <si>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</si>
  <si>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</si>
  <si>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</si>
  <si>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</si>
  <si>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</si>
  <si>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</si>
  <si>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</si>
  <si>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</si>
  <si>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</si>
  <si>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</si>
  <si>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</si>
  <si>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</si>
  <si>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</si>
  <si>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</si>
  <si>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</si>
  <si>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</si>
  <si>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</si>
  <si>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</si>
  <si>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</si>
  <si>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</si>
  <si>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</si>
  <si>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</si>
  <si>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</si>
  <si>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</si>
  <si>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</si>
  <si>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</si>
  <si>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</si>
  <si>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</si>
  <si>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</si>
  <si>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</si>
  <si>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</si>
  <si>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</si>
  <si>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</si>
  <si>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</si>
  <si>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</si>
  <si>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</si>
  <si>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</si>
  <si>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</si>
  <si>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</si>
  <si>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</si>
  <si>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</si>
  <si>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</si>
  <si>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</si>
  <si>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</si>
  <si>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</si>
  <si>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</si>
  <si>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</si>
  <si>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</si>
  <si>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</si>
  <si>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</si>
  <si>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</si>
  <si>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</si>
  <si>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</si>
  <si>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</si>
  <si>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</si>
  <si>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</si>
  <si>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</si>
  <si>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</si>
  <si>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</si>
  <si>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</si>
  <si>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</si>
  <si>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</si>
  <si>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</si>
  <si>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</si>
  <si>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</si>
  <si>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</si>
  <si>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</si>
  <si>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</si>
  <si>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</si>
  <si>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</si>
  <si>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</si>
  <si>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</si>
  <si>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</si>
  <si>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</si>
  <si>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</si>
  <si>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</si>
  <si>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</si>
  <si>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</si>
  <si>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</si>
  <si>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</si>
  <si>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</si>
  <si>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</si>
  <si>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</si>
  <si>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</si>
  <si>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</si>
  <si>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</si>
  <si>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</si>
  <si>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</si>
  <si>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</si>
  <si>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</si>
  <si>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</si>
  <si>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</si>
  <si>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</si>
  <si>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</si>
  <si>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</si>
  <si>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</si>
  <si>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</si>
  <si>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</si>
  <si>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</si>
  <si>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</si>
  <si>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</si>
  <si>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</si>
  <si>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</si>
  <si>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</si>
  <si>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</si>
  <si>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</si>
  <si>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</si>
  <si>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</si>
  <si>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</si>
  <si>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</si>
  <si>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</si>
  <si>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</si>
  <si>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</si>
  <si>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</si>
  <si>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</si>
  <si>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</si>
  <si>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</si>
  <si>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</si>
  <si>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</si>
  <si>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</si>
  <si>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</si>
  <si>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</si>
  <si>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</si>
  <si>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</si>
  <si>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</si>
  <si>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</si>
  <si>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</si>
  <si>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</si>
  <si>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</si>
  <si>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</si>
  <si>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</si>
  <si>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</si>
  <si>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</si>
  <si>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</si>
  <si>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</si>
  <si>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</si>
  <si>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</si>
  <si>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</si>
  <si>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</si>
  <si>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</si>
  <si>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</si>
  <si>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</si>
  <si>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</si>
  <si>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</si>
  <si>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</si>
  <si>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</si>
  <si>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</si>
  <si>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</si>
  <si>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</si>
  <si>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</si>
  <si>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</si>
  <si>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</si>
  <si>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</si>
  <si>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</si>
  <si>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</si>
  <si>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</si>
  <si>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</si>
  <si>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</si>
  <si>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</si>
  <si>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</si>
  <si>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</si>
  <si>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</si>
  <si>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</si>
  <si>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</si>
  <si>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</si>
  <si>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</si>
  <si>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</si>
  <si>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</si>
  <si>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</si>
  <si>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</si>
  <si>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</si>
  <si>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</si>
  <si>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</si>
  <si>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</si>
  <si>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</si>
  <si>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</si>
  <si>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</si>
  <si>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</si>
  <si>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</si>
  <si>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</si>
  <si>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</si>
  <si>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</si>
  <si>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</si>
  <si>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</si>
  <si>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</si>
  <si>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</si>
  <si>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</si>
  <si>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</si>
  <si>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</si>
  <si>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</si>
  <si>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</si>
  <si>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</si>
  <si>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</si>
  <si>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</si>
  <si>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</si>
  <si>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</si>
  <si>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</si>
  <si>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</si>
  <si>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</si>
  <si>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</si>
  <si>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</si>
  <si>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</si>
  <si>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</si>
  <si>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</si>
  <si>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</si>
  <si>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</si>
  <si>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</si>
  <si>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</si>
  <si>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</si>
  <si>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</si>
  <si>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</si>
  <si>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</si>
  <si>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</si>
  <si>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</si>
  <si>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</si>
  <si>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</si>
  <si>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</si>
  <si>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</si>
  <si>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</si>
  <si>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</si>
  <si>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</si>
  <si>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</si>
  <si>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</si>
  <si>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</si>
  <si>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</si>
  <si>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</si>
  <si>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</si>
  <si>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</si>
  <si>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</si>
  <si>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</si>
  <si>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</si>
  <si>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</si>
  <si>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</si>
  <si>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</si>
  <si>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</si>
  <si>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</si>
  <si>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</si>
  <si>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</si>
  <si>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</si>
  <si>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</si>
  <si>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</si>
  <si>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</si>
  <si>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</si>
  <si>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</si>
  <si>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</si>
  <si>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</si>
  <si>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</si>
  <si>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</si>
  <si>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</si>
  <si>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</si>
  <si>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</si>
  <si>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</si>
  <si>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</si>
  <si>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</si>
  <si>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</si>
  <si>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</si>
  <si>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</si>
  <si>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</si>
  <si>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</si>
  <si>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</si>
  <si>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</si>
  <si>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</si>
  <si>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</si>
  <si>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</si>
  <si>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</si>
  <si>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</si>
  <si>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</si>
  <si>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</si>
  <si>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</si>
  <si>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</si>
  <si>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</si>
  <si>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</si>
  <si>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</si>
  <si>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</si>
  <si>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</si>
  <si>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</si>
  <si>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</si>
  <si>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</si>
  <si>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</si>
  <si>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</si>
  <si>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</si>
  <si>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</si>
  <si>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</si>
  <si>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</si>
  <si>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</si>
  <si>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</si>
  <si>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</si>
  <si>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</si>
  <si>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</si>
  <si>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</si>
  <si>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</si>
  <si>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</si>
  <si>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</si>
  <si>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</si>
  <si>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</si>
  <si>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</si>
  <si>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</si>
  <si>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</si>
  <si>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</si>
  <si>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</si>
  <si>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</si>
  <si>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</si>
  <si>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</si>
  <si>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</si>
  <si>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</si>
  <si>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</si>
  <si>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</si>
  <si>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</si>
  <si>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</si>
  <si>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</si>
  <si>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</si>
  <si>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</si>
  <si>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</si>
  <si>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</si>
  <si>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</si>
  <si>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</si>
  <si>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</si>
  <si>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</si>
  <si>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</si>
  <si>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</si>
  <si>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</si>
  <si>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</si>
  <si>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</si>
  <si>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</si>
  <si>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</si>
  <si>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</si>
  <si>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</si>
  <si>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</si>
  <si>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</si>
  <si>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</si>
  <si>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</si>
  <si>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</si>
  <si>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</si>
  <si>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</si>
  <si>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</si>
  <si>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</si>
  <si>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</si>
  <si>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</si>
  <si>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</si>
  <si>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</si>
  <si>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</si>
  <si>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</si>
  <si>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</si>
  <si>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</si>
  <si>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</si>
  <si>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</si>
  <si>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</si>
  <si>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</si>
  <si>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</si>
  <si>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</si>
  <si>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</si>
  <si>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</si>
  <si>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</si>
  <si>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</si>
  <si>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</si>
  <si>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</si>
  <si>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</si>
  <si>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</si>
  <si>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</si>
  <si>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</si>
  <si>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</si>
  <si>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</si>
  <si>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</si>
  <si>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</si>
  <si>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</si>
  <si>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</si>
  <si>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</si>
  <si>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</si>
  <si>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</si>
  <si>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</si>
  <si>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</si>
  <si>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</si>
  <si>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</si>
  <si>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</si>
  <si>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</si>
  <si>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</si>
  <si>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</si>
  <si>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</si>
  <si>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</si>
  <si>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</si>
  <si>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</si>
  <si>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</si>
  <si>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</si>
  <si>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</si>
  <si>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</si>
  <si>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</si>
  <si>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</si>
  <si>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</si>
  <si>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</si>
  <si>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</si>
  <si>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</si>
  <si>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</si>
  <si>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</si>
  <si>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</si>
  <si>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</si>
  <si>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</si>
  <si>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</si>
  <si>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</si>
  <si>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</si>
  <si>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</si>
  <si>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</si>
  <si>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</si>
  <si>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</si>
  <si>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</si>
  <si>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</si>
  <si>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</si>
  <si>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</si>
  <si>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</si>
  <si>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</si>
  <si>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</si>
  <si>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</si>
  <si>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</si>
  <si>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</si>
  <si>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</si>
  <si>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</si>
  <si>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</si>
  <si>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</si>
  <si>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</si>
  <si>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</si>
  <si>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</si>
  <si>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</si>
  <si>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</si>
  <si>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</si>
  <si>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</si>
  <si>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</si>
  <si>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</si>
  <si>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</si>
  <si>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</si>
  <si>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</si>
  <si>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</si>
  <si>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</si>
  <si>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</si>
  <si>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</si>
  <si>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</si>
  <si>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</si>
  <si>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</si>
  <si>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</si>
  <si>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</si>
  <si>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</si>
  <si>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</si>
  <si>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</si>
  <si>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</si>
  <si>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</si>
  <si>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</si>
  <si>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</si>
  <si>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</si>
  <si>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</si>
  <si>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</si>
  <si>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</si>
  <si>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</si>
  <si>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</si>
  <si>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</si>
  <si>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</si>
  <si>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</si>
  <si>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</si>
  <si>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</si>
  <si>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</si>
  <si>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</si>
  <si>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</si>
  <si>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</si>
  <si>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</si>
  <si>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</si>
  <si>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</si>
  <si>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</si>
  <si>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</si>
  <si>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</si>
  <si>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</si>
  <si>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</si>
  <si>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</si>
  <si>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</si>
  <si>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</si>
  <si>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</si>
  <si>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</si>
  <si>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</si>
  <si>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</si>
  <si>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</si>
  <si>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</si>
  <si>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</si>
  <si>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</si>
  <si>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</si>
  <si>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</si>
  <si>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</si>
  <si>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</si>
  <si>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</si>
  <si>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</si>
  <si>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</si>
  <si>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</si>
  <si>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</si>
  <si>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</si>
  <si>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</si>
  <si>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</si>
  <si>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</si>
  <si>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</si>
  <si>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</si>
  <si>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</si>
  <si>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</si>
  <si>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</si>
  <si>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</si>
  <si>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</si>
  <si>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</si>
  <si>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</si>
  <si>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</si>
  <si>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</si>
  <si>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</si>
  <si>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</si>
  <si>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</si>
  <si>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</si>
  <si>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</si>
  <si>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</si>
  <si>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</si>
  <si>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</si>
  <si>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</si>
  <si>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</si>
  <si>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</si>
  <si>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</si>
  <si>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</si>
  <si>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</si>
  <si>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</si>
  <si>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</si>
  <si>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</si>
  <si>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</si>
  <si>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</si>
  <si>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</si>
  <si>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</si>
  <si>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</si>
  <si>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</si>
  <si>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</si>
  <si>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</si>
  <si>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</si>
  <si>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</si>
  <si>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</si>
  <si>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</si>
  <si>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</si>
  <si>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</si>
  <si>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</si>
  <si>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</si>
  <si>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</si>
  <si>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</si>
  <si>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</si>
  <si>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</si>
  <si>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</si>
  <si>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</si>
  <si>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</si>
  <si>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</si>
  <si>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</si>
  <si>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</si>
  <si>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</si>
  <si>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</si>
  <si>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</si>
  <si>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</si>
  <si>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</si>
  <si>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</si>
  <si>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</si>
  <si>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</si>
  <si>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</si>
  <si>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</si>
  <si>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</si>
  <si>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</si>
  <si>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</si>
  <si>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</si>
  <si>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</si>
  <si>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</si>
  <si>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</si>
  <si>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</si>
  <si>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</si>
  <si>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</si>
  <si>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</si>
  <si>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</si>
  <si>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</si>
  <si>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</si>
  <si>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</si>
  <si>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</si>
  <si>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</si>
  <si>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</si>
  <si>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</si>
  <si>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</si>
  <si>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</si>
  <si>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</si>
  <si>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</si>
  <si>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</si>
  <si>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</si>
  <si>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</si>
  <si>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</si>
  <si>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</si>
  <si>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</si>
  <si>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</si>
  <si>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</si>
  <si>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</si>
  <si>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</si>
  <si>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</si>
  <si>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</si>
  <si>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</si>
  <si>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</si>
  <si>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</si>
  <si>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</si>
  <si>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</si>
  <si>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</si>
  <si>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</si>
  <si>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</si>
  <si>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</si>
  <si>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</si>
  <si>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</si>
  <si>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</si>
  <si>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</si>
  <si>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</si>
  <si>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</si>
  <si>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</si>
  <si>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</si>
  <si>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</si>
  <si>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</si>
  <si>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</si>
  <si>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</si>
  <si>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</si>
  <si>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</si>
  <si>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</si>
  <si>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</si>
  <si>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</si>
  <si>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</si>
  <si>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</si>
  <si>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</si>
  <si>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</si>
  <si>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</si>
  <si>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</si>
  <si>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</si>
  <si>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</si>
  <si>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</si>
  <si>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</si>
  <si>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</si>
  <si>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</si>
  <si>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</si>
  <si>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</si>
  <si>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</si>
  <si>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</si>
  <si>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</si>
  <si>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</si>
  <si>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</si>
  <si>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</si>
  <si>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</si>
  <si>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</si>
  <si>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</si>
  <si>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</si>
  <si>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</si>
  <si>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</si>
  <si>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</si>
  <si>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</si>
  <si>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</si>
  <si>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</si>
  <si>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</si>
  <si>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</si>
  <si>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</si>
  <si>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</si>
  <si>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</si>
  <si>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</si>
  <si>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</si>
  <si>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</si>
  <si>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</si>
  <si>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</si>
  <si>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</si>
  <si>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</si>
  <si>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</si>
  <si>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</si>
  <si>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</si>
  <si>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</si>
  <si>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</si>
  <si>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</si>
  <si>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</si>
  <si>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</si>
  <si>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</si>
  <si>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</si>
  <si>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</si>
  <si>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</si>
  <si>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</si>
  <si>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</si>
  <si>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</si>
  <si>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</si>
  <si>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</si>
  <si>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</si>
  <si>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</si>
  <si>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</si>
  <si>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</si>
  <si>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</si>
  <si>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</si>
  <si>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</si>
  <si>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</si>
  <si>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</si>
  <si>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</si>
  <si>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</si>
  <si>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</si>
  <si>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</si>
  <si>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</si>
  <si>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</si>
  <si>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</si>
  <si>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</si>
  <si>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</si>
  <si>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</si>
  <si>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</si>
  <si>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</si>
  <si>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</si>
  <si>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</si>
  <si>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</si>
  <si>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</si>
  <si>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</si>
  <si>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</si>
  <si>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</si>
  <si>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</si>
  <si>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</si>
  <si>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</si>
  <si>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</si>
  <si>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</si>
  <si>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</si>
  <si>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</si>
  <si>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</si>
  <si>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</si>
  <si>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</si>
  <si>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</si>
  <si>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</si>
  <si>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</si>
  <si>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</si>
  <si>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</si>
  <si>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</si>
  <si>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</si>
  <si>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</si>
  <si>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</si>
  <si>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</si>
  <si>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</si>
  <si>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</si>
  <si>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</si>
  <si>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</si>
  <si>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</si>
  <si>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</si>
  <si>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</si>
  <si>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</si>
  <si>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</si>
  <si>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</si>
  <si>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</si>
  <si>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</si>
  <si>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</si>
  <si>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</si>
  <si>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</si>
  <si>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</si>
  <si>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</si>
  <si>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</si>
  <si>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</si>
  <si>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</si>
  <si>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</si>
  <si>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</si>
  <si>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</si>
  <si>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</si>
  <si>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</si>
  <si>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</si>
  <si>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</si>
  <si>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</si>
  <si>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</si>
  <si>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</si>
  <si>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</si>
  <si>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</si>
  <si>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</si>
  <si>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</si>
  <si>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</si>
  <si>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</si>
  <si>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</si>
  <si>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</si>
  <si>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</si>
  <si>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</si>
  <si>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</si>
  <si>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</si>
  <si>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</si>
  <si>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</si>
  <si>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</si>
  <si>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</si>
  <si>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</si>
  <si>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</si>
  <si>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</si>
  <si>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</si>
  <si>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</si>
  <si>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</si>
  <si>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</si>
  <si>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</si>
  <si>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</si>
  <si>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</si>
  <si>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</si>
  <si>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</si>
  <si>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</si>
  <si>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</si>
  <si>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</si>
  <si>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</si>
  <si>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</si>
  <si>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</si>
  <si>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</si>
  <si>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</si>
  <si>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</si>
  <si>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</si>
  <si>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</si>
  <si>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</si>
  <si>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</si>
  <si>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</si>
  <si>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</si>
  <si>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</si>
  <si>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</si>
  <si>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</si>
  <si>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</si>
  <si>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</si>
  <si>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</si>
  <si>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</si>
  <si>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</si>
  <si>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</si>
  <si>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</si>
  <si>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</si>
  <si>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</si>
  <si>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</si>
  <si>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</si>
  <si>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</si>
  <si>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</si>
  <si>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</si>
  <si>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</si>
  <si>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</si>
  <si>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</si>
  <si>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</si>
  <si>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</si>
  <si>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</si>
  <si>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</si>
  <si>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</si>
  <si>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</si>
  <si>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</si>
  <si>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</si>
  <si>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</si>
  <si>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</si>
  <si>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</si>
  <si>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</si>
  <si>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</si>
  <si>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</si>
  <si>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</si>
  <si>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</si>
  <si>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</si>
  <si>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</si>
  <si>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</si>
  <si>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</si>
  <si>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</si>
  <si>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</si>
  <si>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</si>
  <si>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</si>
  <si>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</si>
  <si>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</si>
  <si>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</si>
  <si>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</si>
  <si>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</si>
  <si>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</si>
  <si>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</si>
  <si>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</si>
  <si>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</si>
  <si>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</si>
  <si>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</si>
  <si>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</si>
  <si>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</si>
  <si>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</si>
  <si>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</si>
  <si>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</si>
  <si>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</si>
  <si>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</si>
  <si>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</si>
  <si>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</si>
  <si>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</si>
  <si>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</si>
  <si>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</si>
  <si>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</si>
  <si>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</si>
  <si>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</si>
  <si>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</si>
  <si>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</si>
  <si>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</si>
  <si>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</si>
  <si>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</si>
  <si>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</si>
  <si>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</si>
  <si>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</si>
  <si>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</si>
  <si>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</si>
  <si>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</si>
  <si>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</si>
  <si>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</si>
  <si>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</si>
  <si>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</si>
  <si>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</si>
  <si>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</si>
  <si>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</si>
  <si>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</si>
  <si>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</si>
  <si>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</si>
  <si>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</si>
  <si>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</si>
  <si>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</si>
  <si>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</si>
  <si>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</si>
  <si>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</si>
  <si>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</si>
  <si>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</si>
  <si>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</si>
  <si>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</si>
  <si>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</si>
  <si>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</si>
  <si>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</si>
  <si>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</si>
  <si>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</si>
  <si>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</si>
  <si>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</si>
  <si>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</si>
  <si>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</si>
  <si>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</si>
  <si>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</si>
  <si>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</si>
  <si>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</si>
  <si>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</si>
  <si>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</si>
  <si>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</si>
  <si>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</si>
  <si>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</si>
  <si>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</si>
  <si>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</si>
  <si>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</si>
  <si>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</si>
  <si>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</si>
  <si>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</si>
  <si>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</si>
  <si>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</si>
  <si>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</si>
  <si>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</si>
  <si>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</si>
  <si>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</si>
  <si>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</si>
  <si>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</si>
  <si>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</si>
  <si>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</si>
  <si>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</si>
  <si>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</si>
  <si>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</si>
  <si>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</si>
  <si>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</si>
  <si>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</si>
  <si>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</si>
  <si>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</si>
  <si>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</si>
  <si>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</si>
  <si>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</si>
  <si>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</si>
  <si>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</si>
  <si>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</si>
  <si>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</si>
  <si>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</si>
  <si>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</si>
  <si>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</si>
  <si>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</si>
  <si>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</si>
  <si>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</si>
  <si>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</si>
  <si>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</si>
  <si>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</si>
  <si>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</si>
  <si>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</si>
  <si>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</si>
  <si>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</si>
  <si>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</si>
  <si>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</si>
  <si>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</si>
  <si>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</si>
  <si>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</si>
  <si>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</si>
  <si>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</si>
  <si>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</si>
  <si>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</si>
  <si>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</si>
  <si>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</si>
  <si>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</si>
  <si>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</si>
  <si>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</si>
  <si>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</si>
  <si>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</si>
  <si>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</si>
  <si>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</si>
  <si>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</si>
  <si>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</si>
  <si>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</si>
  <si>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</si>
  <si>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</si>
  <si>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</si>
  <si>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</si>
  <si>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</si>
  <si>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</si>
  <si>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</si>
  <si>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</si>
  <si>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</si>
  <si>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</si>
  <si>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</si>
  <si>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</si>
  <si>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</si>
  <si>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</si>
  <si>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</si>
  <si>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</si>
  <si>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</si>
  <si>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</si>
  <si>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</si>
  <si>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</si>
  <si>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</si>
  <si>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</si>
  <si>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</si>
  <si>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</si>
  <si>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</si>
  <si>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</si>
  <si>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</si>
  <si>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</si>
  <si>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</si>
  <si>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</si>
  <si>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</si>
  <si>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</si>
  <si>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</si>
  <si>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</si>
  <si>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</si>
  <si>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</si>
  <si>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</si>
  <si>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</si>
  <si>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</si>
  <si>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</si>
  <si>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</si>
  <si>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</si>
  <si>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</si>
  <si>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</si>
  <si>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</si>
  <si>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</si>
  <si>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</si>
  <si>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</si>
  <si>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</si>
  <si>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</si>
  <si>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</si>
  <si>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</si>
  <si>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</si>
  <si>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</si>
  <si>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</si>
  <si>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</si>
  <si>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</si>
  <si>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</si>
  <si>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</si>
  <si>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</si>
  <si>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</si>
  <si>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</si>
  <si>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</si>
  <si>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</si>
  <si>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</si>
  <si>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</si>
  <si>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</si>
  <si>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</si>
  <si>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</si>
  <si>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</si>
  <si>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</si>
  <si>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</si>
  <si>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</si>
  <si>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</si>
  <si>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</si>
  <si>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</si>
  <si>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</si>
  <si>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</si>
  <si>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</si>
  <si>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</si>
  <si>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</si>
  <si>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</si>
  <si>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</si>
  <si>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</si>
  <si>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</si>
  <si>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</si>
  <si>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</si>
  <si>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</si>
  <si>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</si>
  <si>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</si>
  <si>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</si>
  <si>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</si>
  <si>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</si>
  <si>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</si>
  <si>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</si>
  <si>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</si>
  <si>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</si>
  <si>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</si>
  <si>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</si>
  <si>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</si>
  <si>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</si>
  <si>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</si>
  <si>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</si>
  <si>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</si>
  <si>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</si>
  <si>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</si>
  <si>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</si>
  <si>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</si>
  <si>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</si>
  <si>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</si>
  <si>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</si>
  <si>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</si>
  <si>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</si>
  <si>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</si>
  <si>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</si>
  <si>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</si>
  <si>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</si>
  <si>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</si>
  <si>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</si>
  <si>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</si>
  <si>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</si>
  <si>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</si>
  <si>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</si>
  <si>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</si>
  <si>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</si>
  <si>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</si>
  <si>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</si>
  <si>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</si>
  <si>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</si>
  <si>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</si>
  <si>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</si>
  <si>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</si>
  <si>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</si>
  <si>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</si>
  <si>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</si>
  <si>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</si>
  <si>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</si>
  <si>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</si>
  <si>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</si>
  <si>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</si>
  <si>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</si>
  <si>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</si>
  <si>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</si>
  <si>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</si>
  <si>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</si>
  <si>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</si>
  <si>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</si>
  <si>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</si>
  <si>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</si>
  <si>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</si>
  <si>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</si>
  <si>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</si>
  <si>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</si>
  <si>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</si>
  <si>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</si>
  <si>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</si>
  <si>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</si>
  <si>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</si>
  <si>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</si>
  <si>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</si>
  <si>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</si>
  <si>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</si>
  <si>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</si>
  <si>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</si>
  <si>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</si>
  <si>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</si>
  <si>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</si>
  <si>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</si>
  <si>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</si>
  <si>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</si>
  <si>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</si>
  <si>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</si>
  <si>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</si>
  <si>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</si>
  <si>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</si>
  <si>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</si>
  <si>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</si>
  <si>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</si>
  <si>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</si>
  <si>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</si>
  <si>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</si>
  <si>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</si>
  <si>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</si>
  <si>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</si>
  <si>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</si>
  <si>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</si>
  <si>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</si>
  <si>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</si>
  <si>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</si>
  <si>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</si>
  <si>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</si>
  <si>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</si>
  <si>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</si>
  <si>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</si>
  <si>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</si>
  <si>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</si>
  <si>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</si>
  <si>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</si>
  <si>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</si>
  <si>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</si>
  <si>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</si>
  <si>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</si>
  <si>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</si>
  <si>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</si>
  <si>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</si>
  <si>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</si>
  <si>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</si>
  <si>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</si>
  <si>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</si>
  <si>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</si>
  <si>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</si>
  <si>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</si>
  <si>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</si>
  <si>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</si>
  <si>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</si>
  <si>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</si>
  <si>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</si>
  <si>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</si>
  <si>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</si>
  <si>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</si>
  <si>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</si>
  <si>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</si>
  <si>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</si>
  <si>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</si>
  <si>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</si>
  <si>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</si>
  <si>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</si>
  <si>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</si>
  <si>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</si>
  <si>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</si>
  <si>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</si>
  <si>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</si>
  <si>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</si>
  <si>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</si>
  <si>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</si>
  <si>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</si>
  <si>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</si>
  <si>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</si>
  <si>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</si>
  <si>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</si>
  <si>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</si>
  <si>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</si>
  <si>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</si>
  <si>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</si>
  <si>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</si>
  <si>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</si>
  <si>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</si>
  <si>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</si>
  <si>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</si>
  <si>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</si>
  <si>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</si>
  <si>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</si>
  <si>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</si>
  <si>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</si>
  <si>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</si>
  <si>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</si>
  <si>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</si>
  <si>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</si>
  <si>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</si>
  <si>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</si>
  <si>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</si>
  <si>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</si>
  <si>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</si>
  <si>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</si>
  <si>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</si>
  <si>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</si>
  <si>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</si>
  <si>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</si>
  <si>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</si>
  <si>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</si>
  <si>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</si>
  <si>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</si>
  <si>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</si>
  <si>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</si>
  <si>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</si>
  <si>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</si>
  <si>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</si>
  <si>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</si>
  <si>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</si>
  <si>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</si>
  <si>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</si>
  <si>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</si>
  <si>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</si>
  <si>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</si>
  <si>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</si>
  <si>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</si>
  <si>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</si>
  <si>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</si>
  <si>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</si>
  <si>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</si>
  <si>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</si>
  <si>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</si>
  <si>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</si>
  <si>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</si>
  <si>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</si>
  <si>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</si>
  <si>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</si>
  <si>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</si>
  <si>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</si>
  <si>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</si>
  <si>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</si>
  <si>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</si>
  <si>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</si>
  <si>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</si>
  <si>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</si>
  <si>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</si>
  <si>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</si>
  <si>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</si>
  <si>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</si>
  <si>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</si>
  <si>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</si>
  <si>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</si>
  <si>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</si>
  <si>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</si>
  <si>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</si>
  <si>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</si>
  <si>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</si>
  <si>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</si>
  <si>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</si>
  <si>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</si>
  <si>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</si>
  <si>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</si>
  <si>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</si>
  <si>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</si>
  <si>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</si>
  <si>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</si>
  <si>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</si>
  <si>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</si>
  <si>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</si>
  <si>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</si>
  <si>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</si>
  <si>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</si>
  <si>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</si>
  <si>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</si>
  <si>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</si>
  <si>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</si>
  <si>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</si>
  <si>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</si>
  <si>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</si>
  <si>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</si>
  <si>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</si>
  <si>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</si>
  <si>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</si>
  <si>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</si>
  <si>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</si>
  <si>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</si>
  <si>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</si>
  <si>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</si>
  <si>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</si>
  <si>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</si>
  <si>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</si>
  <si>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</si>
  <si>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</si>
  <si>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</si>
  <si>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</si>
  <si>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</si>
  <si>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</si>
  <si>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</si>
  <si>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</si>
  <si>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</si>
  <si>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</si>
  <si>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</si>
  <si>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</si>
  <si>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</si>
  <si>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</si>
  <si>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</si>
  <si>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</si>
  <si>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</si>
  <si>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</si>
  <si>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</si>
  <si>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</si>
  <si>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</si>
  <si>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</si>
  <si>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</si>
  <si>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</si>
  <si>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</si>
  <si>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</si>
  <si>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</si>
  <si>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</si>
  <si>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</si>
  <si>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</si>
  <si>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</si>
  <si>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</si>
  <si>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</si>
  <si>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</si>
  <si>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</si>
  <si>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</si>
  <si>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</si>
  <si>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</si>
  <si>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</si>
  <si>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</si>
  <si>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</si>
  <si>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</si>
  <si>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</si>
  <si>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</si>
  <si>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</si>
  <si>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</si>
  <si>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</si>
  <si>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</si>
  <si>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</si>
  <si>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</si>
  <si>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</si>
  <si>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</si>
  <si>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</si>
  <si>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</si>
  <si>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</si>
  <si>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</si>
  <si>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</si>
  <si>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</si>
  <si>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</si>
  <si>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</si>
  <si>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</si>
  <si>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</si>
  <si>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</si>
  <si>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</si>
  <si>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</si>
  <si>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</si>
  <si>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</si>
  <si>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</si>
  <si>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</si>
  <si>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</si>
  <si>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</si>
  <si>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</si>
  <si>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</si>
  <si>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</si>
  <si>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</si>
  <si>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</si>
  <si>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</si>
  <si>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</si>
  <si>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</si>
  <si>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</si>
  <si>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</si>
  <si>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</si>
  <si>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</si>
  <si>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</si>
  <si>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</si>
  <si>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</si>
  <si>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</si>
  <si>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</si>
  <si>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</si>
  <si>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</si>
  <si>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</si>
  <si>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</si>
  <si>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</si>
  <si>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</si>
  <si>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</si>
  <si>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</si>
  <si>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</si>
  <si>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</si>
  <si>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</si>
  <si>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</si>
  <si>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</si>
  <si>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</si>
  <si>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</si>
  <si>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</si>
  <si>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</si>
  <si>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</si>
  <si>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</si>
  <si>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</si>
  <si>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</si>
  <si>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</si>
  <si>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</si>
  <si>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</si>
  <si>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</si>
  <si>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</si>
  <si>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</si>
  <si>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</si>
  <si>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</si>
  <si>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</si>
  <si>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</si>
  <si>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</si>
  <si>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</si>
  <si>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</si>
  <si>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</si>
  <si>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</si>
  <si>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</si>
  <si>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</si>
  <si>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</si>
  <si>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</si>
  <si>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</si>
  <si>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</si>
  <si>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</si>
  <si>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</si>
  <si>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</si>
  <si>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</si>
  <si>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</si>
  <si>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</si>
  <si>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</si>
  <si>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</si>
  <si>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</si>
  <si>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</si>
  <si>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</si>
  <si>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</si>
  <si>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</si>
  <si>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</si>
  <si>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</si>
  <si>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</si>
  <si>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</si>
  <si>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</si>
  <si>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</si>
  <si>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</si>
  <si>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</si>
  <si>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</si>
  <si>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</si>
  <si>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</si>
  <si>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</si>
  <si>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</si>
  <si>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</si>
  <si>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</si>
  <si>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</si>
  <si>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</si>
  <si>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</si>
  <si>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</si>
  <si>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</si>
  <si>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</si>
  <si>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</si>
  <si>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</si>
  <si>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</si>
  <si>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</si>
  <si>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</si>
  <si>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</si>
  <si>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</si>
  <si>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</si>
  <si>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</si>
  <si>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</si>
  <si>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</si>
  <si>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</si>
  <si>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</si>
  <si>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</si>
  <si>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</si>
  <si>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</si>
  <si>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</si>
  <si>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</si>
  <si>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</si>
  <si>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</si>
  <si>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</si>
  <si>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</si>
  <si>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</si>
  <si>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</si>
  <si>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</si>
  <si>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</si>
  <si>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</si>
  <si>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</si>
  <si>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</si>
  <si>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</si>
  <si>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</si>
  <si>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</si>
  <si>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</si>
  <si>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</si>
  <si>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</si>
  <si>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</si>
  <si>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</si>
  <si>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</si>
  <si>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</si>
  <si>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</si>
  <si>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</si>
  <si>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</si>
  <si>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</si>
  <si>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</si>
  <si>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</si>
  <si>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</si>
  <si>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</si>
  <si>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</si>
  <si>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</si>
  <si>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</si>
  <si>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</si>
  <si>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</si>
  <si>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</si>
  <si>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</si>
  <si>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</si>
  <si>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</si>
  <si>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</si>
  <si>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</si>
  <si>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</si>
  <si>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</si>
  <si>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</si>
  <si>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</si>
  <si>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</si>
  <si>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</si>
  <si>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</si>
  <si>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</si>
  <si>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</si>
  <si>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</si>
  <si>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</si>
  <si>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</si>
  <si>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</si>
  <si>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</si>
  <si>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</si>
  <si>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</si>
  <si>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</si>
  <si>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</si>
  <si>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</si>
  <si>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</si>
  <si>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</si>
  <si>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</si>
  <si>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</si>
  <si>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</si>
  <si>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</si>
  <si>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</si>
  <si>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</si>
  <si>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</si>
  <si>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</si>
  <si>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</si>
  <si>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</si>
  <si>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</si>
  <si>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</si>
  <si>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</si>
  <si>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</si>
  <si>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</si>
  <si>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</si>
  <si>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</si>
  <si>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</si>
  <si>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</si>
  <si>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</si>
  <si>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</si>
  <si>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</si>
  <si>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</si>
  <si>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</si>
  <si>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</si>
  <si>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</si>
  <si>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</si>
  <si>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</si>
  <si>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</si>
  <si>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</si>
  <si>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</si>
  <si>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</si>
  <si>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</si>
  <si>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</si>
  <si>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</si>
  <si>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</si>
  <si>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</si>
  <si>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</si>
  <si>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</si>
  <si>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</si>
  <si>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</si>
  <si>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</si>
  <si>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</si>
  <si>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</si>
  <si>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</si>
  <si>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</si>
  <si>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</si>
  <si>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</si>
  <si>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</si>
  <si>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</si>
  <si>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</si>
  <si>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</si>
  <si>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</si>
  <si>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</si>
  <si>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</si>
  <si>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</si>
  <si>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</si>
  <si>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</si>
  <si>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</si>
  <si>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</si>
  <si>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</si>
  <si>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</si>
  <si>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</si>
  <si>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</si>
  <si>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</si>
  <si>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</si>
  <si>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</si>
  <si>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</si>
  <si>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</si>
  <si>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</si>
  <si>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</si>
  <si>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</si>
  <si>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9406 RILEY ROAD</t>
  </si>
  <si>
    <t>MARENGO</t>
  </si>
  <si>
    <t>CONKLING@RILEY18.ORG</t>
  </si>
  <si>
    <t>CHRISTINE CONKLING</t>
  </si>
  <si>
    <t>815-568-8637</t>
  </si>
  <si>
    <t>X</t>
  </si>
  <si>
    <t>815-568-3709</t>
  </si>
  <si>
    <t>CHERYDEN JUERGENSEN</t>
  </si>
  <si>
    <t>Ed Fund – Page 10, Line 74 – Other Food Service</t>
  </si>
  <si>
    <t>Ed Fund – Page 10, Line 81 – Other District/School Activity Revenue</t>
  </si>
  <si>
    <t>Ed Fund – Page 10, Line 106 – Other Local Fees</t>
  </si>
  <si>
    <t>O&amp;M Fund – Page 12, Line 168 – Other Restricted Revenue from State Sources</t>
  </si>
  <si>
    <t>Ed Fund – Page 12, Line 180 – Other Restricted Grant-in-Aid Directly Received from the Federal Govt</t>
  </si>
  <si>
    <t>Kishwaukee Intermediate Delivery System (KIDS)</t>
  </si>
  <si>
    <t>Illinois Energy Consortium (IEC)</t>
  </si>
  <si>
    <t>CLIC (Insurance Cooperative; 100+ members)</t>
  </si>
  <si>
    <t>Regional Office of Education (ROE)</t>
  </si>
  <si>
    <t>District 154, District 200</t>
  </si>
  <si>
    <t>SEDOM</t>
  </si>
  <si>
    <t>District 154</t>
  </si>
  <si>
    <t>District 165</t>
  </si>
  <si>
    <t>ED-Health Insurance</t>
  </si>
  <si>
    <t>Tort-Property/Liability Insurance</t>
  </si>
  <si>
    <t>Operations-Electric</t>
  </si>
  <si>
    <t>Transportation-Bus Fuel</t>
  </si>
  <si>
    <t>Blue Cross</t>
  </si>
  <si>
    <t>CLIC</t>
  </si>
  <si>
    <t>Nextera Energy</t>
  </si>
  <si>
    <t>Petrochoice</t>
  </si>
  <si>
    <t>District 165, District 47</t>
  </si>
  <si>
    <t>GFS</t>
  </si>
  <si>
    <t>Kirha</t>
  </si>
  <si>
    <t>Ed Fund - Page 5, Line 12 - Other Current Assets</t>
  </si>
  <si>
    <t>Overpayment of Benefits</t>
  </si>
  <si>
    <t>Miscellaneous Food Service Reimbursement</t>
  </si>
  <si>
    <t>Tech Fees</t>
  </si>
  <si>
    <t>Local Reimbursement</t>
  </si>
  <si>
    <t>Maintenance Grant</t>
  </si>
  <si>
    <t>REAP Grant</t>
  </si>
  <si>
    <t xml:space="preserve"> Riley CCSD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</si>
</sst>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cellStyleXfs>
  <cellXfs count="2630">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117764</xdr:rowOff>
        </xdr:from>
        <xdr:to>
          <xdr:col>1</xdr:col>
          <xdr:colOff>902277</xdr:colOff>
          <xdr:row>10</xdr:row>
          <xdr:rowOff>121227</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1149927</xdr:colOff>
          <xdr:row>5</xdr:row>
          <xdr:rowOff>136814</xdr:rowOff>
        </xdr:from>
        <xdr:to>
          <xdr:col>1</xdr:col>
          <xdr:colOff>2102427</xdr:colOff>
          <xdr:row>10</xdr:row>
          <xdr:rowOff>140277</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5">
        <f>+'AFR20'!E4</f>
        <v>44119</v>
      </c>
      <c r="C1" s="2125"/>
      <c r="D1" s="2126"/>
      <c r="I1" s="2084" t="s">
        <v>402</v>
      </c>
      <c r="J1" s="2085"/>
      <c r="K1" s="2085"/>
      <c r="L1" s="2085"/>
      <c r="M1" s="2085"/>
      <c r="N1" s="2085"/>
      <c r="O1" s="2085"/>
      <c r="P1" s="2085"/>
      <c r="Q1" s="2085"/>
      <c r="R1" s="2085"/>
      <c r="S1" s="2085"/>
    </row>
    <row r="2" spans="1:32" ht="12" customHeight="1" x14ac:dyDescent="0.2">
      <c r="A2" s="1820" t="str">
        <f>"Due to ISBE on "</f>
        <v xml:space="preserve">Due to ISBE on </v>
      </c>
      <c r="B2" s="2127">
        <f>+'AFR20'!F4</f>
        <v>44151</v>
      </c>
      <c r="C2" s="2127"/>
      <c r="D2" s="2128"/>
      <c r="I2" s="2086" t="s">
        <v>2000</v>
      </c>
      <c r="J2" s="2085"/>
      <c r="K2" s="2085"/>
      <c r="L2" s="2085"/>
      <c r="M2" s="2085"/>
      <c r="N2" s="2085"/>
      <c r="O2" s="2085"/>
      <c r="P2" s="2085"/>
      <c r="Q2" s="2085"/>
      <c r="R2" s="2085"/>
      <c r="S2" s="2085"/>
    </row>
    <row r="3" spans="1:32" ht="12" customHeight="1" x14ac:dyDescent="0.2">
      <c r="A3" s="1823" t="str">
        <f>"SD/JA"&amp;MID('AFR20'!E2,3,2)</f>
        <v>SD/JA20</v>
      </c>
      <c r="B3" s="151"/>
      <c r="C3" s="151"/>
      <c r="D3" s="152"/>
      <c r="I3" s="2086" t="s">
        <v>52</v>
      </c>
      <c r="J3" s="2085"/>
      <c r="K3" s="2085"/>
      <c r="L3" s="2085"/>
      <c r="M3" s="2085"/>
      <c r="N3" s="2085"/>
      <c r="O3" s="2085"/>
      <c r="P3" s="2085"/>
      <c r="Q3" s="2085"/>
      <c r="R3" s="2085"/>
      <c r="S3" s="2085"/>
    </row>
    <row r="4" spans="1:32" ht="12" customHeight="1" x14ac:dyDescent="0.2">
      <c r="A4" s="37"/>
      <c r="I4" s="2086" t="s">
        <v>521</v>
      </c>
      <c r="J4" s="2085"/>
      <c r="K4" s="2085"/>
      <c r="L4" s="2085"/>
      <c r="M4" s="2085"/>
      <c r="N4" s="2085"/>
      <c r="O4" s="2085"/>
      <c r="P4" s="2085"/>
      <c r="Q4" s="2085"/>
      <c r="R4" s="2085"/>
      <c r="S4" s="2085"/>
    </row>
    <row r="5" spans="1:32" ht="14.1" customHeight="1" x14ac:dyDescent="0.2">
      <c r="B5" s="101" t="s">
        <v>2067</v>
      </c>
      <c r="C5" s="26" t="s">
        <v>903</v>
      </c>
      <c r="D5" s="81"/>
      <c r="E5" s="81"/>
      <c r="H5" s="38"/>
      <c r="I5" s="2094" t="s">
        <v>675</v>
      </c>
      <c r="J5" s="2093"/>
      <c r="K5" s="2093"/>
      <c r="L5" s="2093"/>
      <c r="M5" s="2093"/>
      <c r="N5" s="2093"/>
      <c r="O5" s="2093"/>
      <c r="P5" s="2093"/>
      <c r="Q5" s="2093"/>
      <c r="R5" s="2093"/>
      <c r="S5" s="2093"/>
      <c r="AF5" s="1816"/>
    </row>
    <row r="6" spans="1:32" ht="14.1" customHeight="1" x14ac:dyDescent="0.2">
      <c r="B6" s="101"/>
      <c r="C6" s="26" t="s">
        <v>904</v>
      </c>
      <c r="D6" s="81"/>
      <c r="E6" s="81"/>
      <c r="I6" s="2092" t="s">
        <v>876</v>
      </c>
      <c r="J6" s="2093"/>
      <c r="K6" s="2093"/>
      <c r="L6" s="2093"/>
      <c r="M6" s="2093"/>
      <c r="N6" s="2093"/>
      <c r="O6" s="2093"/>
      <c r="P6" s="2093"/>
      <c r="Q6" s="2093"/>
      <c r="R6" s="2093"/>
      <c r="S6" s="2093"/>
    </row>
    <row r="7" spans="1:32" ht="12.2" customHeight="1" x14ac:dyDescent="0.2">
      <c r="I7" s="2087" t="str">
        <f>"June 30, "&amp;'AFR20'!E2</f>
        <v>June 30, 2020</v>
      </c>
      <c r="J7" s="2088"/>
      <c r="K7" s="2088"/>
      <c r="L7" s="2088"/>
      <c r="M7" s="2088"/>
      <c r="N7" s="2088"/>
      <c r="O7" s="2088"/>
      <c r="P7" s="2088"/>
      <c r="Q7" s="2088"/>
      <c r="R7" s="2088"/>
      <c r="S7" s="20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9" t="s">
        <v>669</v>
      </c>
      <c r="J9" s="2090"/>
      <c r="K9" s="2090"/>
      <c r="L9" s="2090"/>
      <c r="M9" s="2090"/>
      <c r="N9" s="2090"/>
      <c r="O9" s="2090"/>
      <c r="P9" s="2090"/>
      <c r="Q9" s="2090"/>
      <c r="R9" s="2090"/>
      <c r="S9" s="2091"/>
      <c r="T9" s="2142" t="s">
        <v>530</v>
      </c>
      <c r="U9" s="2143"/>
      <c r="V9" s="2143"/>
      <c r="W9" s="2143"/>
      <c r="X9" s="2143"/>
      <c r="Y9" s="2143"/>
      <c r="Z9" s="2143"/>
      <c r="AA9" s="2144"/>
    </row>
    <row r="10" spans="1:32" ht="13.5" customHeight="1" x14ac:dyDescent="0.2">
      <c r="A10" s="2149" t="s">
        <v>670</v>
      </c>
      <c r="B10" s="2150"/>
      <c r="C10" s="2150"/>
      <c r="D10" s="2150"/>
      <c r="E10" s="2150"/>
      <c r="F10" s="2150"/>
      <c r="G10" s="2150"/>
      <c r="H10" s="2151"/>
      <c r="I10" s="29"/>
      <c r="J10" s="30"/>
      <c r="K10" s="28"/>
      <c r="R10" s="30"/>
      <c r="S10" s="30"/>
      <c r="T10" s="2145"/>
      <c r="U10" s="2093"/>
      <c r="V10" s="2093"/>
      <c r="W10" s="2093"/>
      <c r="X10" s="2093"/>
      <c r="Y10" s="2093"/>
      <c r="Z10" s="2093"/>
      <c r="AA10" s="2099"/>
    </row>
    <row r="11" spans="1:32" ht="14.25" customHeight="1" x14ac:dyDescent="0.2">
      <c r="A11" s="2152" t="s">
        <v>948</v>
      </c>
      <c r="B11" s="2153"/>
      <c r="C11" s="2153"/>
      <c r="D11" s="2153"/>
      <c r="E11" s="2153"/>
      <c r="F11" s="2153"/>
      <c r="G11" s="2153"/>
      <c r="H11" s="2154"/>
      <c r="I11" s="27"/>
      <c r="J11" s="71"/>
      <c r="K11" s="27"/>
      <c r="O11" s="144" t="s">
        <v>2067</v>
      </c>
      <c r="P11" s="97" t="s">
        <v>199</v>
      </c>
      <c r="Q11" s="30"/>
      <c r="R11" s="28"/>
      <c r="S11" s="27"/>
      <c r="T11" s="2146"/>
      <c r="U11" s="2147"/>
      <c r="V11" s="2147"/>
      <c r="W11" s="2147"/>
      <c r="X11" s="2147"/>
      <c r="Y11" s="2147"/>
      <c r="Z11" s="2147"/>
      <c r="AA11" s="2148"/>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5">
        <v>44063018004</v>
      </c>
      <c r="B13" s="2106"/>
      <c r="C13" s="2106"/>
      <c r="D13" s="2106"/>
      <c r="E13" s="2106"/>
      <c r="F13" s="2106"/>
      <c r="G13" s="2106"/>
      <c r="H13" s="2107"/>
      <c r="I13" s="31"/>
      <c r="J13" s="30"/>
      <c r="K13" s="28"/>
      <c r="L13" s="30"/>
      <c r="M13" s="30"/>
      <c r="N13" s="30"/>
      <c r="O13" s="30"/>
      <c r="P13" s="30"/>
      <c r="Q13" s="30"/>
      <c r="R13" s="30"/>
      <c r="S13" s="30"/>
      <c r="T13" s="2111" t="s">
        <v>2015</v>
      </c>
      <c r="U13" s="2112"/>
      <c r="V13" s="2112"/>
      <c r="W13" s="2112"/>
      <c r="X13" s="2112"/>
      <c r="Y13" s="2113"/>
      <c r="Z13" s="2113"/>
      <c r="AA13" s="211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8" t="s">
        <v>2017</v>
      </c>
      <c r="B15" s="2109"/>
      <c r="C15" s="2109"/>
      <c r="D15" s="2109"/>
      <c r="E15" s="2109"/>
      <c r="F15" s="2109"/>
      <c r="G15" s="2109"/>
      <c r="H15" s="2110"/>
      <c r="T15" s="2115" t="s">
        <v>2069</v>
      </c>
      <c r="U15" s="2072"/>
      <c r="V15" s="2072"/>
      <c r="W15" s="2072"/>
      <c r="X15" s="2072"/>
      <c r="Y15" s="2116"/>
      <c r="Z15" s="2116"/>
      <c r="AA15" s="2117"/>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8" t="s">
        <v>2101</v>
      </c>
      <c r="B17" s="2079"/>
      <c r="C17" s="2079"/>
      <c r="D17" s="2079"/>
      <c r="E17" s="2079"/>
      <c r="F17" s="2079"/>
      <c r="G17" s="2079"/>
      <c r="H17" s="2104"/>
      <c r="T17" s="2122" t="s">
        <v>2016</v>
      </c>
      <c r="U17" s="2123"/>
      <c r="V17" s="2123"/>
      <c r="W17" s="2123"/>
      <c r="X17" s="2123"/>
      <c r="Y17" s="2123"/>
      <c r="Z17" s="2123"/>
      <c r="AA17" s="2124"/>
    </row>
    <row r="18" spans="1:27" ht="13.5" customHeight="1" x14ac:dyDescent="0.2">
      <c r="A18" s="82" t="s">
        <v>527</v>
      </c>
      <c r="B18" s="73"/>
      <c r="C18" s="69"/>
      <c r="D18" s="73"/>
      <c r="E18" s="73"/>
      <c r="F18" s="73"/>
      <c r="G18" s="73"/>
      <c r="H18" s="53"/>
      <c r="I18" s="2103" t="s">
        <v>671</v>
      </c>
      <c r="J18" s="2054"/>
      <c r="K18" s="2054"/>
      <c r="L18" s="2054"/>
      <c r="M18" s="2054"/>
      <c r="N18" s="2054"/>
      <c r="O18" s="2054"/>
      <c r="P18" s="2054"/>
      <c r="Q18" s="2054"/>
      <c r="R18" s="2054"/>
      <c r="S18" s="2055"/>
      <c r="T18" s="82" t="s">
        <v>705</v>
      </c>
      <c r="U18" s="48"/>
      <c r="V18" s="69"/>
      <c r="W18" s="47"/>
      <c r="X18" s="82" t="s">
        <v>264</v>
      </c>
      <c r="Y18" s="78"/>
      <c r="Z18" s="154" t="s">
        <v>672</v>
      </c>
      <c r="AA18" s="44"/>
    </row>
    <row r="19" spans="1:27" ht="13.5" customHeight="1" x14ac:dyDescent="0.2">
      <c r="A19" s="2108" t="s">
        <v>2062</v>
      </c>
      <c r="B19" s="2064"/>
      <c r="C19" s="2064"/>
      <c r="D19" s="2064"/>
      <c r="E19" s="2064"/>
      <c r="F19" s="2064"/>
      <c r="G19" s="2064"/>
      <c r="H19" s="2044"/>
      <c r="I19" s="30"/>
      <c r="J19" s="96"/>
      <c r="K19" s="40"/>
      <c r="L19" s="38"/>
      <c r="M19" s="109" t="s">
        <v>312</v>
      </c>
      <c r="P19" s="27"/>
      <c r="Q19" s="27"/>
      <c r="R19" s="27"/>
      <c r="S19" s="31"/>
      <c r="T19" s="2108" t="s">
        <v>2017</v>
      </c>
      <c r="U19" s="2043"/>
      <c r="V19" s="2043"/>
      <c r="W19" s="2044"/>
      <c r="X19" s="2120" t="s">
        <v>2018</v>
      </c>
      <c r="Y19" s="2121"/>
      <c r="Z19" s="2118">
        <v>60050</v>
      </c>
      <c r="AA19" s="2119"/>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2" t="s">
        <v>2063</v>
      </c>
      <c r="B21" s="2043"/>
      <c r="C21" s="2043"/>
      <c r="D21" s="2043"/>
      <c r="E21" s="2043"/>
      <c r="F21" s="2043"/>
      <c r="G21" s="2043"/>
      <c r="H21" s="2044"/>
      <c r="I21" s="2098" t="s">
        <v>673</v>
      </c>
      <c r="J21" s="2093"/>
      <c r="K21" s="2093"/>
      <c r="L21" s="2093"/>
      <c r="M21" s="2093"/>
      <c r="N21" s="2093"/>
      <c r="O21" s="2093"/>
      <c r="P21" s="2093"/>
      <c r="Q21" s="2093"/>
      <c r="R21" s="2093"/>
      <c r="S21" s="2099"/>
      <c r="T21" s="2133" t="s">
        <v>2019</v>
      </c>
      <c r="U21" s="2134"/>
      <c r="V21" s="2134"/>
      <c r="W21" s="2134"/>
      <c r="X21" s="2139" t="s">
        <v>2020</v>
      </c>
      <c r="Y21" s="2140"/>
      <c r="Z21" s="2140"/>
      <c r="AA21" s="2141"/>
    </row>
    <row r="22" spans="1:27" ht="13.5" customHeight="1" x14ac:dyDescent="0.2">
      <c r="A22" s="84" t="s">
        <v>528</v>
      </c>
      <c r="B22" s="56"/>
      <c r="C22" s="56"/>
      <c r="D22" s="56"/>
      <c r="E22" s="56"/>
      <c r="F22" s="56"/>
      <c r="G22" s="56"/>
      <c r="H22" s="57"/>
      <c r="I22" s="2100" t="s">
        <v>1409</v>
      </c>
      <c r="J22" s="2101"/>
      <c r="K22" s="2101"/>
      <c r="L22" s="2101"/>
      <c r="M22" s="2101"/>
      <c r="N22" s="2101"/>
      <c r="O22" s="2101"/>
      <c r="P22" s="2101"/>
      <c r="Q22" s="2101"/>
      <c r="R22" s="2101"/>
      <c r="S22" s="2102"/>
      <c r="T22" s="82" t="s">
        <v>1496</v>
      </c>
      <c r="U22" s="48"/>
      <c r="V22" s="69"/>
      <c r="W22" s="48"/>
      <c r="X22" s="155" t="s">
        <v>1306</v>
      </c>
      <c r="Z22" s="43"/>
      <c r="AA22" s="44"/>
    </row>
    <row r="23" spans="1:27" ht="13.5" customHeight="1" x14ac:dyDescent="0.2">
      <c r="A23" s="2095" t="s">
        <v>2064</v>
      </c>
      <c r="B23" s="2096"/>
      <c r="C23" s="2096"/>
      <c r="D23" s="2096"/>
      <c r="E23" s="2096"/>
      <c r="F23" s="2096"/>
      <c r="G23" s="2096"/>
      <c r="H23" s="2097"/>
      <c r="T23" s="2078" t="s">
        <v>2021</v>
      </c>
      <c r="U23" s="2132"/>
      <c r="V23" s="2132"/>
      <c r="W23" s="2132"/>
      <c r="X23" s="2136">
        <v>44530</v>
      </c>
      <c r="Y23" s="2137"/>
      <c r="Z23" s="2137"/>
      <c r="AA23" s="2138"/>
    </row>
    <row r="24" spans="1:27" ht="14.1" customHeight="1" x14ac:dyDescent="0.2">
      <c r="A24" s="85" t="s">
        <v>672</v>
      </c>
      <c r="B24" s="46"/>
      <c r="C24" s="46"/>
      <c r="D24" s="46"/>
      <c r="E24" s="46"/>
      <c r="F24" s="46"/>
      <c r="G24" s="46"/>
      <c r="H24" s="58"/>
      <c r="J24" s="2065">
        <f>IF(B5="x",IF(AUDITCHECK!D29="AFR form Incomplete.","",IF(AUDITCHECK!D29="Deficit reduction plan is required.","School District must complete a deficit reduction plan in the 2020-2021 Budget",)),"")</f>
        <v>0</v>
      </c>
      <c r="K24" s="2065"/>
      <c r="L24" s="2065"/>
      <c r="M24" s="2065"/>
      <c r="N24" s="2065"/>
      <c r="O24" s="2065"/>
      <c r="P24" s="2065"/>
      <c r="Q24" s="2065"/>
      <c r="R24" s="2065"/>
      <c r="S24" s="2066"/>
      <c r="T24" s="102" t="s">
        <v>528</v>
      </c>
      <c r="U24" s="103"/>
      <c r="V24" s="103"/>
      <c r="W24" s="103"/>
      <c r="X24" s="104"/>
      <c r="Y24" s="104"/>
      <c r="Z24" s="104"/>
      <c r="AA24" s="105"/>
    </row>
    <row r="25" spans="1:27" ht="14.1" customHeight="1" x14ac:dyDescent="0.2">
      <c r="A25" s="2042">
        <v>60152</v>
      </c>
      <c r="B25" s="2043"/>
      <c r="C25" s="2043"/>
      <c r="D25" s="2043"/>
      <c r="E25" s="2043"/>
      <c r="F25" s="2043"/>
      <c r="G25" s="2043"/>
      <c r="H25" s="2044"/>
      <c r="I25" s="110"/>
      <c r="J25" s="2067"/>
      <c r="K25" s="2067"/>
      <c r="L25" s="2067"/>
      <c r="M25" s="2067"/>
      <c r="N25" s="2067"/>
      <c r="O25" s="2067"/>
      <c r="P25" s="2067"/>
      <c r="Q25" s="2067"/>
      <c r="R25" s="2067"/>
      <c r="S25" s="2068"/>
      <c r="T25" s="2129" t="s">
        <v>2022</v>
      </c>
      <c r="U25" s="2130"/>
      <c r="V25" s="2130"/>
      <c r="W25" s="2130"/>
      <c r="X25" s="2130"/>
      <c r="Y25" s="2130"/>
      <c r="Z25" s="2130"/>
      <c r="AA25" s="213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3" t="s">
        <v>1491</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2067</v>
      </c>
      <c r="M29" s="40" t="s">
        <v>99</v>
      </c>
      <c r="N29" s="32" t="s">
        <v>1503</v>
      </c>
      <c r="O29" s="32"/>
      <c r="P29" s="32"/>
      <c r="Q29" s="32"/>
      <c r="R29" s="32"/>
      <c r="S29" s="120"/>
      <c r="T29" s="6"/>
      <c r="U29" s="6"/>
      <c r="V29" s="6"/>
      <c r="W29" s="6"/>
      <c r="X29" s="6"/>
      <c r="Y29" s="6"/>
      <c r="Z29" s="6"/>
      <c r="AA29" s="129"/>
    </row>
    <row r="30" spans="1:27" ht="13.5" customHeight="1" x14ac:dyDescent="0.2">
      <c r="A30" s="149"/>
      <c r="B30" s="133" t="s">
        <v>2067</v>
      </c>
      <c r="C30" s="121" t="s">
        <v>1153</v>
      </c>
      <c r="D30" s="28"/>
      <c r="E30" s="28"/>
      <c r="F30" s="136"/>
      <c r="G30" s="111"/>
      <c r="H30" s="111"/>
      <c r="I30" s="51"/>
      <c r="J30" s="99"/>
      <c r="K30" s="28" t="s">
        <v>572</v>
      </c>
      <c r="L30" s="144" t="s">
        <v>2067</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2067</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4"/>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8" t="s">
        <v>2065</v>
      </c>
      <c r="B38" s="2079"/>
      <c r="C38" s="2079"/>
      <c r="D38" s="2079"/>
      <c r="E38" s="2079"/>
      <c r="F38" s="2043"/>
      <c r="G38" s="2043"/>
      <c r="H38" s="2044"/>
      <c r="I38" s="2071"/>
      <c r="J38" s="2072"/>
      <c r="K38" s="2072"/>
      <c r="L38" s="2072"/>
      <c r="M38" s="2072"/>
      <c r="N38" s="2072"/>
      <c r="O38" s="2072"/>
      <c r="P38" s="2073"/>
      <c r="Q38" s="2073"/>
      <c r="R38" s="2073"/>
      <c r="S38" s="2074"/>
      <c r="T38" s="2115"/>
      <c r="U38" s="2072"/>
      <c r="V38" s="2072"/>
      <c r="W38" s="2072"/>
      <c r="X38" s="2073"/>
      <c r="Y38" s="2073"/>
      <c r="Z38" s="2073"/>
      <c r="AA38" s="2074"/>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2064</v>
      </c>
      <c r="B40" s="2057"/>
      <c r="C40" s="2058"/>
      <c r="D40" s="2058"/>
      <c r="E40" s="2058"/>
      <c r="F40" s="2059"/>
      <c r="G40" s="2059"/>
      <c r="H40" s="2060"/>
      <c r="I40" s="2081"/>
      <c r="J40" s="2082"/>
      <c r="K40" s="2082"/>
      <c r="L40" s="2082"/>
      <c r="M40" s="2082"/>
      <c r="N40" s="2082"/>
      <c r="O40" s="2082"/>
      <c r="P40" s="2082"/>
      <c r="Q40" s="2082"/>
      <c r="R40" s="2082"/>
      <c r="S40" s="2083"/>
      <c r="T40" s="2081"/>
      <c r="U40" s="2135"/>
      <c r="V40" s="2082"/>
      <c r="W40" s="2082"/>
      <c r="X40" s="2082"/>
      <c r="Y40" s="2082"/>
      <c r="Z40" s="2082"/>
      <c r="AA40" s="2083"/>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0" t="s">
        <v>2066</v>
      </c>
      <c r="B42" s="2062"/>
      <c r="C42" s="2063"/>
      <c r="D42" s="2061" t="s">
        <v>2068</v>
      </c>
      <c r="E42" s="2062"/>
      <c r="F42" s="2062"/>
      <c r="G42" s="2062"/>
      <c r="H42" s="2063"/>
      <c r="I42" s="2045"/>
      <c r="J42" s="2046"/>
      <c r="K42" s="2046"/>
      <c r="L42" s="2046"/>
      <c r="M42" s="2046"/>
      <c r="N42" s="2046"/>
      <c r="O42" s="2047"/>
      <c r="P42" s="2080"/>
      <c r="Q42" s="2046"/>
      <c r="R42" s="2046"/>
      <c r="S42" s="2047"/>
      <c r="T42" s="2045"/>
      <c r="U42" s="2046"/>
      <c r="V42" s="2046"/>
      <c r="W42" s="2047"/>
      <c r="X42" s="2080"/>
      <c r="Y42" s="2046"/>
      <c r="Z42" s="2046"/>
      <c r="AA42" s="204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5"/>
      <c r="B44" s="2076"/>
      <c r="C44" s="2076"/>
      <c r="D44" s="2076"/>
      <c r="E44" s="2076"/>
      <c r="F44" s="2076"/>
      <c r="G44" s="2076"/>
      <c r="H44" s="2077"/>
      <c r="I44" s="2050"/>
      <c r="J44" s="2051"/>
      <c r="K44" s="2051"/>
      <c r="L44" s="2051"/>
      <c r="M44" s="2051"/>
      <c r="N44" s="2051"/>
      <c r="O44" s="2051"/>
      <c r="P44" s="2051"/>
      <c r="Q44" s="2051"/>
      <c r="R44" s="2051"/>
      <c r="S44" s="2052"/>
      <c r="T44" s="2050"/>
      <c r="U44" s="2069"/>
      <c r="V44" s="2069"/>
      <c r="W44" s="2069"/>
      <c r="X44" s="2069"/>
      <c r="Y44" s="2069"/>
      <c r="Z44" s="2051"/>
      <c r="AA44" s="205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election activeCell="F15" sqref="F1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3"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4"/>
      <c r="B3" s="1287"/>
      <c r="C3" s="1288"/>
      <c r="D3" s="1289" t="s">
        <v>254</v>
      </c>
      <c r="E3" s="1288"/>
      <c r="F3" s="1289" t="s">
        <v>255</v>
      </c>
    </row>
    <row r="4" spans="1:8" ht="13.7" customHeight="1" x14ac:dyDescent="0.2">
      <c r="A4" s="579" t="s">
        <v>1144</v>
      </c>
      <c r="B4" s="1710">
        <f>'Revenues 9-14'!C5</f>
        <v>2946089</v>
      </c>
      <c r="C4" s="1711">
        <v>1511640</v>
      </c>
      <c r="D4" s="1712">
        <f>B4-C4</f>
        <v>1434449</v>
      </c>
      <c r="E4" s="1711">
        <v>3174344</v>
      </c>
      <c r="F4" s="1712">
        <f>E4-C4</f>
        <v>1662704</v>
      </c>
    </row>
    <row r="5" spans="1:8" ht="13.7" customHeight="1" x14ac:dyDescent="0.2">
      <c r="A5" s="579" t="s">
        <v>864</v>
      </c>
      <c r="B5" s="1713">
        <f>'Revenues 9-14'!D5</f>
        <v>582172</v>
      </c>
      <c r="C5" s="1654">
        <v>297148</v>
      </c>
      <c r="D5" s="1714">
        <f t="shared" ref="D5:D18" si="0">B5-C5</f>
        <v>285024</v>
      </c>
      <c r="E5" s="1654">
        <v>623992</v>
      </c>
      <c r="F5" s="1714">
        <f>E5-C5</f>
        <v>326844</v>
      </c>
    </row>
    <row r="6" spans="1:8" ht="13.7" customHeight="1" x14ac:dyDescent="0.2">
      <c r="A6" s="579" t="s">
        <v>408</v>
      </c>
      <c r="B6" s="1713">
        <f>'Revenues 9-14'!E5</f>
        <v>0</v>
      </c>
      <c r="C6" s="1654">
        <v>0</v>
      </c>
      <c r="D6" s="1714">
        <f t="shared" si="0"/>
        <v>0</v>
      </c>
      <c r="E6" s="1654">
        <v>0</v>
      </c>
      <c r="F6" s="1714">
        <f t="shared" ref="F6:F18" si="1">E6-C6</f>
        <v>0</v>
      </c>
    </row>
    <row r="7" spans="1:8" ht="13.7" customHeight="1" x14ac:dyDescent="0.2">
      <c r="A7" s="579" t="s">
        <v>154</v>
      </c>
      <c r="B7" s="1713">
        <f>'Revenues 9-14'!F5</f>
        <v>10726</v>
      </c>
      <c r="C7" s="1654">
        <v>7064</v>
      </c>
      <c r="D7" s="1714">
        <f t="shared" si="0"/>
        <v>3662</v>
      </c>
      <c r="E7" s="1654">
        <v>14834</v>
      </c>
      <c r="F7" s="1714">
        <f t="shared" si="1"/>
        <v>7770</v>
      </c>
    </row>
    <row r="8" spans="1:8" ht="13.7" customHeight="1" x14ac:dyDescent="0.2">
      <c r="A8" s="579" t="s">
        <v>1168</v>
      </c>
      <c r="B8" s="1713">
        <f>'Revenues 9-14'!G5</f>
        <v>96619</v>
      </c>
      <c r="C8" s="1654">
        <v>49446</v>
      </c>
      <c r="D8" s="1714">
        <f t="shared" si="0"/>
        <v>47173</v>
      </c>
      <c r="E8" s="1654">
        <v>103834</v>
      </c>
      <c r="F8" s="1714">
        <f t="shared" si="1"/>
        <v>54388</v>
      </c>
    </row>
    <row r="9" spans="1:8" ht="13.7" customHeight="1" x14ac:dyDescent="0.2">
      <c r="A9" s="579" t="s">
        <v>405</v>
      </c>
      <c r="B9" s="1713">
        <f>'Revenues 9-14'!H5</f>
        <v>0</v>
      </c>
      <c r="C9" s="1654">
        <v>0</v>
      </c>
      <c r="D9" s="1714">
        <f t="shared" si="0"/>
        <v>0</v>
      </c>
      <c r="E9" s="1654">
        <v>0</v>
      </c>
      <c r="F9" s="1714">
        <f t="shared" si="1"/>
        <v>0</v>
      </c>
    </row>
    <row r="10" spans="1:8" ht="13.7" customHeight="1" x14ac:dyDescent="0.2">
      <c r="A10" s="579" t="s">
        <v>404</v>
      </c>
      <c r="B10" s="1713">
        <f>'Revenues 9-14'!I5</f>
        <v>21848</v>
      </c>
      <c r="C10" s="1654">
        <v>120084</v>
      </c>
      <c r="D10" s="1714">
        <f t="shared" si="0"/>
        <v>-98236</v>
      </c>
      <c r="E10" s="1654">
        <v>252169</v>
      </c>
      <c r="F10" s="1714">
        <f t="shared" si="1"/>
        <v>132085</v>
      </c>
    </row>
    <row r="11" spans="1:8" x14ac:dyDescent="0.2">
      <c r="A11" s="579" t="s">
        <v>406</v>
      </c>
      <c r="B11" s="1713">
        <f>'Revenues 9-14'!J5</f>
        <v>42271</v>
      </c>
      <c r="C11" s="1654">
        <v>21663</v>
      </c>
      <c r="D11" s="1714">
        <f t="shared" si="0"/>
        <v>20608</v>
      </c>
      <c r="E11" s="1654">
        <v>45490</v>
      </c>
      <c r="F11" s="1714">
        <f t="shared" si="1"/>
        <v>23827</v>
      </c>
    </row>
    <row r="12" spans="1:8" ht="13.7" customHeight="1" x14ac:dyDescent="0.2">
      <c r="A12" s="579" t="s">
        <v>156</v>
      </c>
      <c r="B12" s="1713">
        <f>'Revenues 9-14'!K5</f>
        <v>0</v>
      </c>
      <c r="C12" s="1654">
        <v>0</v>
      </c>
      <c r="D12" s="1714">
        <f t="shared" si="0"/>
        <v>0</v>
      </c>
      <c r="E12" s="1654">
        <v>0</v>
      </c>
      <c r="F12" s="1714">
        <f t="shared" si="1"/>
        <v>0</v>
      </c>
    </row>
    <row r="13" spans="1:8" ht="13.7" customHeight="1" x14ac:dyDescent="0.2">
      <c r="A13" s="579" t="s">
        <v>929</v>
      </c>
      <c r="B13" s="1713">
        <f>SUM('Revenues 9-14'!C6:D6)</f>
        <v>0</v>
      </c>
      <c r="C13" s="1654">
        <v>0</v>
      </c>
      <c r="D13" s="1714">
        <f t="shared" si="0"/>
        <v>0</v>
      </c>
      <c r="E13" s="1654">
        <v>0</v>
      </c>
      <c r="F13" s="1714">
        <f t="shared" si="1"/>
        <v>0</v>
      </c>
    </row>
    <row r="14" spans="1:8" ht="13.7" customHeight="1" x14ac:dyDescent="0.2">
      <c r="A14" s="579" t="s">
        <v>407</v>
      </c>
      <c r="B14" s="1713">
        <f>SUM('Revenues 9-14'!C7:D7,'Revenues 9-14'!F7:H7)</f>
        <v>234576</v>
      </c>
      <c r="C14" s="1654">
        <v>11773</v>
      </c>
      <c r="D14" s="1714">
        <f t="shared" si="0"/>
        <v>222803</v>
      </c>
      <c r="E14" s="1654">
        <v>24723</v>
      </c>
      <c r="F14" s="1714">
        <f t="shared" si="1"/>
        <v>12950</v>
      </c>
    </row>
    <row r="15" spans="1:8" ht="13.7" customHeight="1" x14ac:dyDescent="0.2">
      <c r="A15" s="579" t="s">
        <v>1147</v>
      </c>
      <c r="B15" s="1713">
        <f>SUM('Revenues 9-14'!D9:E9,'Revenues 9-14'!H9)</f>
        <v>0</v>
      </c>
      <c r="C15" s="1654">
        <v>0</v>
      </c>
      <c r="D15" s="1714">
        <f t="shared" si="0"/>
        <v>0</v>
      </c>
      <c r="E15" s="1654">
        <v>0</v>
      </c>
      <c r="F15" s="1714">
        <f t="shared" si="1"/>
        <v>0</v>
      </c>
    </row>
    <row r="16" spans="1:8" ht="13.7" customHeight="1" x14ac:dyDescent="0.2">
      <c r="A16" s="579" t="s">
        <v>1148</v>
      </c>
      <c r="B16" s="1713">
        <f>'Revenues 9-14'!G8</f>
        <v>48773</v>
      </c>
      <c r="C16" s="1654">
        <v>24959</v>
      </c>
      <c r="D16" s="1714">
        <f t="shared" si="0"/>
        <v>23814</v>
      </c>
      <c r="E16" s="1654">
        <v>52412</v>
      </c>
      <c r="F16" s="1714">
        <f t="shared" si="1"/>
        <v>27453</v>
      </c>
    </row>
    <row r="17" spans="1:6" ht="13.7" customHeight="1" x14ac:dyDescent="0.2">
      <c r="A17" s="579" t="s">
        <v>1149</v>
      </c>
      <c r="B17" s="1713">
        <f>'Revenues 9-14'!C10</f>
        <v>0</v>
      </c>
      <c r="C17" s="1654">
        <v>0</v>
      </c>
      <c r="D17" s="1714">
        <f t="shared" si="0"/>
        <v>0</v>
      </c>
      <c r="E17" s="1654">
        <v>0</v>
      </c>
      <c r="F17" s="1714">
        <f t="shared" si="1"/>
        <v>0</v>
      </c>
    </row>
    <row r="18" spans="1:6" ht="13.7" customHeight="1" x14ac:dyDescent="0.2">
      <c r="A18" s="579" t="s">
        <v>756</v>
      </c>
      <c r="B18" s="1713">
        <f>SUM('Revenues 9-14'!C11:K11)</f>
        <v>0</v>
      </c>
      <c r="C18" s="1654">
        <v>0</v>
      </c>
      <c r="D18" s="1714">
        <f t="shared" si="0"/>
        <v>0</v>
      </c>
      <c r="E18" s="1654">
        <v>0</v>
      </c>
      <c r="F18" s="1714">
        <f t="shared" si="1"/>
        <v>0</v>
      </c>
    </row>
    <row r="19" spans="1:6" ht="13.7" customHeight="1" thickBot="1" x14ac:dyDescent="0.25">
      <c r="A19" s="1425" t="s">
        <v>1150</v>
      </c>
      <c r="B19" s="1715">
        <f>SUM(B4:B18)</f>
        <v>3983074</v>
      </c>
      <c r="C19" s="1715">
        <f>SUM(C4:C18)</f>
        <v>2043777</v>
      </c>
      <c r="D19" s="1715">
        <f>SUM(D4:D18)</f>
        <v>1939297</v>
      </c>
      <c r="E19" s="1715">
        <f>SUM(E4:E18)</f>
        <v>4291798</v>
      </c>
      <c r="F19" s="1715">
        <f>SUM(F4:F18)</f>
        <v>2248021</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sheetPr>
  <dimension ref="A1:K59"/>
  <sheetViews>
    <sheetView showGridLines="0" defaultGridColor="0" topLeftCell="A28"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5" t="s">
        <v>625</v>
      </c>
      <c r="B1" s="2313"/>
      <c r="C1" s="585"/>
    </row>
    <row r="2" spans="1:7" ht="33.75" x14ac:dyDescent="0.2">
      <c r="A2" s="2320" t="s">
        <v>1776</v>
      </c>
      <c r="B2" s="2321"/>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2" t="s">
        <v>1103</v>
      </c>
      <c r="B3" s="2323"/>
      <c r="C3" s="2316"/>
      <c r="D3" s="2317"/>
      <c r="E3" s="2317"/>
      <c r="F3" s="2318"/>
    </row>
    <row r="4" spans="1:7" ht="12.75" customHeight="1" thickBot="1" x14ac:dyDescent="0.25">
      <c r="A4" s="2310" t="s">
        <v>626</v>
      </c>
      <c r="B4" s="2311"/>
      <c r="C4" s="1646"/>
      <c r="D4" s="1646"/>
      <c r="E4" s="1646"/>
      <c r="F4" s="1721">
        <f>SUM(C4+D4)-E4</f>
        <v>0</v>
      </c>
    </row>
    <row r="5" spans="1:7" ht="15.75" customHeight="1" thickTop="1" x14ac:dyDescent="0.2">
      <c r="A5" s="2314" t="s">
        <v>1100</v>
      </c>
      <c r="B5" s="2309"/>
      <c r="C5" s="2303"/>
      <c r="D5" s="2304"/>
      <c r="E5" s="2304"/>
      <c r="F5" s="2305"/>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6" t="s">
        <v>627</v>
      </c>
      <c r="B15" s="2307"/>
      <c r="C15" s="1721">
        <f>SUM(C6:C14)</f>
        <v>0</v>
      </c>
      <c r="D15" s="1721">
        <f>SUM(D6:D14)</f>
        <v>0</v>
      </c>
      <c r="E15" s="1721">
        <f>SUM(E6:E14)</f>
        <v>0</v>
      </c>
      <c r="F15" s="1721">
        <f>SUM(F6:F14)</f>
        <v>0</v>
      </c>
      <c r="G15" s="473"/>
    </row>
    <row r="16" spans="1:7" s="197" customFormat="1" ht="15.75" customHeight="1" thickTop="1" x14ac:dyDescent="0.2">
      <c r="A16" s="2319" t="s">
        <v>1101</v>
      </c>
      <c r="B16" s="2309"/>
      <c r="C16" s="2303"/>
      <c r="D16" s="2304"/>
      <c r="E16" s="2304"/>
      <c r="F16" s="2305"/>
    </row>
    <row r="17" spans="1:11" ht="12.75" customHeight="1" thickBot="1" x14ac:dyDescent="0.25">
      <c r="A17" s="2301" t="s">
        <v>64</v>
      </c>
      <c r="B17" s="2302"/>
      <c r="C17" s="1722"/>
      <c r="D17" s="1654"/>
      <c r="E17" s="1722"/>
      <c r="F17" s="1721">
        <f>SUM(C17+D17)-E17</f>
        <v>0</v>
      </c>
    </row>
    <row r="18" spans="1:11" ht="12.75" customHeight="1" thickTop="1" thickBot="1" x14ac:dyDescent="0.25">
      <c r="A18" s="2301" t="s">
        <v>6</v>
      </c>
      <c r="B18" s="2302"/>
      <c r="C18" s="1722"/>
      <c r="D18" s="1654"/>
      <c r="E18" s="1722"/>
      <c r="F18" s="1721">
        <f>SUM(C18+D18)-E18</f>
        <v>0</v>
      </c>
    </row>
    <row r="19" spans="1:11" ht="12.75" customHeight="1" thickTop="1" thickBot="1" x14ac:dyDescent="0.25">
      <c r="A19" s="2301" t="s">
        <v>385</v>
      </c>
      <c r="B19" s="2302"/>
      <c r="C19" s="1722"/>
      <c r="D19" s="1654"/>
      <c r="E19" s="1722"/>
      <c r="F19" s="1721">
        <f>SUM(C19+D19)-E19</f>
        <v>0</v>
      </c>
    </row>
    <row r="20" spans="1:11" ht="12.75" customHeight="1" thickTop="1" thickBot="1" x14ac:dyDescent="0.25">
      <c r="A20" s="2301" t="s">
        <v>445</v>
      </c>
      <c r="B20" s="2302"/>
      <c r="C20" s="1722"/>
      <c r="D20" s="1654"/>
      <c r="E20" s="1722"/>
      <c r="F20" s="1721">
        <f>SUM(C20+D20)-E20</f>
        <v>0</v>
      </c>
    </row>
    <row r="21" spans="1:11" ht="14.25" thickTop="1" thickBot="1" x14ac:dyDescent="0.25">
      <c r="A21" s="2306" t="s">
        <v>628</v>
      </c>
      <c r="B21" s="2307"/>
      <c r="C21" s="1721">
        <f>SUM(C17:C20)</f>
        <v>0</v>
      </c>
      <c r="D21" s="1721">
        <f>SUM(D17:D20)</f>
        <v>0</v>
      </c>
      <c r="E21" s="1721">
        <f>SUM(E17:E20)</f>
        <v>0</v>
      </c>
      <c r="F21" s="1721">
        <f>SUM(F17:F20)</f>
        <v>0</v>
      </c>
      <c r="G21" s="473"/>
    </row>
    <row r="22" spans="1:11" ht="15.75" customHeight="1" thickTop="1" x14ac:dyDescent="0.2">
      <c r="A22" s="2308" t="s">
        <v>1102</v>
      </c>
      <c r="B22" s="2309"/>
      <c r="C22" s="2303"/>
      <c r="D22" s="2304"/>
      <c r="E22" s="2304"/>
      <c r="F22" s="2305"/>
    </row>
    <row r="23" spans="1:11" ht="13.5" thickBot="1" x14ac:dyDescent="0.25">
      <c r="A23" s="2310" t="s">
        <v>629</v>
      </c>
      <c r="B23" s="2311"/>
      <c r="C23" s="1646"/>
      <c r="D23" s="1646"/>
      <c r="E23" s="1646"/>
      <c r="F23" s="1721">
        <f>SUM(C23+D23)-E23</f>
        <v>0</v>
      </c>
      <c r="G23" s="473"/>
    </row>
    <row r="24" spans="1:11" ht="15.75" customHeight="1" thickTop="1" x14ac:dyDescent="0.2">
      <c r="A24" s="2308" t="s">
        <v>2003</v>
      </c>
      <c r="B24" s="2309"/>
      <c r="C24" s="2303"/>
      <c r="D24" s="2304"/>
      <c r="E24" s="2304"/>
      <c r="F24" s="2305"/>
    </row>
    <row r="25" spans="1:11" ht="13.5" thickBot="1" x14ac:dyDescent="0.25">
      <c r="A25" s="2310" t="s">
        <v>2004</v>
      </c>
      <c r="B25" s="2311"/>
      <c r="C25" s="1646"/>
      <c r="D25" s="1646"/>
      <c r="E25" s="1646"/>
      <c r="F25" s="1721">
        <f>SUM(C25+D25)-E25</f>
        <v>0</v>
      </c>
      <c r="G25" s="473"/>
    </row>
    <row r="26" spans="1:11" ht="15.75" customHeight="1" thickTop="1" x14ac:dyDescent="0.2">
      <c r="A26" s="2314" t="s">
        <v>652</v>
      </c>
      <c r="B26" s="2309"/>
      <c r="C26" s="589"/>
      <c r="D26" s="589"/>
      <c r="E26" s="589"/>
      <c r="F26" s="590"/>
    </row>
    <row r="27" spans="1:11" ht="13.5" thickBot="1" x14ac:dyDescent="0.25">
      <c r="A27" s="2306" t="s">
        <v>1060</v>
      </c>
      <c r="B27" s="2307"/>
      <c r="C27" s="1654"/>
      <c r="D27" s="1654"/>
      <c r="E27" s="1654"/>
      <c r="F27" s="1721">
        <f>SUM(C27+D27)-E27</f>
        <v>0</v>
      </c>
      <c r="G27" s="473"/>
    </row>
    <row r="28" spans="1:11" ht="7.5" customHeight="1" thickTop="1" x14ac:dyDescent="0.2">
      <c r="A28" s="489"/>
    </row>
    <row r="29" spans="1:11" ht="23.25" customHeight="1" x14ac:dyDescent="0.2">
      <c r="A29" s="2312" t="s">
        <v>578</v>
      </c>
      <c r="B29" s="2313"/>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5" t="s">
        <v>580</v>
      </c>
      <c r="C52" s="2296"/>
      <c r="D52" s="2296"/>
      <c r="E52" s="603" t="s">
        <v>839</v>
      </c>
      <c r="F52" s="2297"/>
      <c r="G52" s="2298"/>
      <c r="H52" s="596"/>
      <c r="I52" s="596"/>
      <c r="J52" s="600"/>
    </row>
    <row r="53" spans="1:11" ht="11.25" customHeight="1" x14ac:dyDescent="0.2">
      <c r="A53" s="604" t="s">
        <v>906</v>
      </c>
      <c r="B53" s="605" t="s">
        <v>944</v>
      </c>
      <c r="C53" s="600"/>
      <c r="D53" s="597"/>
      <c r="E53" s="603" t="s">
        <v>494</v>
      </c>
      <c r="F53" s="2299"/>
      <c r="G53" s="2300"/>
      <c r="H53" s="596"/>
      <c r="I53" s="596"/>
      <c r="J53" s="600"/>
    </row>
    <row r="54" spans="1:11" ht="11.25" customHeight="1" x14ac:dyDescent="0.2">
      <c r="A54" s="606" t="s">
        <v>907</v>
      </c>
      <c r="B54" s="601" t="s">
        <v>945</v>
      </c>
      <c r="C54" s="600"/>
      <c r="D54" s="597"/>
      <c r="E54" s="603" t="s">
        <v>495</v>
      </c>
      <c r="F54" s="2299"/>
      <c r="G54" s="230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4" t="s">
        <v>850</v>
      </c>
      <c r="B1" s="2325"/>
      <c r="C1" s="2325"/>
      <c r="D1" s="2325"/>
      <c r="E1" s="2325"/>
      <c r="F1" s="2325"/>
      <c r="G1" s="2326"/>
      <c r="H1" s="1291"/>
      <c r="I1" s="614"/>
      <c r="J1" s="400"/>
    </row>
    <row r="2" spans="1:11" ht="26.25" x14ac:dyDescent="0.2">
      <c r="A2" s="2343" t="s">
        <v>1655</v>
      </c>
      <c r="B2" s="2344"/>
      <c r="C2" s="2344"/>
      <c r="D2" s="2344"/>
      <c r="E2" s="2345"/>
      <c r="F2" s="615" t="s">
        <v>897</v>
      </c>
      <c r="G2" s="616" t="s">
        <v>1652</v>
      </c>
      <c r="H2" s="616" t="s">
        <v>407</v>
      </c>
      <c r="I2" s="616" t="s">
        <v>1147</v>
      </c>
      <c r="J2" s="616" t="s">
        <v>1786</v>
      </c>
      <c r="K2" s="616" t="s">
        <v>137</v>
      </c>
    </row>
    <row r="3" spans="1:11" x14ac:dyDescent="0.2">
      <c r="A3" s="2346" t="str">
        <f>"Cash Basis Fund Balance as of July 1, "&amp;'AFR20'!E2-1</f>
        <v>Cash Basis Fund Balance as of July 1, 2019</v>
      </c>
      <c r="B3" s="2347"/>
      <c r="C3" s="2347"/>
      <c r="D3" s="2347"/>
      <c r="E3" s="2348"/>
      <c r="F3" s="617"/>
      <c r="G3" s="1733"/>
      <c r="H3" s="1733"/>
      <c r="I3" s="1733"/>
      <c r="J3" s="1734"/>
      <c r="K3" s="1734"/>
    </row>
    <row r="4" spans="1:11" x14ac:dyDescent="0.2">
      <c r="A4" s="2349" t="s">
        <v>366</v>
      </c>
      <c r="B4" s="2350"/>
      <c r="C4" s="2350"/>
      <c r="D4" s="2350"/>
      <c r="E4" s="2296"/>
      <c r="F4" s="620"/>
      <c r="G4" s="1735"/>
      <c r="H4" s="1736"/>
      <c r="I4" s="1735"/>
      <c r="J4" s="1737"/>
      <c r="K4" s="1737"/>
    </row>
    <row r="5" spans="1:11" x14ac:dyDescent="0.2">
      <c r="A5" s="2327" t="s">
        <v>1059</v>
      </c>
      <c r="B5" s="2328"/>
      <c r="C5" s="2328"/>
      <c r="D5" s="2328"/>
      <c r="E5" s="2329"/>
      <c r="F5" s="622" t="s">
        <v>842</v>
      </c>
      <c r="G5" s="1738"/>
      <c r="H5" s="1733">
        <f>'Revenues 9-14'!C7</f>
        <v>234576</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7" t="s">
        <v>1787</v>
      </c>
      <c r="B10" s="2328"/>
      <c r="C10" s="2328"/>
      <c r="D10" s="2328"/>
      <c r="E10" s="2330"/>
      <c r="F10" s="633" t="s">
        <v>856</v>
      </c>
      <c r="G10" s="1742"/>
      <c r="H10" s="1743"/>
      <c r="I10" s="1733"/>
      <c r="J10" s="1734"/>
      <c r="K10" s="1734"/>
    </row>
    <row r="11" spans="1:11" x14ac:dyDescent="0.2">
      <c r="A11" s="2327" t="s">
        <v>159</v>
      </c>
      <c r="B11" s="2328"/>
      <c r="C11" s="2328"/>
      <c r="D11" s="2328"/>
      <c r="E11" s="2329"/>
      <c r="F11" s="622" t="s">
        <v>846</v>
      </c>
      <c r="G11" s="1738"/>
      <c r="H11" s="1733"/>
      <c r="I11" s="1733"/>
      <c r="J11" s="1734"/>
      <c r="K11" s="1740"/>
    </row>
    <row r="12" spans="1:11" ht="13.5" thickBot="1" x14ac:dyDescent="0.25">
      <c r="A12" s="2354" t="s">
        <v>898</v>
      </c>
      <c r="B12" s="2355"/>
      <c r="C12" s="2355"/>
      <c r="D12" s="2355"/>
      <c r="E12" s="2356"/>
      <c r="F12" s="1426"/>
      <c r="G12" s="1744">
        <f>SUM(G5:G11)</f>
        <v>0</v>
      </c>
      <c r="H12" s="1744">
        <f>SUM(H5:H11)</f>
        <v>234576</v>
      </c>
      <c r="I12" s="1744">
        <f>SUM(I5:I11)</f>
        <v>0</v>
      </c>
      <c r="J12" s="1744">
        <f>SUM(J5:J11)</f>
        <v>0</v>
      </c>
      <c r="K12" s="1744">
        <f>SUM(K5:K11)</f>
        <v>0</v>
      </c>
    </row>
    <row r="13" spans="1:11" ht="13.5" thickTop="1" x14ac:dyDescent="0.2">
      <c r="A13" s="2351" t="s">
        <v>367</v>
      </c>
      <c r="B13" s="2352"/>
      <c r="C13" s="2352"/>
      <c r="D13" s="2352"/>
      <c r="E13" s="2353"/>
      <c r="F13" s="634"/>
      <c r="G13" s="1745"/>
      <c r="H13" s="1746"/>
      <c r="I13" s="1747"/>
      <c r="J13" s="1747"/>
      <c r="K13" s="1747"/>
    </row>
    <row r="14" spans="1:11" x14ac:dyDescent="0.2">
      <c r="A14" s="2334" t="s">
        <v>453</v>
      </c>
      <c r="B14" s="2334"/>
      <c r="C14" s="2334"/>
      <c r="D14" s="2334"/>
      <c r="E14" s="2335"/>
      <c r="F14" s="635" t="s">
        <v>848</v>
      </c>
      <c r="G14" s="1742"/>
      <c r="H14" s="1733">
        <f>H12</f>
        <v>234576</v>
      </c>
      <c r="I14" s="1738"/>
      <c r="J14" s="1740"/>
      <c r="K14" s="1734"/>
    </row>
    <row r="15" spans="1:11" x14ac:dyDescent="0.2">
      <c r="A15" s="2328" t="s">
        <v>4</v>
      </c>
      <c r="B15" s="2328"/>
      <c r="C15" s="2328"/>
      <c r="D15" s="2328"/>
      <c r="E15" s="2329"/>
      <c r="F15" s="635" t="s">
        <v>849</v>
      </c>
      <c r="G15" s="1738"/>
      <c r="H15" s="1733"/>
      <c r="I15" s="1733"/>
      <c r="J15" s="1734"/>
      <c r="K15" s="1734"/>
    </row>
    <row r="16" spans="1:11" x14ac:dyDescent="0.2">
      <c r="A16" s="2328" t="s">
        <v>295</v>
      </c>
      <c r="B16" s="2328"/>
      <c r="C16" s="2328"/>
      <c r="D16" s="2328"/>
      <c r="E16" s="2329"/>
      <c r="F16" s="635" t="s">
        <v>916</v>
      </c>
      <c r="G16" s="1739"/>
      <c r="H16" s="1735"/>
      <c r="I16" s="1735"/>
      <c r="J16" s="1737"/>
      <c r="K16" s="1737"/>
    </row>
    <row r="17" spans="1:15" x14ac:dyDescent="0.2">
      <c r="A17" s="2361" t="s">
        <v>928</v>
      </c>
      <c r="B17" s="2361"/>
      <c r="C17" s="2361"/>
      <c r="D17" s="2361"/>
      <c r="E17" s="2362"/>
      <c r="F17" s="636"/>
      <c r="G17" s="1748"/>
      <c r="H17" s="1749"/>
      <c r="I17" s="1749"/>
      <c r="J17" s="1750"/>
      <c r="K17" s="1751"/>
    </row>
    <row r="18" spans="1:15" x14ac:dyDescent="0.2">
      <c r="A18" s="2338" t="s">
        <v>365</v>
      </c>
      <c r="B18" s="2339"/>
      <c r="C18" s="2339"/>
      <c r="D18" s="2339"/>
      <c r="E18" s="2340"/>
      <c r="F18" s="635" t="s">
        <v>925</v>
      </c>
      <c r="G18" s="1742"/>
      <c r="H18" s="1742"/>
      <c r="I18" s="1742"/>
      <c r="J18" s="1734"/>
      <c r="K18" s="1752"/>
    </row>
    <row r="19" spans="1:15" ht="21.75" customHeight="1" x14ac:dyDescent="0.2">
      <c r="A19" s="2336" t="s">
        <v>1783</v>
      </c>
      <c r="B19" s="2336"/>
      <c r="C19" s="2336"/>
      <c r="D19" s="2336"/>
      <c r="E19" s="2337"/>
      <c r="F19" s="635" t="s">
        <v>926</v>
      </c>
      <c r="G19" s="1742"/>
      <c r="H19" s="1742"/>
      <c r="I19" s="1742"/>
      <c r="J19" s="1734"/>
      <c r="K19" s="1752"/>
    </row>
    <row r="20" spans="1:15" x14ac:dyDescent="0.2">
      <c r="A20" s="2338" t="s">
        <v>1788</v>
      </c>
      <c r="B20" s="2339"/>
      <c r="C20" s="2339"/>
      <c r="D20" s="2339"/>
      <c r="E20" s="2340"/>
      <c r="F20" s="635" t="s">
        <v>927</v>
      </c>
      <c r="G20" s="1742"/>
      <c r="H20" s="1742"/>
      <c r="I20" s="1742"/>
      <c r="J20" s="1734"/>
      <c r="K20" s="1752"/>
    </row>
    <row r="21" spans="1:15" ht="13.5" thickBot="1" x14ac:dyDescent="0.25">
      <c r="A21" s="2357" t="s">
        <v>633</v>
      </c>
      <c r="B21" s="2357"/>
      <c r="C21" s="2357"/>
      <c r="D21" s="2357"/>
      <c r="E21" s="2357"/>
      <c r="F21" s="1427"/>
      <c r="G21" s="1749"/>
      <c r="H21" s="1753"/>
      <c r="I21" s="1753"/>
      <c r="J21" s="1754">
        <f>SUM(J18:J20)</f>
        <v>0</v>
      </c>
      <c r="K21" s="1750"/>
    </row>
    <row r="22" spans="1:15" ht="13.5" thickTop="1" x14ac:dyDescent="0.2">
      <c r="A22" s="2328" t="s">
        <v>1789</v>
      </c>
      <c r="B22" s="2328"/>
      <c r="C22" s="2328"/>
      <c r="D22" s="2328"/>
      <c r="E22" s="2329"/>
      <c r="F22" s="635" t="s">
        <v>856</v>
      </c>
      <c r="G22" s="1742"/>
      <c r="H22" s="1733"/>
      <c r="I22" s="1733"/>
      <c r="J22" s="1755"/>
      <c r="K22" s="1734"/>
    </row>
    <row r="23" spans="1:15" ht="13.5" thickBot="1" x14ac:dyDescent="0.25">
      <c r="A23" s="2358" t="s">
        <v>899</v>
      </c>
      <c r="B23" s="2357"/>
      <c r="C23" s="2357"/>
      <c r="D23" s="2357"/>
      <c r="E23" s="2357"/>
      <c r="F23" s="1429"/>
      <c r="G23" s="1744">
        <f>SUM(G14:G16,G21,G22)</f>
        <v>0</v>
      </c>
      <c r="H23" s="1744">
        <f>SUM(H14:H16,H21,H22)</f>
        <v>234576</v>
      </c>
      <c r="I23" s="1744">
        <f>SUM(I14:I16,I21,I22)</f>
        <v>0</v>
      </c>
      <c r="J23" s="1744">
        <f>SUM(J14:J16,J21,J22)</f>
        <v>0</v>
      </c>
      <c r="K23" s="1744">
        <f>SUM(K14:K16,K21,K22)</f>
        <v>0</v>
      </c>
      <c r="M23" s="1835"/>
      <c r="N23" s="1835"/>
      <c r="O23" s="1835"/>
    </row>
    <row r="24" spans="1:15" ht="14.25" thickTop="1" thickBot="1" x14ac:dyDescent="0.25">
      <c r="A24" s="2359" t="str">
        <f>"Ending Cash Basis Fund Balance as of June 30, "&amp;'AFR20'!E2</f>
        <v>Ending Cash Basis Fund Balance as of June 30, 2020</v>
      </c>
      <c r="B24" s="2360"/>
      <c r="C24" s="2360"/>
      <c r="D24" s="2360"/>
      <c r="E24" s="2360"/>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1"/>
      <c r="I31" s="2332"/>
      <c r="J31" s="2332"/>
      <c r="K31" s="2332"/>
    </row>
    <row r="32" spans="1:15" x14ac:dyDescent="0.2">
      <c r="A32" s="649"/>
      <c r="B32" s="232"/>
      <c r="C32" s="232"/>
      <c r="D32" s="232"/>
      <c r="E32" s="645"/>
      <c r="F32" s="651" t="s">
        <v>537</v>
      </c>
      <c r="G32" s="618"/>
      <c r="H32" s="2333"/>
      <c r="I32" s="2332"/>
      <c r="J32" s="2332"/>
      <c r="K32" s="2332"/>
    </row>
    <row r="33" spans="1:11" ht="1.5" customHeight="1" x14ac:dyDescent="0.2">
      <c r="A33" s="652" t="s">
        <v>1158</v>
      </c>
      <c r="B33" s="341"/>
      <c r="C33" s="341"/>
      <c r="D33" s="341"/>
      <c r="E33" s="341"/>
      <c r="F33" s="341"/>
      <c r="G33" s="653"/>
      <c r="H33" s="2333"/>
      <c r="I33" s="2332"/>
      <c r="J33" s="2332"/>
      <c r="K33" s="233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8" t="s">
        <v>538</v>
      </c>
      <c r="B41" s="2341"/>
      <c r="C41" s="2341"/>
      <c r="D41" s="2341"/>
      <c r="E41" s="2341"/>
      <c r="F41" s="2342"/>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Normal="100" workbookViewId="0">
      <selection activeCell="O7" sqref="O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1872</v>
      </c>
      <c r="B1" s="2366"/>
      <c r="C1" s="2367"/>
      <c r="D1" s="666"/>
      <c r="E1" s="667"/>
      <c r="F1" s="667"/>
      <c r="G1" s="668"/>
      <c r="H1" s="669"/>
      <c r="I1" s="670"/>
      <c r="J1" s="2363"/>
      <c r="K1" s="2364"/>
      <c r="L1" s="2364"/>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25000</v>
      </c>
      <c r="D5" s="1759"/>
      <c r="E5" s="1759"/>
      <c r="F5" s="1754">
        <f>(C5+D5)-E5</f>
        <v>25000</v>
      </c>
      <c r="G5" s="676"/>
      <c r="H5" s="680"/>
      <c r="I5" s="680"/>
      <c r="J5" s="680"/>
      <c r="K5" s="637"/>
      <c r="L5" s="1435">
        <f>F5-K5</f>
        <v>25000</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3802617</v>
      </c>
      <c r="D8" s="1760"/>
      <c r="E8" s="1760"/>
      <c r="F8" s="1754">
        <f>(C8+D8)-E8</f>
        <v>3802617</v>
      </c>
      <c r="G8" s="681">
        <v>50</v>
      </c>
      <c r="H8" s="619">
        <v>1258251</v>
      </c>
      <c r="I8" s="619">
        <v>76052</v>
      </c>
      <c r="J8" s="619"/>
      <c r="K8" s="1435">
        <f>(H8+I8)-J8</f>
        <v>1334303</v>
      </c>
      <c r="L8" s="1435">
        <f>F8-K8</f>
        <v>2468314</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225937</v>
      </c>
      <c r="D10" s="1761"/>
      <c r="E10" s="1761"/>
      <c r="F10" s="1762">
        <f>(C10+D10)-E10</f>
        <v>225937</v>
      </c>
      <c r="G10" s="681">
        <v>20</v>
      </c>
      <c r="H10" s="683">
        <v>96499</v>
      </c>
      <c r="I10" s="683">
        <v>7244</v>
      </c>
      <c r="J10" s="683"/>
      <c r="K10" s="1435">
        <f>(H10+I10)-J10</f>
        <v>103743</v>
      </c>
      <c r="L10" s="1435">
        <f>F10-K10</f>
        <v>122194</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702433</v>
      </c>
      <c r="D12" s="1760">
        <v>11472</v>
      </c>
      <c r="E12" s="1760"/>
      <c r="F12" s="1754">
        <f>(C12+D12)-E12</f>
        <v>713905</v>
      </c>
      <c r="G12" s="681">
        <v>10</v>
      </c>
      <c r="H12" s="619">
        <v>590942</v>
      </c>
      <c r="I12" s="619">
        <v>22611</v>
      </c>
      <c r="J12" s="619"/>
      <c r="K12" s="1435">
        <f>(H12+I12)-J12</f>
        <v>613553</v>
      </c>
      <c r="L12" s="1435">
        <f>F12-K12</f>
        <v>100352</v>
      </c>
    </row>
    <row r="13" spans="1:14" ht="14.25" thickTop="1" thickBot="1" x14ac:dyDescent="0.25">
      <c r="A13" s="684" t="s">
        <v>1111</v>
      </c>
      <c r="B13" s="679">
        <v>252</v>
      </c>
      <c r="C13" s="1760">
        <v>690071</v>
      </c>
      <c r="D13" s="1760">
        <v>23429</v>
      </c>
      <c r="E13" s="1760"/>
      <c r="F13" s="1754">
        <f>(C13+D13)-E13</f>
        <v>713500</v>
      </c>
      <c r="G13" s="681">
        <v>5</v>
      </c>
      <c r="H13" s="619">
        <v>340314</v>
      </c>
      <c r="I13" s="619">
        <v>112842</v>
      </c>
      <c r="J13" s="619"/>
      <c r="K13" s="1435">
        <f>(H13+I13)-J13</f>
        <v>453156</v>
      </c>
      <c r="L13" s="1435">
        <f>F13-K13</f>
        <v>260344</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v>554178</v>
      </c>
      <c r="E15" s="1760"/>
      <c r="F15" s="1754">
        <f>(C15+D15)-E15</f>
        <v>554178</v>
      </c>
      <c r="G15" s="685" t="s">
        <v>856</v>
      </c>
      <c r="H15" s="632"/>
      <c r="I15" s="632"/>
      <c r="J15" s="632"/>
      <c r="K15" s="632"/>
      <c r="L15" s="1435">
        <f>F15-K15</f>
        <v>554178</v>
      </c>
    </row>
    <row r="16" spans="1:14" ht="15" customHeight="1" thickTop="1" thickBot="1" x14ac:dyDescent="0.25">
      <c r="A16" s="1431" t="s">
        <v>638</v>
      </c>
      <c r="B16" s="1432">
        <v>200</v>
      </c>
      <c r="C16" s="1754">
        <f>SUM(C3,C5:C6,C8:C10,C12:C15)</f>
        <v>5446058</v>
      </c>
      <c r="D16" s="1754">
        <f>SUM(D3,D5:D6,D8:D10,D12:D15)</f>
        <v>589079</v>
      </c>
      <c r="E16" s="1754">
        <f>SUM(E3,E5:E6,E8:E10,E12:E15)</f>
        <v>0</v>
      </c>
      <c r="F16" s="1754">
        <f>SUM(F3,F5:F6,F8:F10,F12:F15)</f>
        <v>6035137</v>
      </c>
      <c r="G16" s="681"/>
      <c r="H16" s="1428">
        <f>SUM(H3,H6,H8:H10,H12:H14,)</f>
        <v>2286006</v>
      </c>
      <c r="I16" s="1428">
        <f>SUM(I3,I6,I8:I10,I12:I14,)</f>
        <v>218749</v>
      </c>
      <c r="J16" s="1428">
        <f>SUM(J3,J6,J8:J10,J12:J14,)</f>
        <v>0</v>
      </c>
      <c r="K16" s="1428">
        <f>(H16+I16)-J16</f>
        <v>2504755</v>
      </c>
      <c r="L16" s="1428">
        <f>F16-K16</f>
        <v>3530382</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679</v>
      </c>
      <c r="B18" s="1434"/>
      <c r="C18" s="623"/>
      <c r="D18" s="623"/>
      <c r="E18" s="623"/>
      <c r="F18" s="686"/>
      <c r="G18" s="687"/>
      <c r="H18" s="624"/>
      <c r="I18" s="1428">
        <f>SUM(I16,I17)</f>
        <v>218749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7" activePane="bottomLeft" state="frozen"/>
      <selection activeCell="A47" sqref="A47"/>
      <selection pane="bottomLeft" activeCell="E124" sqref="E12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474</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7"/>
      <c r="B5" s="2378"/>
      <c r="C5" s="2378"/>
      <c r="D5" s="2378"/>
      <c r="E5" s="2378"/>
      <c r="F5" s="2378"/>
    </row>
    <row r="6" spans="1:9" ht="13.5" customHeight="1" thickBot="1" x14ac:dyDescent="0.25">
      <c r="A6" s="2368" t="s">
        <v>1094</v>
      </c>
      <c r="B6" s="2369"/>
      <c r="C6" s="2369"/>
      <c r="D6" s="2369"/>
      <c r="E6" s="2369"/>
      <c r="F6" s="2370"/>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3249401</v>
      </c>
      <c r="G8" s="701"/>
    </row>
    <row r="9" spans="1:9" x14ac:dyDescent="0.2">
      <c r="A9" s="705" t="s">
        <v>457</v>
      </c>
      <c r="B9" s="706" t="s">
        <v>1845</v>
      </c>
      <c r="C9" s="707"/>
      <c r="D9" s="705" t="s">
        <v>498</v>
      </c>
      <c r="E9" s="704"/>
      <c r="F9" s="1764">
        <f>'Expenditures 15-22'!K151</f>
        <v>217556</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240650</v>
      </c>
      <c r="G11" s="708"/>
    </row>
    <row r="12" spans="1:9" x14ac:dyDescent="0.2">
      <c r="A12" s="705" t="s">
        <v>459</v>
      </c>
      <c r="B12" s="706" t="s">
        <v>1848</v>
      </c>
      <c r="C12" s="707"/>
      <c r="D12" s="705" t="s">
        <v>498</v>
      </c>
      <c r="E12" s="704"/>
      <c r="F12" s="1764">
        <f>'Expenditures 15-22'!K295</f>
        <v>115119</v>
      </c>
      <c r="G12" s="708"/>
    </row>
    <row r="13" spans="1:9" x14ac:dyDescent="0.2">
      <c r="A13" s="705" t="s">
        <v>106</v>
      </c>
      <c r="B13" s="706" t="s">
        <v>1849</v>
      </c>
      <c r="C13" s="707"/>
      <c r="D13" s="705" t="s">
        <v>498</v>
      </c>
      <c r="E13" s="704"/>
      <c r="F13" s="1764">
        <f>'Expenditures 15-22'!K342</f>
        <v>50404</v>
      </c>
      <c r="G13" s="709"/>
    </row>
    <row r="14" spans="1:9" ht="12" customHeight="1" thickBot="1" x14ac:dyDescent="0.25">
      <c r="A14" s="1436"/>
      <c r="B14" s="1437"/>
      <c r="C14" s="1438"/>
      <c r="D14" s="1439" t="s">
        <v>498</v>
      </c>
      <c r="E14" s="1440" t="s">
        <v>951</v>
      </c>
      <c r="F14" s="1765">
        <f>SUM(F8:F13)</f>
        <v>3873130</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312430</v>
      </c>
      <c r="G53" s="701"/>
    </row>
    <row r="54" spans="1:7" x14ac:dyDescent="0.2">
      <c r="A54" s="705" t="s">
        <v>456</v>
      </c>
      <c r="B54" s="705" t="s">
        <v>1456</v>
      </c>
      <c r="C54" s="724" t="s">
        <v>974</v>
      </c>
      <c r="D54" s="720" t="s">
        <v>1085</v>
      </c>
      <c r="E54" s="704"/>
      <c r="F54" s="1771">
        <f>'Expenditures 15-22'!G114</f>
        <v>4177</v>
      </c>
      <c r="G54" s="701"/>
    </row>
    <row r="55" spans="1:7" x14ac:dyDescent="0.2">
      <c r="A55" s="705" t="s">
        <v>456</v>
      </c>
      <c r="B55" s="705" t="s">
        <v>1457</v>
      </c>
      <c r="C55" s="724" t="s">
        <v>974</v>
      </c>
      <c r="D55" s="720" t="s">
        <v>288</v>
      </c>
      <c r="E55" s="704"/>
      <c r="F55" s="1771">
        <f>'Expenditures 15-22'!I114</f>
        <v>0</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7295</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23429</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347331</v>
      </c>
      <c r="G77" s="701"/>
    </row>
    <row r="78" spans="1:9" s="728" customFormat="1" ht="12" customHeight="1" thickTop="1" thickBot="1" x14ac:dyDescent="0.25">
      <c r="A78" s="1443"/>
      <c r="B78" s="1441"/>
      <c r="C78" s="1438"/>
      <c r="D78" s="1442" t="s">
        <v>2009</v>
      </c>
      <c r="E78" s="1440"/>
      <c r="F78" s="1777">
        <f>(F14-F77)</f>
        <v>3525799</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270.60000000000002</v>
      </c>
      <c r="G79" s="733"/>
      <c r="H79" s="705"/>
      <c r="I79" s="705"/>
    </row>
    <row r="80" spans="1:9" s="728" customFormat="1" ht="12" customHeight="1" thickBot="1" x14ac:dyDescent="0.25">
      <c r="A80" s="1445"/>
      <c r="B80" s="1441"/>
      <c r="C80" s="1438"/>
      <c r="D80" s="1442" t="s">
        <v>2010</v>
      </c>
      <c r="E80" s="1440" t="s">
        <v>951</v>
      </c>
      <c r="F80" s="1779">
        <f>IF(F79&gt;0,F78/F79," Complete Line 79")</f>
        <v>13029.560236511456</v>
      </c>
      <c r="G80" s="705"/>
    </row>
    <row r="81" spans="1:7" s="728" customFormat="1" ht="8.25" customHeight="1" thickTop="1" x14ac:dyDescent="0.2">
      <c r="A81" s="734"/>
      <c r="B81" s="705"/>
      <c r="C81" s="707"/>
      <c r="D81" s="735"/>
      <c r="E81" s="704"/>
      <c r="F81" s="1780"/>
      <c r="G81" s="705"/>
    </row>
    <row r="82" spans="1:7" s="728" customFormat="1" ht="12" thickBot="1" x14ac:dyDescent="0.25">
      <c r="A82" s="2368" t="s">
        <v>1095</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38842</v>
      </c>
      <c r="G95" s="745"/>
    </row>
    <row r="96" spans="1:7" x14ac:dyDescent="0.2">
      <c r="A96" s="741" t="s">
        <v>139</v>
      </c>
      <c r="B96" s="741" t="s">
        <v>174</v>
      </c>
      <c r="C96" s="743">
        <v>1700</v>
      </c>
      <c r="D96" s="751" t="str">
        <f>'Revenues 9-14'!A82</f>
        <v>Total District/School Activity Income</v>
      </c>
      <c r="E96" s="739"/>
      <c r="F96" s="1782">
        <f>SUM('Revenues 9-14'!C82,'Revenues 9-14'!D82)</f>
        <v>18354</v>
      </c>
      <c r="G96" s="745"/>
    </row>
    <row r="97" spans="1:7" x14ac:dyDescent="0.2">
      <c r="A97" s="741" t="s">
        <v>456</v>
      </c>
      <c r="B97" s="741" t="s">
        <v>175</v>
      </c>
      <c r="C97" s="743">
        <f>'Revenues 9-14'!B84</f>
        <v>1811</v>
      </c>
      <c r="D97" s="744" t="str">
        <f>'Revenues 9-14'!A84</f>
        <v>Rentals - Regular Textbooks</v>
      </c>
      <c r="E97" s="739"/>
      <c r="F97" s="1782">
        <f>'Revenues 9-14'!C84</f>
        <v>20856</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42577</v>
      </c>
      <c r="G105" s="745"/>
    </row>
    <row r="106" spans="1:7" x14ac:dyDescent="0.2">
      <c r="A106" s="741" t="s">
        <v>500</v>
      </c>
      <c r="B106" s="741" t="s">
        <v>1907</v>
      </c>
      <c r="C106" s="746">
        <v>3100</v>
      </c>
      <c r="D106" s="752" t="str">
        <f>'Revenues 9-14'!A132</f>
        <v>Total Special Education</v>
      </c>
      <c r="E106" s="739"/>
      <c r="F106" s="1782">
        <f>SUM('Revenues 9-14'!C132:D132,'Revenues 9-14'!F132)</f>
        <v>10522</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285</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187334</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23588</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44221</v>
      </c>
      <c r="G126" s="763"/>
    </row>
    <row r="127" spans="1:7" x14ac:dyDescent="0.2">
      <c r="A127" s="760" t="s">
        <v>663</v>
      </c>
      <c r="B127" s="760" t="s">
        <v>1928</v>
      </c>
      <c r="C127" s="765">
        <v>4300</v>
      </c>
      <c r="D127" s="766" t="str">
        <f>'Revenues 9-14'!A204</f>
        <v>Total Title I</v>
      </c>
      <c r="E127" s="739"/>
      <c r="F127" s="1782">
        <f>SUM('Revenues 9-14'!C204,'Revenues 9-14'!D204,'Revenues 9-14'!F204,'Revenues 9-14'!G204)</f>
        <v>85977</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4969</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78408</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14866</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2534</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8175</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77628</v>
      </c>
      <c r="G172" s="760"/>
    </row>
    <row r="173" spans="1:7" x14ac:dyDescent="0.2">
      <c r="A173" s="1522" t="s">
        <v>659</v>
      </c>
      <c r="B173" s="1523" t="s">
        <v>1882</v>
      </c>
      <c r="C173" s="1524">
        <v>3300</v>
      </c>
      <c r="D173" s="1525" t="s">
        <v>1885</v>
      </c>
      <c r="E173" s="739"/>
      <c r="F173" s="1783">
        <v>166</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709302</v>
      </c>
    </row>
    <row r="176" spans="1:7" ht="12" customHeight="1" x14ac:dyDescent="0.2">
      <c r="A176" s="1436"/>
      <c r="B176" s="1446"/>
      <c r="C176" s="1447"/>
      <c r="D176" s="1448" t="s">
        <v>2011</v>
      </c>
      <c r="E176" s="1449"/>
      <c r="F176" s="1782">
        <f>'PCTC-OEPP 27-28'!F78-F175</f>
        <v>2816497</v>
      </c>
    </row>
    <row r="177" spans="1:9" ht="12" customHeight="1" x14ac:dyDescent="0.2">
      <c r="A177" s="1436"/>
      <c r="B177" s="1446"/>
      <c r="C177" s="1447"/>
      <c r="D177" s="1448" t="s">
        <v>1791</v>
      </c>
      <c r="E177" s="1449"/>
      <c r="F177" s="1782">
        <f>'Cap Outlay Deprec 26'!I18</f>
        <v>218749</v>
      </c>
    </row>
    <row r="178" spans="1:9" ht="12" customHeight="1" x14ac:dyDescent="0.2">
      <c r="A178" s="1436"/>
      <c r="B178" s="1446"/>
      <c r="C178" s="1447"/>
      <c r="D178" s="1448" t="s">
        <v>2012</v>
      </c>
      <c r="E178" s="1449"/>
      <c r="F178" s="1782">
        <f>F176+F177</f>
        <v>3035246</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270.60000000000002</v>
      </c>
      <c r="G179" s="763"/>
      <c r="I179" s="701"/>
    </row>
    <row r="180" spans="1:9" ht="12" customHeight="1" thickBot="1" x14ac:dyDescent="0.25">
      <c r="A180" s="1436"/>
      <c r="B180" s="1450"/>
      <c r="C180" s="1447"/>
      <c r="D180" s="1448" t="s">
        <v>2014</v>
      </c>
      <c r="E180" s="1449" t="s">
        <v>1525</v>
      </c>
      <c r="F180" s="1787">
        <f>F178/F179</f>
        <v>11216.725794530672</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B21" sqref="B21"/>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2" t="s">
        <v>1792</v>
      </c>
      <c r="B4" s="2383"/>
      <c r="C4" s="2383"/>
      <c r="D4" s="2383"/>
      <c r="E4" s="2383"/>
      <c r="F4" s="2384"/>
    </row>
    <row r="5" spans="1:6" x14ac:dyDescent="0.25">
      <c r="A5" s="2385"/>
      <c r="B5" s="2386"/>
      <c r="C5" s="2386"/>
      <c r="D5" s="2386"/>
      <c r="E5" s="2386"/>
      <c r="F5" s="2387"/>
    </row>
    <row r="6" spans="1:6" ht="18.75" x14ac:dyDescent="0.25">
      <c r="A6" s="1854" t="s">
        <v>1793</v>
      </c>
      <c r="B6" s="1855"/>
      <c r="C6" s="1856"/>
      <c r="D6" s="1856"/>
      <c r="E6" s="1856"/>
      <c r="F6" s="1857"/>
    </row>
    <row r="7" spans="1:6" ht="47.25" customHeight="1" x14ac:dyDescent="0.25">
      <c r="A7" s="2388" t="s">
        <v>1982</v>
      </c>
      <c r="B7" s="2389"/>
      <c r="C7" s="2389"/>
      <c r="D7" s="2389"/>
      <c r="E7" s="2389"/>
      <c r="F7" s="2390"/>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1" t="s">
        <v>1978</v>
      </c>
      <c r="B10" s="2392"/>
      <c r="C10" s="2392"/>
      <c r="D10" s="2392"/>
      <c r="E10" s="2392"/>
      <c r="F10" s="2393"/>
    </row>
    <row r="11" spans="1:6" ht="33" customHeight="1" x14ac:dyDescent="0.25">
      <c r="A11" s="2388" t="s">
        <v>1983</v>
      </c>
      <c r="B11" s="2389"/>
      <c r="C11" s="2389"/>
      <c r="D11" s="2389"/>
      <c r="E11" s="2389"/>
      <c r="F11" s="2390"/>
    </row>
    <row r="12" spans="1:6" ht="15" customHeight="1" x14ac:dyDescent="0.25">
      <c r="A12" s="1860" t="s">
        <v>1979</v>
      </c>
      <c r="B12" s="1861"/>
      <c r="C12" s="1862"/>
      <c r="D12" s="1862"/>
      <c r="E12" s="1862"/>
      <c r="F12" s="1863"/>
    </row>
    <row r="13" spans="1:6" ht="17.25" customHeight="1" x14ac:dyDescent="0.25">
      <c r="A13" s="2388" t="s">
        <v>1980</v>
      </c>
      <c r="B13" s="2389"/>
      <c r="C13" s="2389"/>
      <c r="D13" s="2389"/>
      <c r="E13" s="2389"/>
      <c r="F13" s="2390"/>
    </row>
    <row r="14" spans="1:6" ht="15" customHeight="1" x14ac:dyDescent="0.25">
      <c r="A14" s="1860" t="s">
        <v>1797</v>
      </c>
      <c r="B14" s="1861"/>
      <c r="C14" s="1862"/>
      <c r="D14" s="1862"/>
      <c r="E14" s="1862"/>
      <c r="F14" s="1863"/>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40" t="s">
        <v>2083</v>
      </c>
      <c r="B18" s="1895">
        <v>101000600</v>
      </c>
      <c r="C18" s="2041" t="s">
        <v>2087</v>
      </c>
      <c r="D18" s="1873">
        <v>309062</v>
      </c>
      <c r="E18" s="1893" t="str">
        <f t="shared" ref="E18:E81" si="0">IF(D18&lt;25000,D18,"25,000")</f>
        <v>25,000</v>
      </c>
      <c r="F18" s="1893">
        <f t="shared" ref="F18:F81" si="1">IF(D18&gt;=25000,(D18-E18),"0")</f>
        <v>284062</v>
      </c>
      <c r="G18" s="1874"/>
    </row>
    <row r="19" spans="1:7" x14ac:dyDescent="0.25">
      <c r="A19" s="2040" t="s">
        <v>2084</v>
      </c>
      <c r="B19" s="1895">
        <v>802300300</v>
      </c>
      <c r="C19" s="2041" t="s">
        <v>2088</v>
      </c>
      <c r="D19" s="1873">
        <v>50404</v>
      </c>
      <c r="E19" s="1893" t="str">
        <f t="shared" si="0"/>
        <v>25,000</v>
      </c>
      <c r="F19" s="1893">
        <f t="shared" si="1"/>
        <v>25404</v>
      </c>
    </row>
    <row r="20" spans="1:7" x14ac:dyDescent="0.25">
      <c r="A20" s="2040" t="s">
        <v>2085</v>
      </c>
      <c r="B20" s="1895">
        <v>202540400</v>
      </c>
      <c r="C20" s="2041" t="s">
        <v>2089</v>
      </c>
      <c r="D20" s="1873">
        <v>34351</v>
      </c>
      <c r="E20" s="1893" t="str">
        <f t="shared" si="0"/>
        <v>25,000</v>
      </c>
      <c r="F20" s="1893">
        <f t="shared" si="1"/>
        <v>9351</v>
      </c>
    </row>
    <row r="21" spans="1:7" x14ac:dyDescent="0.25">
      <c r="A21" s="2040" t="s">
        <v>2086</v>
      </c>
      <c r="B21" s="1895">
        <v>402550400</v>
      </c>
      <c r="C21" s="2041" t="s">
        <v>2090</v>
      </c>
      <c r="D21" s="1873">
        <v>22832</v>
      </c>
      <c r="E21" s="1893">
        <f t="shared" si="0"/>
        <v>22832</v>
      </c>
      <c r="F21" s="1893" t="str">
        <f t="shared" si="1"/>
        <v>0</v>
      </c>
    </row>
    <row r="22" spans="1:7" x14ac:dyDescent="0.25">
      <c r="A22" s="2040"/>
      <c r="B22" s="1895"/>
      <c r="C22" s="2041"/>
      <c r="D22" s="1873"/>
      <c r="E22" s="1893">
        <f t="shared" si="0"/>
        <v>0</v>
      </c>
      <c r="F22" s="1893" t="str">
        <f t="shared" si="1"/>
        <v>0</v>
      </c>
    </row>
    <row r="23" spans="1:7" x14ac:dyDescent="0.25">
      <c r="A23" s="2040"/>
      <c r="B23" s="1895"/>
      <c r="C23" s="2041"/>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416649</v>
      </c>
      <c r="E142" s="1880">
        <f>SUM(E18:E141)</f>
        <v>22832</v>
      </c>
      <c r="F142" s="1881">
        <f>SUM(F18:F141)</f>
        <v>318817</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4" t="s">
        <v>1657</v>
      </c>
      <c r="B5" s="2395"/>
      <c r="C5" s="2395"/>
      <c r="D5" s="2395"/>
      <c r="E5" s="2395"/>
      <c r="F5" s="2395"/>
      <c r="G5" s="2396"/>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2384747</v>
      </c>
      <c r="F19" s="1791"/>
      <c r="G19" s="1793">
        <f>'Expenditures 15-22'!K33-SUM('Expenditures 15-22'!G33,'Expenditures 15-22'!I33)+'Expenditures 15-22'!D229</f>
        <v>2384747</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69894</v>
      </c>
      <c r="F21" s="1794"/>
      <c r="G21" s="1797">
        <f>'Expenditures 15-22'!K42-SUM('Expenditures 15-22'!G42,'Expenditures 15-22'!I42)+'Expenditures 15-22'!K120-SUM('Expenditures 15-22'!G120,'Expenditures 15-22'!I120)+'Expenditures 15-22'!K180-SUM('Expenditures 15-22'!G180,'Expenditures 15-22'!I180)+'Expenditures 15-22'!D238</f>
        <v>69894</v>
      </c>
      <c r="H21" s="817"/>
      <c r="I21" s="157"/>
    </row>
    <row r="22" spans="1:9" s="542" customFormat="1" ht="12" customHeight="1" x14ac:dyDescent="0.2">
      <c r="A22" s="824" t="s">
        <v>560</v>
      </c>
      <c r="B22" s="825"/>
      <c r="C22" s="823">
        <v>2200</v>
      </c>
      <c r="D22" s="1794"/>
      <c r="E22" s="1796">
        <f>'Expenditures 15-22'!K47-SUM('Expenditures 15-22'!G47,'Expenditures 15-22'!I47)+'Expenditures 15-22'!D243</f>
        <v>5387</v>
      </c>
      <c r="F22" s="1794"/>
      <c r="G22" s="1797">
        <f>'Expenditures 15-22'!K47-SUM('Expenditures 15-22'!G47,'Expenditures 15-22'!I47)+'Expenditures 15-22'!D243</f>
        <v>5387</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303988</v>
      </c>
      <c r="F23" s="1794"/>
      <c r="G23" s="1796">
        <f>'Expenditures 15-22'!K53-SUM('Expenditures 15-22'!G53,'Expenditures 15-22'!I53)+'Expenditures 15-22'!D257+'Expenditures 15-22'!K330-SUM('Expenditures 15-22'!G330,'Expenditures 15-22'!I330)</f>
        <v>303988</v>
      </c>
      <c r="H23" s="817"/>
      <c r="I23" s="157"/>
    </row>
    <row r="24" spans="1:9" s="542" customFormat="1" ht="12" customHeight="1" x14ac:dyDescent="0.2">
      <c r="A24" s="824" t="s">
        <v>562</v>
      </c>
      <c r="B24" s="825"/>
      <c r="C24" s="823">
        <v>2400</v>
      </c>
      <c r="D24" s="1794"/>
      <c r="E24" s="1796">
        <f>'Expenditures 15-22'!K57-SUM('Expenditures 15-22'!G57,'Expenditures 15-22'!I57)+'Expenditures 15-22'!D261</f>
        <v>126450</v>
      </c>
      <c r="F24" s="1794"/>
      <c r="G24" s="1797">
        <f>'Expenditures 15-22'!K57-SUM('Expenditures 15-22'!G57,'Expenditures 15-22'!I57)+'Expenditures 15-22'!D261</f>
        <v>126450</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99921</v>
      </c>
      <c r="E27" s="1796">
        <f>E8</f>
        <v>0</v>
      </c>
      <c r="F27" s="1796">
        <f>'Expenditures 15-22'!K60-SUM('Expenditures 15-22'!G60,'Expenditures 15-22'!I60)+'Expenditures 15-22'!D264-E8</f>
        <v>99921</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227411</v>
      </c>
      <c r="F28" s="1798">
        <f>'Expenditures 15-22'!K61-SUM('Expenditures 15-22'!G61,'Expenditures 15-22'!I61)+'Expenditures 15-22'!K124-SUM('Expenditures 15-22'!G124,'Expenditures 15-22'!I124)+'Expenditures 15-22'!D266-E9</f>
        <v>227411</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235542</v>
      </c>
      <c r="F29" s="1794"/>
      <c r="G29" s="1797">
        <f>'Expenditures 15-22'!K62-SUM('Expenditures 15-22'!G62,'Expenditures 15-22'!I62)+'Expenditures 15-22'!K125-SUM('Expenditures 15-22'!G125,'Expenditures 15-22'!I125)+'Expenditures 15-22'!K182-SUM('Expenditures 15-22'!G182,'Expenditures 15-22'!I182)+'Expenditures 15-22'!D267</f>
        <v>235542</v>
      </c>
      <c r="H29" s="815"/>
    </row>
    <row r="30" spans="1:9" ht="12" customHeight="1" x14ac:dyDescent="0.2">
      <c r="A30" s="824" t="s">
        <v>100</v>
      </c>
      <c r="B30" s="827"/>
      <c r="C30" s="823">
        <v>2560</v>
      </c>
      <c r="D30" s="1794"/>
      <c r="E30" s="1796">
        <f>'Expenditures 15-22'!K63-SUM('Expenditures 15-22'!G63,'Expenditures 15-22'!I63)+'Expenditures 15-22'!D268-E10</f>
        <v>72459</v>
      </c>
      <c r="F30" s="1794"/>
      <c r="G30" s="1796">
        <f>'Expenditures 15-22'!K63-SUM('Expenditures 15-22'!G63,'Expenditures 15-22'!I63)+'Expenditures 15-22'!D268-E10</f>
        <v>72459</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-318817</v>
      </c>
      <c r="F40" s="1794"/>
      <c r="G40" s="1798">
        <f>-'Contracts Paid in CY 29'!F142</f>
        <v>-318817</v>
      </c>
    </row>
    <row r="41" spans="1:7" ht="12" customHeight="1" x14ac:dyDescent="0.2">
      <c r="A41" s="828" t="s">
        <v>155</v>
      </c>
      <c r="B41" s="829"/>
      <c r="C41" s="830"/>
      <c r="D41" s="1798">
        <f>SUM(D19:D39)</f>
        <v>99921</v>
      </c>
      <c r="E41" s="1798">
        <f>SUM(E19:E40)</f>
        <v>3107061</v>
      </c>
      <c r="F41" s="1798">
        <f>SUM(F19:F39)</f>
        <v>327332</v>
      </c>
      <c r="G41" s="1798">
        <f>SUM(G19:G40)</f>
        <v>2879650</v>
      </c>
    </row>
    <row r="42" spans="1:7" x14ac:dyDescent="0.2">
      <c r="A42" s="817"/>
      <c r="B42" s="157"/>
      <c r="C42" s="831"/>
      <c r="D42" s="2397" t="s">
        <v>519</v>
      </c>
      <c r="E42" s="2398"/>
      <c r="F42" s="832" t="s">
        <v>520</v>
      </c>
      <c r="G42" s="833"/>
    </row>
    <row r="43" spans="1:7" ht="12" customHeight="1" x14ac:dyDescent="0.2">
      <c r="A43" s="817"/>
      <c r="B43" s="157"/>
      <c r="C43" s="831"/>
      <c r="D43" s="1451" t="s">
        <v>470</v>
      </c>
      <c r="E43" s="1799">
        <f>D41</f>
        <v>99921</v>
      </c>
      <c r="F43" s="1451" t="s">
        <v>470</v>
      </c>
      <c r="G43" s="1799">
        <f>F41</f>
        <v>327332</v>
      </c>
    </row>
    <row r="44" spans="1:7" ht="12" customHeight="1" x14ac:dyDescent="0.2">
      <c r="A44" s="817"/>
      <c r="B44" s="157"/>
      <c r="C44" s="831"/>
      <c r="D44" s="1451" t="s">
        <v>471</v>
      </c>
      <c r="E44" s="1799">
        <f>E41</f>
        <v>3107061</v>
      </c>
      <c r="F44" s="1451" t="s">
        <v>471</v>
      </c>
      <c r="G44" s="1799">
        <f>G41</f>
        <v>2879650</v>
      </c>
    </row>
    <row r="45" spans="1:7" ht="12" customHeight="1" x14ac:dyDescent="0.2">
      <c r="A45" s="817"/>
      <c r="B45" s="157"/>
      <c r="C45" s="157"/>
      <c r="D45" s="1452" t="s">
        <v>998</v>
      </c>
      <c r="E45" s="1800">
        <f>(E43/E44)</f>
        <v>3.2159329990624583E-2</v>
      </c>
      <c r="F45" s="1452" t="s">
        <v>998</v>
      </c>
      <c r="G45" s="1800">
        <f>(G43/G44)</f>
        <v>0.11367075859913531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11" activePane="bottomLeft" state="frozen"/>
      <selection activeCell="A47" sqref="A47"/>
      <selection pane="bottomLeft" activeCell="D21" sqref="D2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6" t="s">
        <v>1360</v>
      </c>
      <c r="B1" s="2416"/>
      <c r="C1" s="2416"/>
      <c r="D1" s="2416"/>
      <c r="E1" s="2416"/>
      <c r="F1" s="2416"/>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7" t="s">
        <v>1526</v>
      </c>
      <c r="B5" s="2418"/>
      <c r="C5" s="2419"/>
      <c r="D5" s="2419"/>
      <c r="E5" s="2419"/>
      <c r="F5" s="2419"/>
      <c r="G5" s="1500"/>
      <c r="L5" s="1500"/>
      <c r="M5" s="1844"/>
      <c r="N5" s="1844"/>
      <c r="O5" s="1844"/>
    </row>
    <row r="6" spans="1:15" ht="12" customHeight="1" x14ac:dyDescent="0.25">
      <c r="A6" s="1473"/>
      <c r="B6" s="1474"/>
      <c r="C6" s="2420" t="str">
        <f>COVER!A17</f>
        <v xml:space="preserve"> Riley CCSD 18</v>
      </c>
      <c r="D6" s="2420"/>
      <c r="E6" s="2420"/>
      <c r="F6" s="1475"/>
      <c r="G6" s="1500"/>
      <c r="L6" s="1500"/>
      <c r="M6" s="1844"/>
      <c r="N6" s="1844"/>
      <c r="O6" s="1844"/>
    </row>
    <row r="7" spans="1:15" ht="11.25" customHeight="1" thickBot="1" x14ac:dyDescent="0.3">
      <c r="A7" s="1473"/>
      <c r="B7" s="1474"/>
      <c r="C7" s="2421">
        <f>COVER!A13</f>
        <v>44063018004</v>
      </c>
      <c r="D7" s="2421"/>
      <c r="E7" s="2421"/>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2067</v>
      </c>
      <c r="D11" s="1488" t="s">
        <v>2067</v>
      </c>
      <c r="E11" s="1489"/>
      <c r="F11" s="1490" t="s">
        <v>2075</v>
      </c>
      <c r="G11" s="1500"/>
      <c r="H11" s="1500">
        <f>IF(C11="X",5,0)</f>
        <v>5</v>
      </c>
      <c r="I11" s="1500">
        <f>IF(D11="X",5,0)</f>
        <v>5</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t="s">
        <v>2067</v>
      </c>
      <c r="D13" s="1488" t="s">
        <v>2067</v>
      </c>
      <c r="E13" s="1491"/>
      <c r="F13" s="1490" t="s">
        <v>2091</v>
      </c>
      <c r="G13" s="1500"/>
      <c r="H13" s="1500">
        <f t="shared" si="0"/>
        <v>5</v>
      </c>
      <c r="I13" s="1500">
        <f t="shared" si="1"/>
        <v>5</v>
      </c>
      <c r="J13" s="1500">
        <f t="shared" si="2"/>
        <v>0</v>
      </c>
      <c r="L13" s="1500"/>
      <c r="M13" s="1844"/>
      <c r="N13" s="1844"/>
      <c r="O13" s="1844"/>
    </row>
    <row r="14" spans="1:15" ht="12" customHeight="1" x14ac:dyDescent="0.2">
      <c r="A14" s="1486" t="s">
        <v>1367</v>
      </c>
      <c r="B14" s="1487"/>
      <c r="C14" s="1488"/>
      <c r="D14" s="1488"/>
      <c r="E14" s="1491"/>
      <c r="F14" s="1490"/>
      <c r="G14" s="1500"/>
      <c r="H14" s="1500">
        <f t="shared" si="0"/>
        <v>0</v>
      </c>
      <c r="I14" s="1500">
        <f t="shared" si="1"/>
        <v>0</v>
      </c>
      <c r="J14" s="1500">
        <f t="shared" si="2"/>
        <v>0</v>
      </c>
      <c r="L14" s="1500"/>
      <c r="M14" s="1844"/>
      <c r="N14" s="1844"/>
      <c r="O14" s="1844"/>
    </row>
    <row r="15" spans="1:15" ht="12" customHeight="1" x14ac:dyDescent="0.2">
      <c r="A15" s="1486" t="s">
        <v>1368</v>
      </c>
      <c r="B15" s="1487"/>
      <c r="C15" s="1488" t="s">
        <v>2067</v>
      </c>
      <c r="D15" s="1488" t="s">
        <v>2067</v>
      </c>
      <c r="E15" s="1491"/>
      <c r="F15" s="1490" t="s">
        <v>2076</v>
      </c>
      <c r="G15" s="1500"/>
      <c r="H15" s="1500">
        <f t="shared" si="0"/>
        <v>5</v>
      </c>
      <c r="I15" s="1500">
        <f t="shared" si="1"/>
        <v>5</v>
      </c>
      <c r="J15" s="1500">
        <f t="shared" si="2"/>
        <v>0</v>
      </c>
      <c r="L15" s="1500"/>
      <c r="M15" s="1844"/>
      <c r="N15" s="1844"/>
      <c r="O15" s="1844"/>
    </row>
    <row r="16" spans="1:15" ht="12" customHeight="1" x14ac:dyDescent="0.2">
      <c r="A16" s="1486" t="s">
        <v>1369</v>
      </c>
      <c r="B16" s="1487"/>
      <c r="C16" s="1488" t="s">
        <v>2067</v>
      </c>
      <c r="D16" s="1488" t="s">
        <v>2067</v>
      </c>
      <c r="E16" s="1491"/>
      <c r="F16" s="1490" t="s">
        <v>2092</v>
      </c>
      <c r="G16" s="1500"/>
      <c r="H16" s="1500">
        <f t="shared" si="0"/>
        <v>5</v>
      </c>
      <c r="I16" s="1500">
        <f t="shared" si="1"/>
        <v>5</v>
      </c>
      <c r="J16" s="1500">
        <f t="shared" si="2"/>
        <v>0</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2067</v>
      </c>
      <c r="D19" s="1488" t="s">
        <v>2067</v>
      </c>
      <c r="E19" s="1491"/>
      <c r="F19" s="1490" t="s">
        <v>2077</v>
      </c>
      <c r="G19" s="1500"/>
      <c r="H19" s="1500">
        <f t="shared" si="0"/>
        <v>5</v>
      </c>
      <c r="I19" s="1500">
        <f t="shared" si="1"/>
        <v>5</v>
      </c>
      <c r="J19" s="1500">
        <f t="shared" si="2"/>
        <v>0</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t="s">
        <v>2067</v>
      </c>
      <c r="E21" s="1491"/>
      <c r="F21" s="1490" t="s">
        <v>2093</v>
      </c>
      <c r="G21" s="1500"/>
      <c r="H21" s="1500">
        <f t="shared" si="0"/>
        <v>0</v>
      </c>
      <c r="I21" s="1500">
        <f t="shared" si="1"/>
        <v>5</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t="s">
        <v>2067</v>
      </c>
      <c r="D23" s="1488" t="s">
        <v>2067</v>
      </c>
      <c r="E23" s="1491"/>
      <c r="F23" s="1490" t="s">
        <v>2078</v>
      </c>
      <c r="G23" s="1500"/>
      <c r="H23" s="1500">
        <f t="shared" si="0"/>
        <v>5</v>
      </c>
      <c r="I23" s="1500">
        <f t="shared" si="1"/>
        <v>5</v>
      </c>
      <c r="J23" s="1500">
        <f t="shared" si="2"/>
        <v>0</v>
      </c>
      <c r="L23" s="1500"/>
      <c r="M23" s="1844"/>
      <c r="N23" s="1844"/>
      <c r="O23" s="1844"/>
    </row>
    <row r="24" spans="1:15" ht="12" customHeight="1" x14ac:dyDescent="0.2">
      <c r="A24" s="1486" t="s">
        <v>1512</v>
      </c>
      <c r="B24" s="1487"/>
      <c r="C24" s="1488"/>
      <c r="D24" s="1488"/>
      <c r="E24" s="1491"/>
      <c r="F24" s="1490"/>
      <c r="G24" s="1500"/>
      <c r="H24" s="1500">
        <f t="shared" si="0"/>
        <v>0</v>
      </c>
      <c r="I24" s="1500">
        <f t="shared" si="1"/>
        <v>0</v>
      </c>
      <c r="J24" s="1500">
        <f t="shared" si="2"/>
        <v>0</v>
      </c>
      <c r="L24" s="1500"/>
      <c r="M24" s="1844"/>
      <c r="N24" s="1844"/>
      <c r="O24" s="1844"/>
    </row>
    <row r="25" spans="1:15" ht="12" customHeight="1" x14ac:dyDescent="0.2">
      <c r="A25" s="1486" t="s">
        <v>1513</v>
      </c>
      <c r="B25" s="1487"/>
      <c r="C25" s="1488" t="s">
        <v>2067</v>
      </c>
      <c r="D25" s="1488" t="s">
        <v>2067</v>
      </c>
      <c r="E25" s="1491"/>
      <c r="F25" s="1490" t="s">
        <v>2079</v>
      </c>
      <c r="G25" s="1500"/>
      <c r="H25" s="1500">
        <f t="shared" si="0"/>
        <v>5</v>
      </c>
      <c r="I25" s="1500">
        <f t="shared" si="1"/>
        <v>5</v>
      </c>
      <c r="J25" s="1500">
        <f t="shared" si="2"/>
        <v>0</v>
      </c>
      <c r="L25" s="1500"/>
      <c r="M25" s="1844"/>
      <c r="N25" s="1844"/>
      <c r="O25" s="1844"/>
    </row>
    <row r="26" spans="1:15" ht="12" customHeight="1" x14ac:dyDescent="0.2">
      <c r="A26" s="1486" t="s">
        <v>1514</v>
      </c>
      <c r="B26" s="1487"/>
      <c r="C26" s="1488" t="s">
        <v>2067</v>
      </c>
      <c r="D26" s="1488" t="s">
        <v>2067</v>
      </c>
      <c r="E26" s="1491"/>
      <c r="F26" s="1490" t="s">
        <v>2080</v>
      </c>
      <c r="G26" s="1500"/>
      <c r="H26" s="1500">
        <f t="shared" si="0"/>
        <v>5</v>
      </c>
      <c r="I26" s="1500">
        <f t="shared" si="1"/>
        <v>5</v>
      </c>
      <c r="J26" s="1500">
        <f t="shared" si="2"/>
        <v>0</v>
      </c>
      <c r="L26" s="1500"/>
      <c r="M26" s="1844"/>
      <c r="N26" s="1844"/>
      <c r="O26" s="1844"/>
    </row>
    <row r="27" spans="1:15" ht="18.75" x14ac:dyDescent="0.2">
      <c r="A27" s="1486" t="s">
        <v>1515</v>
      </c>
      <c r="B27" s="1487"/>
      <c r="C27" s="1488"/>
      <c r="D27" s="1488"/>
      <c r="E27" s="1491"/>
      <c r="F27" s="1490"/>
      <c r="G27" s="1500"/>
      <c r="H27" s="1500">
        <f t="shared" si="0"/>
        <v>0</v>
      </c>
      <c r="I27" s="1500">
        <f t="shared" si="1"/>
        <v>0</v>
      </c>
      <c r="J27" s="1500">
        <f t="shared" si="2"/>
        <v>0</v>
      </c>
      <c r="L27" s="1500"/>
      <c r="M27" s="1844"/>
      <c r="N27" s="1844"/>
      <c r="O27" s="1844"/>
    </row>
    <row r="28" spans="1:15" ht="12" customHeight="1" x14ac:dyDescent="0.2">
      <c r="A28" s="1486" t="s">
        <v>1516</v>
      </c>
      <c r="B28" s="1487"/>
      <c r="C28" s="1488"/>
      <c r="D28" s="1488" t="s">
        <v>2067</v>
      </c>
      <c r="E28" s="1491"/>
      <c r="F28" s="1490" t="s">
        <v>2081</v>
      </c>
      <c r="G28" s="1500"/>
      <c r="H28" s="1500">
        <f t="shared" si="0"/>
        <v>0</v>
      </c>
      <c r="I28" s="1500">
        <f t="shared" si="1"/>
        <v>5</v>
      </c>
      <c r="J28" s="1500">
        <f t="shared" si="2"/>
        <v>0</v>
      </c>
      <c r="L28" s="1500"/>
      <c r="M28" s="1844"/>
      <c r="N28" s="1844"/>
      <c r="O28" s="1844"/>
    </row>
    <row r="29" spans="1:15" ht="12" customHeight="1" x14ac:dyDescent="0.2">
      <c r="A29" s="1486" t="s">
        <v>1517</v>
      </c>
      <c r="B29" s="1487"/>
      <c r="C29" s="1488" t="s">
        <v>2067</v>
      </c>
      <c r="D29" s="1488" t="s">
        <v>2067</v>
      </c>
      <c r="E29" s="1491"/>
      <c r="F29" s="1490" t="s">
        <v>2081</v>
      </c>
      <c r="G29" s="1500"/>
      <c r="H29" s="1500">
        <f t="shared" si="0"/>
        <v>5</v>
      </c>
      <c r="I29" s="1500">
        <f t="shared" si="1"/>
        <v>5</v>
      </c>
      <c r="J29" s="1500">
        <f t="shared" si="2"/>
        <v>0</v>
      </c>
      <c r="L29" s="1500"/>
      <c r="M29" s="1844"/>
      <c r="N29" s="1844"/>
      <c r="O29" s="1844"/>
    </row>
    <row r="30" spans="1:15" ht="12" customHeight="1" x14ac:dyDescent="0.2">
      <c r="A30" s="1486" t="s">
        <v>1518</v>
      </c>
      <c r="B30" s="1487"/>
      <c r="C30" s="1488" t="s">
        <v>2067</v>
      </c>
      <c r="D30" s="1488" t="s">
        <v>2067</v>
      </c>
      <c r="E30" s="1491"/>
      <c r="F30" s="1490" t="s">
        <v>2082</v>
      </c>
      <c r="G30" s="1500"/>
      <c r="H30" s="1500">
        <f t="shared" si="0"/>
        <v>5</v>
      </c>
      <c r="I30" s="1500">
        <f t="shared" si="1"/>
        <v>5</v>
      </c>
      <c r="J30" s="1500">
        <f t="shared" si="2"/>
        <v>0</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50</v>
      </c>
      <c r="I34" s="1500">
        <f>SUM(I11:I32)</f>
        <v>60</v>
      </c>
      <c r="J34" s="1500">
        <f>SUM(J11:J32)</f>
        <v>0</v>
      </c>
      <c r="K34" s="1500">
        <f>SUM(H34:J34)</f>
        <v>110</v>
      </c>
      <c r="L34" s="1500"/>
      <c r="M34" s="1844"/>
      <c r="N34" s="1844"/>
      <c r="O34" s="1844"/>
    </row>
    <row r="35" spans="1:15" ht="12" customHeight="1" x14ac:dyDescent="0.2">
      <c r="A35" s="1493" t="s">
        <v>1373</v>
      </c>
      <c r="B35" s="1494"/>
      <c r="C35" s="2422"/>
      <c r="D35" s="2422"/>
      <c r="E35" s="2422"/>
      <c r="F35" s="2423"/>
    </row>
    <row r="36" spans="1:15" ht="12" customHeight="1" x14ac:dyDescent="0.2">
      <c r="A36" s="2405"/>
      <c r="B36" s="2406"/>
      <c r="C36" s="2406"/>
      <c r="D36" s="2406"/>
      <c r="E36" s="2406"/>
      <c r="F36" s="2407"/>
    </row>
    <row r="37" spans="1:15" ht="12" customHeight="1" x14ac:dyDescent="0.2">
      <c r="A37" s="2405"/>
      <c r="B37" s="2406"/>
      <c r="C37" s="2406"/>
      <c r="D37" s="2406"/>
      <c r="E37" s="2406"/>
      <c r="F37" s="2407"/>
    </row>
    <row r="38" spans="1:15" ht="12" customHeight="1" x14ac:dyDescent="0.2">
      <c r="A38" s="2408"/>
      <c r="B38" s="2409"/>
      <c r="C38" s="2409"/>
      <c r="D38" s="2409"/>
      <c r="E38" s="2409"/>
      <c r="F38" s="2410"/>
    </row>
    <row r="39" spans="1:15" ht="4.5" hidden="1" customHeight="1" x14ac:dyDescent="0.2">
      <c r="A39" s="1495"/>
      <c r="B39" s="1495"/>
      <c r="C39" s="1495"/>
      <c r="D39" s="1495"/>
      <c r="E39" s="1495"/>
      <c r="F39" s="1495"/>
    </row>
    <row r="40" spans="1:15" s="1492" customFormat="1" ht="12" customHeight="1" x14ac:dyDescent="0.25">
      <c r="A40" s="1496" t="s">
        <v>1372</v>
      </c>
      <c r="B40" s="1497"/>
      <c r="C40" s="2411"/>
      <c r="D40" s="2411"/>
      <c r="E40" s="2411"/>
      <c r="F40" s="2412"/>
      <c r="H40" s="1501"/>
      <c r="I40" s="1501"/>
      <c r="J40" s="1501"/>
      <c r="K40" s="1501"/>
    </row>
    <row r="41" spans="1:15" s="1492" customFormat="1" ht="12" customHeight="1" x14ac:dyDescent="0.25">
      <c r="A41" s="2413"/>
      <c r="B41" s="2414"/>
      <c r="C41" s="2414"/>
      <c r="D41" s="2414"/>
      <c r="E41" s="2414"/>
      <c r="F41" s="2415"/>
      <c r="H41" s="1501"/>
      <c r="I41" s="1501"/>
      <c r="J41" s="1501"/>
      <c r="K41" s="1501"/>
    </row>
    <row r="42" spans="1:15" s="1492" customFormat="1" ht="12" customHeight="1" x14ac:dyDescent="0.25">
      <c r="A42" s="2413"/>
      <c r="B42" s="2414"/>
      <c r="C42" s="2414"/>
      <c r="D42" s="2414"/>
      <c r="E42" s="2414"/>
      <c r="F42" s="2415"/>
      <c r="H42" s="1501"/>
      <c r="I42" s="1501"/>
      <c r="J42" s="1501"/>
      <c r="K42" s="1501"/>
    </row>
    <row r="43" spans="1:15" s="1492" customFormat="1" ht="15" x14ac:dyDescent="0.25">
      <c r="A43" s="2402"/>
      <c r="B43" s="2403"/>
      <c r="C43" s="2403"/>
      <c r="D43" s="2403"/>
      <c r="E43" s="2403"/>
      <c r="F43" s="2404"/>
      <c r="H43" s="1501"/>
      <c r="I43" s="1501"/>
      <c r="J43" s="1501"/>
      <c r="K43" s="1501"/>
    </row>
    <row r="44" spans="1:15" s="1492" customFormat="1" ht="12" hidden="1" customHeight="1" x14ac:dyDescent="0.25">
      <c r="A44" s="2402"/>
      <c r="B44" s="2403"/>
      <c r="C44" s="2403"/>
      <c r="D44" s="2403"/>
      <c r="E44" s="2403"/>
      <c r="F44" s="2404"/>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dimension ref="A1:N72"/>
  <sheetViews>
    <sheetView showGridLines="0" topLeftCell="A44" zoomScaleNormal="100" workbookViewId="0">
      <selection activeCell="E68" sqref="E68"/>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7"/>
      <c r="C2" s="847"/>
      <c r="D2" s="847"/>
      <c r="E2" s="847"/>
      <c r="F2" s="847"/>
      <c r="G2" s="1924" t="s">
        <v>1999</v>
      </c>
      <c r="H2" s="2034"/>
      <c r="I2" s="847"/>
      <c r="J2" s="847"/>
      <c r="K2" s="847"/>
      <c r="L2" s="847"/>
      <c r="M2" s="847"/>
      <c r="N2" s="1967"/>
    </row>
    <row r="3" spans="1:14" x14ac:dyDescent="0.25">
      <c r="A3" s="1968"/>
      <c r="B3" s="847"/>
      <c r="C3" s="847"/>
      <c r="D3" s="847"/>
      <c r="E3" s="847"/>
      <c r="F3" s="847"/>
      <c r="G3" s="1924" t="s">
        <v>403</v>
      </c>
      <c r="H3" s="847"/>
      <c r="I3" s="847"/>
      <c r="J3" s="847"/>
      <c r="K3" s="847"/>
      <c r="L3" s="847"/>
      <c r="M3" s="847"/>
      <c r="N3" s="1967"/>
    </row>
    <row r="4" spans="1:14" x14ac:dyDescent="0.25">
      <c r="A4" s="1968"/>
      <c r="B4" s="847"/>
      <c r="C4" s="847"/>
      <c r="D4" s="847"/>
      <c r="E4" s="847"/>
      <c r="F4" s="847"/>
      <c r="G4" s="1924" t="s">
        <v>862</v>
      </c>
      <c r="H4" s="847"/>
      <c r="I4" s="847"/>
      <c r="J4" s="847"/>
      <c r="K4" s="847"/>
      <c r="L4" s="847"/>
      <c r="M4" s="847"/>
      <c r="N4" s="1967"/>
    </row>
    <row r="5" spans="1:14" x14ac:dyDescent="0.25">
      <c r="A5" s="1968"/>
      <c r="B5" s="847"/>
      <c r="C5" s="847"/>
      <c r="D5" s="847"/>
      <c r="E5" s="847"/>
      <c r="F5" s="1924"/>
      <c r="G5" s="1924"/>
      <c r="H5" s="847"/>
      <c r="I5" s="847"/>
      <c r="J5" s="847"/>
      <c r="K5" s="847"/>
      <c r="L5" s="847"/>
      <c r="M5" s="847"/>
      <c r="N5" s="1967"/>
    </row>
    <row r="6" spans="1:14" x14ac:dyDescent="0.25">
      <c r="A6" s="2033" t="s">
        <v>667</v>
      </c>
      <c r="B6" s="1370"/>
      <c r="C6" s="1370"/>
      <c r="D6" s="1370"/>
      <c r="E6" s="1371"/>
      <c r="F6" s="2032"/>
      <c r="G6" s="1924"/>
      <c r="H6" s="847"/>
      <c r="I6" s="1956" t="s">
        <v>1020</v>
      </c>
      <c r="J6" s="2426" t="str">
        <f>COVER!A17</f>
        <v xml:space="preserve"> Riley CCSD 18</v>
      </c>
      <c r="K6" s="2426"/>
      <c r="L6" s="2427"/>
      <c r="M6" s="847"/>
      <c r="N6" s="1967"/>
    </row>
    <row r="7" spans="1:14" x14ac:dyDescent="0.25">
      <c r="A7" s="2428" t="s">
        <v>863</v>
      </c>
      <c r="B7" s="2429"/>
      <c r="C7" s="2429"/>
      <c r="D7" s="2429"/>
      <c r="E7" s="2430"/>
      <c r="F7" s="2031"/>
      <c r="G7" s="847"/>
      <c r="H7" s="847"/>
      <c r="I7" s="1956" t="s">
        <v>369</v>
      </c>
      <c r="J7" s="2431">
        <f>COVER!A13</f>
        <v>44063018004</v>
      </c>
      <c r="K7" s="2431"/>
      <c r="L7" s="2431"/>
      <c r="M7" s="847"/>
      <c r="N7" s="1967"/>
    </row>
    <row r="8" spans="1:14" x14ac:dyDescent="0.25">
      <c r="A8" s="2030"/>
      <c r="B8" s="2029"/>
      <c r="C8" s="2029"/>
      <c r="D8" s="2029"/>
      <c r="E8" s="2028"/>
      <c r="F8" s="2027"/>
      <c r="G8" s="2026"/>
      <c r="H8" s="2026"/>
      <c r="I8" s="2026"/>
      <c r="J8" s="2026"/>
      <c r="K8" s="2026"/>
      <c r="L8" s="2026"/>
      <c r="M8" s="847"/>
      <c r="N8" s="1967"/>
    </row>
    <row r="9" spans="1:14" x14ac:dyDescent="0.25">
      <c r="A9" s="2025"/>
      <c r="B9" s="2024"/>
      <c r="C9" s="2024"/>
      <c r="D9" s="2023"/>
      <c r="E9" s="2022" t="s">
        <v>2059</v>
      </c>
      <c r="F9" s="2020"/>
      <c r="G9" s="2020"/>
      <c r="H9" s="2020"/>
      <c r="I9" s="2021" t="s">
        <v>2058</v>
      </c>
      <c r="J9" s="2020"/>
      <c r="K9" s="2020"/>
      <c r="L9" s="2019"/>
      <c r="M9" s="847"/>
      <c r="N9" s="1967"/>
    </row>
    <row r="10" spans="1:14" x14ac:dyDescent="0.25">
      <c r="A10" s="1968"/>
      <c r="B10" s="847"/>
      <c r="C10" s="1924"/>
      <c r="D10" s="2018"/>
      <c r="E10" s="2017" t="s">
        <v>422</v>
      </c>
      <c r="F10" s="2014" t="s">
        <v>423</v>
      </c>
      <c r="G10" s="2015" t="s">
        <v>429</v>
      </c>
      <c r="H10" s="2016"/>
      <c r="I10" s="2014" t="s">
        <v>422</v>
      </c>
      <c r="J10" s="2014" t="s">
        <v>423</v>
      </c>
      <c r="K10" s="2015" t="s">
        <v>429</v>
      </c>
      <c r="L10" s="2014"/>
      <c r="M10" s="847"/>
      <c r="N10" s="1967"/>
    </row>
    <row r="11" spans="1:14" ht="51" x14ac:dyDescent="0.25">
      <c r="A11" s="2432" t="s">
        <v>478</v>
      </c>
      <c r="B11" s="2433"/>
      <c r="C11" s="2434"/>
      <c r="D11" s="2013" t="s">
        <v>865</v>
      </c>
      <c r="E11" s="2013" t="s">
        <v>64</v>
      </c>
      <c r="F11" s="2013" t="s">
        <v>6</v>
      </c>
      <c r="G11" s="2012" t="s">
        <v>2057</v>
      </c>
      <c r="H11" s="2011" t="s">
        <v>155</v>
      </c>
      <c r="I11" s="2013" t="s">
        <v>64</v>
      </c>
      <c r="J11" s="2013" t="s">
        <v>6</v>
      </c>
      <c r="K11" s="2012" t="s">
        <v>1998</v>
      </c>
      <c r="L11" s="2011" t="s">
        <v>155</v>
      </c>
      <c r="M11" s="847"/>
      <c r="N11" s="1967"/>
    </row>
    <row r="12" spans="1:14" x14ac:dyDescent="0.25">
      <c r="A12" s="1997">
        <v>1</v>
      </c>
      <c r="B12" s="2009" t="s">
        <v>812</v>
      </c>
      <c r="C12" s="2008"/>
      <c r="D12" s="2007">
        <v>2320</v>
      </c>
      <c r="E12" s="2006">
        <f>'Expenditures 15-22'!K50</f>
        <v>196714</v>
      </c>
      <c r="F12" s="2004"/>
      <c r="G12" s="2005">
        <f>G68</f>
        <v>0</v>
      </c>
      <c r="H12" s="2001">
        <f t="shared" ref="H12:H18" si="0">SUM(E12:G12)</f>
        <v>196714</v>
      </c>
      <c r="I12" s="2002">
        <v>199893</v>
      </c>
      <c r="J12" s="2004"/>
      <c r="K12" s="2002"/>
      <c r="L12" s="2001">
        <f t="shared" ref="L12:L18" si="1">SUM(I12:K12)</f>
        <v>199893</v>
      </c>
      <c r="M12" s="847"/>
      <c r="N12" s="1967"/>
    </row>
    <row r="13" spans="1:14" x14ac:dyDescent="0.25">
      <c r="A13" s="1997">
        <v>2</v>
      </c>
      <c r="B13" s="2009" t="s">
        <v>42</v>
      </c>
      <c r="C13" s="2008"/>
      <c r="D13" s="2007">
        <v>2330</v>
      </c>
      <c r="E13" s="2006">
        <f>'Expenditures 15-22'!K51</f>
        <v>0</v>
      </c>
      <c r="F13" s="2004"/>
      <c r="G13" s="2005">
        <f>H68</f>
        <v>0</v>
      </c>
      <c r="H13" s="2001">
        <f t="shared" si="0"/>
        <v>0</v>
      </c>
      <c r="I13" s="2002"/>
      <c r="J13" s="2004"/>
      <c r="K13" s="2002"/>
      <c r="L13" s="2001">
        <f t="shared" si="1"/>
        <v>0</v>
      </c>
      <c r="M13" s="847"/>
      <c r="N13" s="1967"/>
    </row>
    <row r="14" spans="1:14" x14ac:dyDescent="0.25">
      <c r="A14" s="1997">
        <v>3</v>
      </c>
      <c r="B14" s="2009" t="s">
        <v>43</v>
      </c>
      <c r="C14" s="2008"/>
      <c r="D14" s="2010">
        <v>2490</v>
      </c>
      <c r="E14" s="2006">
        <f>'Expenditures 15-22'!K56</f>
        <v>0</v>
      </c>
      <c r="F14" s="2004"/>
      <c r="G14" s="2005">
        <f>I68</f>
        <v>0</v>
      </c>
      <c r="H14" s="2001">
        <f t="shared" si="0"/>
        <v>0</v>
      </c>
      <c r="I14" s="2002"/>
      <c r="J14" s="2004"/>
      <c r="K14" s="2002"/>
      <c r="L14" s="2001">
        <f t="shared" si="1"/>
        <v>0</v>
      </c>
      <c r="M14" s="847"/>
      <c r="N14" s="1967"/>
    </row>
    <row r="15" spans="1:14" x14ac:dyDescent="0.25">
      <c r="A15" s="1997">
        <v>4</v>
      </c>
      <c r="B15" s="2009" t="s">
        <v>1058</v>
      </c>
      <c r="C15" s="2008"/>
      <c r="D15" s="2007">
        <v>2510</v>
      </c>
      <c r="E15" s="2006">
        <f>'Expenditures 15-22'!K59</f>
        <v>0</v>
      </c>
      <c r="F15" s="2006">
        <f>'Expenditures 15-22'!K122</f>
        <v>0</v>
      </c>
      <c r="G15" s="2005">
        <f>J68</f>
        <v>0</v>
      </c>
      <c r="H15" s="2001">
        <f t="shared" si="0"/>
        <v>0</v>
      </c>
      <c r="I15" s="2002"/>
      <c r="J15" s="2002"/>
      <c r="K15" s="2002"/>
      <c r="L15" s="2001">
        <f t="shared" si="1"/>
        <v>0</v>
      </c>
      <c r="M15" s="847"/>
      <c r="N15" s="1967"/>
    </row>
    <row r="16" spans="1:14" x14ac:dyDescent="0.25">
      <c r="A16" s="1997">
        <v>5</v>
      </c>
      <c r="B16" s="2009" t="s">
        <v>101</v>
      </c>
      <c r="C16" s="2008"/>
      <c r="D16" s="2007">
        <v>2570</v>
      </c>
      <c r="E16" s="2006">
        <f>'Expenditures 15-22'!K64</f>
        <v>0</v>
      </c>
      <c r="F16" s="2004"/>
      <c r="G16" s="2005">
        <f>K68</f>
        <v>0</v>
      </c>
      <c r="H16" s="2001">
        <f t="shared" si="0"/>
        <v>0</v>
      </c>
      <c r="I16" s="2002"/>
      <c r="J16" s="2004"/>
      <c r="K16" s="2002"/>
      <c r="L16" s="2001">
        <f t="shared" si="1"/>
        <v>0</v>
      </c>
      <c r="M16" s="847"/>
      <c r="N16" s="1967"/>
    </row>
    <row r="17" spans="1:14" x14ac:dyDescent="0.25">
      <c r="A17" s="1997">
        <v>6</v>
      </c>
      <c r="B17" s="2009" t="s">
        <v>1050</v>
      </c>
      <c r="C17" s="2008"/>
      <c r="D17" s="2007">
        <v>2610</v>
      </c>
      <c r="E17" s="2006">
        <f>'Expenditures 15-22'!K67</f>
        <v>0</v>
      </c>
      <c r="F17" s="2004"/>
      <c r="G17" s="2005">
        <f>L68</f>
        <v>0</v>
      </c>
      <c r="H17" s="2001">
        <f t="shared" si="0"/>
        <v>0</v>
      </c>
      <c r="I17" s="2002"/>
      <c r="J17" s="2004"/>
      <c r="K17" s="2002"/>
      <c r="L17" s="2001">
        <f t="shared" si="1"/>
        <v>0</v>
      </c>
      <c r="M17" s="847"/>
      <c r="N17" s="1967"/>
    </row>
    <row r="18" spans="1:14" ht="28.5" customHeight="1" x14ac:dyDescent="0.25">
      <c r="A18" s="2003">
        <v>7</v>
      </c>
      <c r="B18" s="2435" t="s">
        <v>7</v>
      </c>
      <c r="C18" s="2435"/>
      <c r="D18" s="2436"/>
      <c r="E18" s="2002"/>
      <c r="F18" s="2002"/>
      <c r="G18" s="2002"/>
      <c r="H18" s="2001">
        <f t="shared" si="0"/>
        <v>0</v>
      </c>
      <c r="I18" s="2002"/>
      <c r="J18" s="2002"/>
      <c r="K18" s="2002"/>
      <c r="L18" s="2001">
        <f t="shared" si="1"/>
        <v>0</v>
      </c>
      <c r="M18" s="847"/>
      <c r="N18" s="1967"/>
    </row>
    <row r="19" spans="1:14" ht="15.75" thickBot="1" x14ac:dyDescent="0.3">
      <c r="A19" s="1997">
        <v>8</v>
      </c>
      <c r="B19" s="2000" t="s">
        <v>1150</v>
      </c>
      <c r="C19" s="847"/>
      <c r="D19" s="1999"/>
      <c r="E19" s="1998">
        <f t="shared" ref="E19:L19" si="2">SUM(E12:E17)-E18</f>
        <v>196714</v>
      </c>
      <c r="F19" s="1998">
        <f t="shared" si="2"/>
        <v>0</v>
      </c>
      <c r="G19" s="1998">
        <f t="shared" si="2"/>
        <v>0</v>
      </c>
      <c r="H19" s="1998">
        <f t="shared" si="2"/>
        <v>196714</v>
      </c>
      <c r="I19" s="1998">
        <f t="shared" si="2"/>
        <v>199893</v>
      </c>
      <c r="J19" s="1998">
        <f t="shared" si="2"/>
        <v>0</v>
      </c>
      <c r="K19" s="1998">
        <f t="shared" si="2"/>
        <v>0</v>
      </c>
      <c r="L19" s="1998">
        <f t="shared" si="2"/>
        <v>199893</v>
      </c>
      <c r="M19" s="847"/>
      <c r="N19" s="1967"/>
    </row>
    <row r="20" spans="1:14" ht="15.75" thickTop="1" x14ac:dyDescent="0.25">
      <c r="A20" s="1997">
        <v>9</v>
      </c>
      <c r="B20" s="2424" t="s">
        <v>2056</v>
      </c>
      <c r="C20" s="2424"/>
      <c r="D20" s="2425"/>
      <c r="E20" s="1996"/>
      <c r="F20" s="1996"/>
      <c r="G20" s="1996"/>
      <c r="H20" s="1996"/>
      <c r="I20" s="1996"/>
      <c r="J20" s="1996"/>
      <c r="K20" s="1996"/>
      <c r="L20" s="1995">
        <f>IF(AND(H19&gt;0,L19&gt;0),(((L19-H19)/H19)),"Enter Budget Data")</f>
        <v>1.6160517299226289E-2</v>
      </c>
      <c r="M20" s="847"/>
      <c r="N20" s="1967"/>
    </row>
    <row r="21" spans="1:14" x14ac:dyDescent="0.25">
      <c r="A21" s="1994" t="s">
        <v>194</v>
      </c>
      <c r="B21" s="294" t="s">
        <v>2055</v>
      </c>
      <c r="C21" s="847"/>
      <c r="D21" s="1978"/>
      <c r="E21" s="1977"/>
      <c r="F21" s="1993"/>
      <c r="G21" s="1993"/>
      <c r="H21" s="1993"/>
      <c r="I21" s="1993"/>
      <c r="J21" s="1993"/>
      <c r="K21" s="1993"/>
      <c r="L21" s="1992"/>
      <c r="M21" s="847"/>
      <c r="N21" s="1967"/>
    </row>
    <row r="22" spans="1:14" x14ac:dyDescent="0.25">
      <c r="A22" s="1968"/>
      <c r="B22" s="1980"/>
      <c r="C22" s="847"/>
      <c r="D22" s="847"/>
      <c r="E22" s="847"/>
      <c r="F22" s="847"/>
      <c r="G22" s="847"/>
      <c r="H22" s="847"/>
      <c r="I22" s="847"/>
      <c r="J22" s="847"/>
      <c r="K22" s="847"/>
      <c r="L22" s="847"/>
      <c r="M22" s="847"/>
      <c r="N22" s="1967"/>
    </row>
    <row r="23" spans="1:14" x14ac:dyDescent="0.25">
      <c r="A23" s="1991" t="s">
        <v>132</v>
      </c>
      <c r="B23" s="1980"/>
      <c r="C23" s="847"/>
      <c r="D23" s="847"/>
      <c r="E23" s="847"/>
      <c r="F23" s="847"/>
      <c r="G23" s="847"/>
      <c r="H23" s="847"/>
      <c r="I23" s="847"/>
      <c r="J23" s="847"/>
      <c r="K23" s="847"/>
      <c r="L23" s="847"/>
      <c r="M23" s="847"/>
      <c r="N23" s="1967"/>
    </row>
    <row r="24" spans="1:14" x14ac:dyDescent="0.25">
      <c r="A24" s="1990" t="s">
        <v>2054</v>
      </c>
      <c r="B24" s="1989"/>
      <c r="C24" s="1988"/>
      <c r="D24" s="1988"/>
      <c r="E24" s="1988"/>
      <c r="F24" s="1988"/>
      <c r="G24" s="1988"/>
      <c r="H24" s="1988"/>
      <c r="I24" s="1988"/>
      <c r="J24" s="1988"/>
      <c r="K24" s="1988"/>
      <c r="L24" s="847"/>
      <c r="M24" s="847"/>
      <c r="N24" s="1967"/>
    </row>
    <row r="25" spans="1:14" x14ac:dyDescent="0.25">
      <c r="A25" s="1990" t="s">
        <v>2053</v>
      </c>
      <c r="B25" s="1989"/>
      <c r="C25" s="1988"/>
      <c r="D25" s="1988"/>
      <c r="E25" s="1988"/>
      <c r="F25" s="1988"/>
      <c r="G25" s="1988"/>
      <c r="H25" s="1988"/>
      <c r="I25" s="1988"/>
      <c r="J25" s="1988"/>
      <c r="K25" s="1988"/>
      <c r="L25" s="847"/>
      <c r="M25" s="847"/>
      <c r="N25" s="1967"/>
    </row>
    <row r="26" spans="1:14" x14ac:dyDescent="0.25">
      <c r="A26" s="1987"/>
      <c r="B26" s="1980"/>
      <c r="C26" s="847"/>
      <c r="D26" s="847"/>
      <c r="E26" s="847"/>
      <c r="F26" s="847"/>
      <c r="G26" s="847"/>
      <c r="H26" s="847"/>
      <c r="I26" s="847"/>
      <c r="J26" s="847"/>
      <c r="K26" s="847"/>
      <c r="L26" s="847"/>
      <c r="M26" s="847"/>
      <c r="N26" s="1967"/>
    </row>
    <row r="27" spans="1:14" x14ac:dyDescent="0.25">
      <c r="A27" s="1968"/>
      <c r="B27" s="1980"/>
      <c r="C27" s="2439"/>
      <c r="D27" s="2439"/>
      <c r="E27" s="1986"/>
      <c r="F27" s="2440"/>
      <c r="G27" s="2440"/>
      <c r="H27" s="2440"/>
      <c r="I27" s="847"/>
      <c r="J27" s="847"/>
      <c r="K27" s="847"/>
      <c r="L27" s="847"/>
      <c r="M27" s="847"/>
      <c r="N27" s="1967"/>
    </row>
    <row r="28" spans="1:14" x14ac:dyDescent="0.25">
      <c r="A28" s="1968"/>
      <c r="B28" s="1980"/>
      <c r="C28" s="1985" t="s">
        <v>1025</v>
      </c>
      <c r="D28" s="1984"/>
      <c r="E28" s="1983"/>
      <c r="F28" s="2441" t="s">
        <v>1489</v>
      </c>
      <c r="G28" s="2441"/>
      <c r="H28" s="2441"/>
      <c r="I28" s="847"/>
      <c r="J28" s="847"/>
      <c r="K28" s="847"/>
      <c r="L28" s="847"/>
      <c r="M28" s="847"/>
      <c r="N28" s="1967"/>
    </row>
    <row r="29" spans="1:14" x14ac:dyDescent="0.25">
      <c r="A29" s="1968"/>
      <c r="B29" s="1980"/>
      <c r="C29" s="2442"/>
      <c r="D29" s="2442"/>
      <c r="E29" s="846"/>
      <c r="F29" s="2442"/>
      <c r="G29" s="2442"/>
      <c r="H29" s="2442"/>
      <c r="I29" s="847"/>
      <c r="J29" s="847"/>
      <c r="K29" s="847"/>
      <c r="L29" s="847"/>
      <c r="M29" s="847"/>
      <c r="N29" s="1967"/>
    </row>
    <row r="30" spans="1:14" x14ac:dyDescent="0.25">
      <c r="A30" s="1968"/>
      <c r="B30" s="1980"/>
      <c r="C30" s="1982" t="s">
        <v>1541</v>
      </c>
      <c r="D30" s="847"/>
      <c r="E30" s="1981"/>
      <c r="F30" s="2443" t="s">
        <v>1490</v>
      </c>
      <c r="G30" s="2443"/>
      <c r="H30" s="2443"/>
      <c r="I30" s="847"/>
      <c r="J30" s="847"/>
      <c r="K30" s="847"/>
      <c r="L30" s="847"/>
      <c r="M30" s="847"/>
      <c r="N30" s="1967"/>
    </row>
    <row r="31" spans="1:14" x14ac:dyDescent="0.25">
      <c r="A31" s="1968"/>
      <c r="B31" s="1980"/>
      <c r="C31" s="1979"/>
      <c r="D31" s="847"/>
      <c r="E31" s="1978"/>
      <c r="F31" s="1977"/>
      <c r="G31" s="1977"/>
      <c r="H31" s="1977"/>
      <c r="I31" s="847"/>
      <c r="J31" s="847"/>
      <c r="K31" s="847"/>
      <c r="L31" s="847"/>
      <c r="M31" s="847"/>
      <c r="N31" s="1967"/>
    </row>
    <row r="32" spans="1:14" x14ac:dyDescent="0.25">
      <c r="A32" s="1968"/>
      <c r="B32" s="1976" t="s">
        <v>1026</v>
      </c>
      <c r="C32" s="847"/>
      <c r="D32" s="847"/>
      <c r="E32" s="847"/>
      <c r="F32" s="847"/>
      <c r="G32" s="847"/>
      <c r="H32" s="847"/>
      <c r="I32" s="847"/>
      <c r="J32" s="847"/>
      <c r="K32" s="847"/>
      <c r="L32" s="847"/>
      <c r="M32" s="847"/>
      <c r="N32" s="1967"/>
    </row>
    <row r="33" spans="1:14" x14ac:dyDescent="0.25">
      <c r="A33" s="1968"/>
      <c r="B33" s="1975"/>
      <c r="C33" s="847"/>
      <c r="D33" s="847"/>
      <c r="E33" s="847"/>
      <c r="F33" s="847"/>
      <c r="G33" s="847"/>
      <c r="H33" s="847"/>
      <c r="I33" s="847"/>
      <c r="J33" s="847"/>
      <c r="K33" s="847"/>
      <c r="L33" s="847"/>
      <c r="M33" s="847"/>
      <c r="N33" s="1967"/>
    </row>
    <row r="34" spans="1:14" x14ac:dyDescent="0.25">
      <c r="A34" s="1968"/>
      <c r="B34" s="1970"/>
      <c r="C34" s="2444" t="s">
        <v>2052</v>
      </c>
      <c r="D34" s="2444"/>
      <c r="E34" s="2444"/>
      <c r="F34" s="2444"/>
      <c r="G34" s="2444"/>
      <c r="H34" s="2444"/>
      <c r="I34" s="2444"/>
      <c r="J34" s="2444"/>
      <c r="K34" s="1974"/>
      <c r="L34" s="847"/>
      <c r="M34" s="847"/>
      <c r="N34" s="1967"/>
    </row>
    <row r="35" spans="1:14" x14ac:dyDescent="0.25">
      <c r="A35" s="1968"/>
      <c r="B35" s="847"/>
      <c r="C35" s="2444"/>
      <c r="D35" s="2444"/>
      <c r="E35" s="2444"/>
      <c r="F35" s="2444"/>
      <c r="G35" s="2444"/>
      <c r="H35" s="2444"/>
      <c r="I35" s="2444"/>
      <c r="J35" s="2444"/>
      <c r="K35" s="1974"/>
      <c r="L35" s="847"/>
      <c r="M35" s="847"/>
      <c r="N35" s="1967"/>
    </row>
    <row r="36" spans="1:14" x14ac:dyDescent="0.25">
      <c r="A36" s="1968"/>
      <c r="B36" s="847"/>
      <c r="C36" s="1973"/>
      <c r="D36" s="847"/>
      <c r="E36" s="847"/>
      <c r="F36" s="847"/>
      <c r="G36" s="847"/>
      <c r="H36" s="847"/>
      <c r="I36" s="847"/>
      <c r="J36" s="847"/>
      <c r="K36" s="847"/>
      <c r="L36" s="847"/>
      <c r="M36" s="847"/>
      <c r="N36" s="1967"/>
    </row>
    <row r="37" spans="1:14" x14ac:dyDescent="0.25">
      <c r="A37" s="1968"/>
      <c r="B37" s="1970"/>
      <c r="C37" s="2444" t="s">
        <v>2051</v>
      </c>
      <c r="D37" s="2444"/>
      <c r="E37" s="2444"/>
      <c r="F37" s="2444"/>
      <c r="G37" s="2444"/>
      <c r="H37" s="2444"/>
      <c r="I37" s="2444"/>
      <c r="J37" s="2444"/>
      <c r="K37" s="1974"/>
      <c r="L37" s="838"/>
      <c r="M37" s="847"/>
      <c r="N37" s="1967"/>
    </row>
    <row r="38" spans="1:14" x14ac:dyDescent="0.25">
      <c r="A38" s="1968"/>
      <c r="B38" s="847"/>
      <c r="C38" s="2444"/>
      <c r="D38" s="2444"/>
      <c r="E38" s="2444"/>
      <c r="F38" s="2444"/>
      <c r="G38" s="2444"/>
      <c r="H38" s="2444"/>
      <c r="I38" s="2444"/>
      <c r="J38" s="2444"/>
      <c r="K38" s="1974"/>
      <c r="L38" s="838"/>
      <c r="M38" s="847"/>
      <c r="N38" s="1967"/>
    </row>
    <row r="39" spans="1:14" x14ac:dyDescent="0.25">
      <c r="A39" s="1968"/>
      <c r="B39" s="847"/>
      <c r="C39" s="1973"/>
      <c r="D39" s="847"/>
      <c r="E39" s="1971"/>
      <c r="F39" s="1972"/>
      <c r="G39" s="1972"/>
      <c r="H39" s="1971"/>
      <c r="I39" s="847"/>
      <c r="J39" s="847"/>
      <c r="K39" s="847"/>
      <c r="L39" s="847"/>
      <c r="M39" s="847"/>
      <c r="N39" s="1967"/>
    </row>
    <row r="40" spans="1:14" x14ac:dyDescent="0.25">
      <c r="A40" s="1968"/>
      <c r="B40" s="1970"/>
      <c r="C40" s="2445" t="s">
        <v>2050</v>
      </c>
      <c r="D40" s="2446"/>
      <c r="E40" s="2446"/>
      <c r="F40" s="2446"/>
      <c r="G40" s="2446"/>
      <c r="H40" s="2446"/>
      <c r="I40" s="2446"/>
      <c r="J40" s="2446"/>
      <c r="K40" s="1969"/>
      <c r="L40" s="847"/>
      <c r="M40" s="847"/>
      <c r="N40" s="1967"/>
    </row>
    <row r="41" spans="1:14" x14ac:dyDescent="0.25">
      <c r="A41" s="1968"/>
      <c r="B41" s="847"/>
      <c r="C41" s="839"/>
      <c r="D41" s="839"/>
      <c r="E41" s="839"/>
      <c r="F41" s="839"/>
      <c r="G41" s="839"/>
      <c r="H41" s="839"/>
      <c r="I41" s="839"/>
      <c r="J41" s="839"/>
      <c r="K41" s="839"/>
      <c r="L41" s="847"/>
      <c r="M41" s="847"/>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7" t="s">
        <v>2049</v>
      </c>
      <c r="B43" s="2448"/>
      <c r="C43" s="2448"/>
      <c r="D43" s="2448"/>
      <c r="E43" s="2448"/>
      <c r="F43" s="2448"/>
      <c r="G43" s="2448"/>
      <c r="H43" s="2448"/>
      <c r="I43" s="2448"/>
      <c r="J43" s="2448"/>
      <c r="K43" s="2448"/>
      <c r="L43" s="2448"/>
      <c r="M43" s="2448"/>
      <c r="N43" s="2449"/>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2048</v>
      </c>
      <c r="B45" s="1954"/>
      <c r="C45" s="1954"/>
      <c r="D45" s="1954"/>
      <c r="E45" s="1954"/>
      <c r="F45" s="1954"/>
      <c r="G45" s="1954"/>
      <c r="H45" s="1954"/>
      <c r="I45" s="1954"/>
      <c r="J45" s="1954"/>
      <c r="K45" s="1954"/>
      <c r="L45" s="1954"/>
      <c r="M45" s="1954"/>
      <c r="N45" s="1953"/>
    </row>
    <row r="46" spans="1:14" x14ac:dyDescent="0.25">
      <c r="A46" s="2450" t="s">
        <v>2047</v>
      </c>
      <c r="B46" s="2451"/>
      <c r="C46" s="2451"/>
      <c r="D46" s="2451"/>
      <c r="E46" s="2451"/>
      <c r="F46" s="2451"/>
      <c r="G46" s="2451"/>
      <c r="H46" s="2451"/>
      <c r="I46" s="2451"/>
      <c r="J46" s="2451"/>
      <c r="K46" s="2451"/>
      <c r="L46" s="2451"/>
      <c r="M46" s="2451"/>
      <c r="N46" s="2452"/>
    </row>
    <row r="47" spans="1:14" x14ac:dyDescent="0.25">
      <c r="A47" s="2450"/>
      <c r="B47" s="2451"/>
      <c r="C47" s="2451"/>
      <c r="D47" s="2451"/>
      <c r="E47" s="2451"/>
      <c r="F47" s="2451"/>
      <c r="G47" s="2451"/>
      <c r="H47" s="2451"/>
      <c r="I47" s="2451"/>
      <c r="J47" s="2451"/>
      <c r="K47" s="2451"/>
      <c r="L47" s="2451"/>
      <c r="M47" s="2451"/>
      <c r="N47" s="2452"/>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2046</v>
      </c>
      <c r="B49" s="1960"/>
      <c r="C49" s="1960"/>
      <c r="D49" s="1959"/>
      <c r="E49" s="1959"/>
      <c r="F49" s="1959"/>
      <c r="G49" s="1959"/>
      <c r="H49" s="1959"/>
      <c r="I49" s="1959"/>
      <c r="J49" s="1959"/>
      <c r="K49" s="1959"/>
      <c r="L49" s="1959"/>
      <c r="M49" s="1959"/>
      <c r="N49" s="1958"/>
    </row>
    <row r="50" spans="1:14" x14ac:dyDescent="0.25">
      <c r="A50" s="1957" t="s">
        <v>2045</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1020</v>
      </c>
      <c r="L52" s="2437" t="str">
        <f>J6</f>
        <v xml:space="preserve"> Riley CCSD 18</v>
      </c>
      <c r="M52" s="2437"/>
      <c r="N52" s="2438"/>
    </row>
    <row r="53" spans="1:14" x14ac:dyDescent="0.25">
      <c r="A53" s="1955"/>
      <c r="B53" s="1954"/>
      <c r="C53" s="1954"/>
      <c r="D53" s="1954"/>
      <c r="E53" s="1954"/>
      <c r="F53" s="1954"/>
      <c r="G53" s="1954"/>
      <c r="H53" s="1954"/>
      <c r="I53" s="1954"/>
      <c r="J53" s="1954"/>
      <c r="K53" s="1956" t="s">
        <v>369</v>
      </c>
      <c r="L53" s="2455">
        <f>J7</f>
        <v>44063018004</v>
      </c>
      <c r="M53" s="2455"/>
      <c r="N53" s="2456"/>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7"/>
      <c r="B55" s="2458"/>
      <c r="C55" s="2458"/>
      <c r="D55" s="1937"/>
      <c r="E55" s="1937"/>
      <c r="F55" s="1937"/>
      <c r="G55" s="2459" t="s">
        <v>2044</v>
      </c>
      <c r="H55" s="2459"/>
      <c r="I55" s="2459"/>
      <c r="J55" s="2459"/>
      <c r="K55" s="2459"/>
      <c r="L55" s="2459"/>
      <c r="M55" s="2459"/>
      <c r="N55" s="2460"/>
    </row>
    <row r="56" spans="1:14" ht="64.5" x14ac:dyDescent="0.25">
      <c r="A56" s="2461" t="s">
        <v>2043</v>
      </c>
      <c r="B56" s="2462"/>
      <c r="C56" s="2463"/>
      <c r="D56" s="1951" t="s">
        <v>2042</v>
      </c>
      <c r="E56" s="1951" t="s">
        <v>2041</v>
      </c>
      <c r="F56" s="1952"/>
      <c r="G56" s="1951" t="s">
        <v>2040</v>
      </c>
      <c r="H56" s="1951" t="s">
        <v>2039</v>
      </c>
      <c r="I56" s="1951" t="s">
        <v>2038</v>
      </c>
      <c r="J56" s="1951" t="s">
        <v>2037</v>
      </c>
      <c r="K56" s="1951" t="s">
        <v>2036</v>
      </c>
      <c r="L56" s="1951" t="s">
        <v>2035</v>
      </c>
      <c r="M56" s="1951" t="s">
        <v>2034</v>
      </c>
      <c r="N56" s="1950" t="s">
        <v>2033</v>
      </c>
    </row>
    <row r="57" spans="1:14" ht="24" customHeight="1" x14ac:dyDescent="0.25">
      <c r="A57" s="2464" t="s">
        <v>296</v>
      </c>
      <c r="B57" s="2465"/>
      <c r="C57" s="2465"/>
      <c r="D57" s="1949">
        <v>2361</v>
      </c>
      <c r="E57" s="1948">
        <f>'Expenditures 15-22'!K319</f>
        <v>0</v>
      </c>
      <c r="F57" s="1941"/>
      <c r="G57" s="1947"/>
      <c r="H57" s="1946"/>
      <c r="I57" s="1946"/>
      <c r="J57" s="1946"/>
      <c r="K57" s="1946"/>
      <c r="L57" s="1946"/>
      <c r="M57" s="1946"/>
      <c r="N57" s="1938">
        <f t="shared" ref="N57:N67" si="3">IF((SUM(G57:M57))=E57,SUM(G57:M57),"Column N does not agree with Column E")</f>
        <v>0</v>
      </c>
    </row>
    <row r="58" spans="1:14" ht="24.75" customHeight="1" x14ac:dyDescent="0.25">
      <c r="A58" s="2466" t="s">
        <v>2032</v>
      </c>
      <c r="B58" s="2467"/>
      <c r="C58" s="2467"/>
      <c r="D58" s="1945">
        <v>2362</v>
      </c>
      <c r="E58" s="1948">
        <f>'Expenditures 15-22'!K320</f>
        <v>0</v>
      </c>
      <c r="F58" s="1941"/>
      <c r="G58" s="1944"/>
      <c r="H58" s="1943"/>
      <c r="I58" s="1943"/>
      <c r="J58" s="1943"/>
      <c r="K58" s="1943"/>
      <c r="L58" s="1943"/>
      <c r="M58" s="1943"/>
      <c r="N58" s="1938">
        <f t="shared" si="3"/>
        <v>0</v>
      </c>
    </row>
    <row r="59" spans="1:14" ht="24.75" customHeight="1" x14ac:dyDescent="0.25">
      <c r="A59" s="2453" t="s">
        <v>297</v>
      </c>
      <c r="B59" s="2454"/>
      <c r="C59" s="2454"/>
      <c r="D59" s="1945">
        <v>2363</v>
      </c>
      <c r="E59" s="1948">
        <f>'Expenditures 15-22'!K321</f>
        <v>0</v>
      </c>
      <c r="F59" s="1941"/>
      <c r="G59" s="1944"/>
      <c r="H59" s="1943"/>
      <c r="I59" s="1943"/>
      <c r="J59" s="1943"/>
      <c r="K59" s="1943"/>
      <c r="L59" s="1943"/>
      <c r="M59" s="1943"/>
      <c r="N59" s="1938">
        <f t="shared" si="3"/>
        <v>0</v>
      </c>
    </row>
    <row r="60" spans="1:14" ht="24.75" customHeight="1" x14ac:dyDescent="0.25">
      <c r="A60" s="2453" t="s">
        <v>236</v>
      </c>
      <c r="B60" s="2454"/>
      <c r="C60" s="2454"/>
      <c r="D60" s="1945">
        <v>2364</v>
      </c>
      <c r="E60" s="1948">
        <f>'Expenditures 15-22'!K322</f>
        <v>50404</v>
      </c>
      <c r="F60" s="1941"/>
      <c r="G60" s="1944"/>
      <c r="H60" s="1943"/>
      <c r="I60" s="1943"/>
      <c r="J60" s="1943"/>
      <c r="K60" s="1943"/>
      <c r="L60" s="1943"/>
      <c r="M60" s="1943">
        <v>50404</v>
      </c>
      <c r="N60" s="1938">
        <f t="shared" si="3"/>
        <v>50404</v>
      </c>
    </row>
    <row r="61" spans="1:14" ht="24.75" customHeight="1" x14ac:dyDescent="0.25">
      <c r="A61" s="2453" t="s">
        <v>696</v>
      </c>
      <c r="B61" s="2454"/>
      <c r="C61" s="2454"/>
      <c r="D61" s="1945">
        <v>2365</v>
      </c>
      <c r="E61" s="1948">
        <f>'Expenditures 15-22'!K323</f>
        <v>0</v>
      </c>
      <c r="F61" s="1941"/>
      <c r="G61" s="1944"/>
      <c r="H61" s="1943"/>
      <c r="I61" s="1943"/>
      <c r="J61" s="1943"/>
      <c r="K61" s="1943"/>
      <c r="L61" s="1943"/>
      <c r="M61" s="1943"/>
      <c r="N61" s="1938">
        <f t="shared" si="3"/>
        <v>0</v>
      </c>
    </row>
    <row r="62" spans="1:14" ht="24.75" customHeight="1" x14ac:dyDescent="0.25">
      <c r="A62" s="2453" t="s">
        <v>237</v>
      </c>
      <c r="B62" s="2454"/>
      <c r="C62" s="2454"/>
      <c r="D62" s="1945">
        <v>2366</v>
      </c>
      <c r="E62" s="1948">
        <f>'Expenditures 15-22'!K324</f>
        <v>0</v>
      </c>
      <c r="F62" s="1941"/>
      <c r="G62" s="1944"/>
      <c r="H62" s="1943"/>
      <c r="I62" s="1943"/>
      <c r="J62" s="1943"/>
      <c r="K62" s="1943"/>
      <c r="L62" s="1943"/>
      <c r="M62" s="1943"/>
      <c r="N62" s="1938">
        <f t="shared" si="3"/>
        <v>0</v>
      </c>
    </row>
    <row r="63" spans="1:14" ht="24.75" customHeight="1" x14ac:dyDescent="0.25">
      <c r="A63" s="2466" t="s">
        <v>1021</v>
      </c>
      <c r="B63" s="2467"/>
      <c r="C63" s="2467"/>
      <c r="D63" s="1945">
        <v>2367</v>
      </c>
      <c r="E63" s="1948">
        <f>'Expenditures 15-22'!K325</f>
        <v>0</v>
      </c>
      <c r="F63" s="1941"/>
      <c r="G63" s="1944"/>
      <c r="H63" s="1943"/>
      <c r="I63" s="1943"/>
      <c r="J63" s="1943"/>
      <c r="K63" s="1943"/>
      <c r="L63" s="1943"/>
      <c r="M63" s="1943"/>
      <c r="N63" s="1938">
        <f t="shared" si="3"/>
        <v>0</v>
      </c>
    </row>
    <row r="64" spans="1:14" ht="24.75" customHeight="1" x14ac:dyDescent="0.25">
      <c r="A64" s="2453" t="s">
        <v>1022</v>
      </c>
      <c r="B64" s="2454"/>
      <c r="C64" s="2454"/>
      <c r="D64" s="1945">
        <v>2368</v>
      </c>
      <c r="E64" s="1948">
        <f>'Expenditures 15-22'!K326</f>
        <v>0</v>
      </c>
      <c r="F64" s="1941"/>
      <c r="G64" s="1944"/>
      <c r="H64" s="1943"/>
      <c r="I64" s="1943"/>
      <c r="J64" s="1943"/>
      <c r="K64" s="1943"/>
      <c r="L64" s="1943"/>
      <c r="M64" s="1943"/>
      <c r="N64" s="1938">
        <f t="shared" si="3"/>
        <v>0</v>
      </c>
    </row>
    <row r="65" spans="1:14" ht="24" customHeight="1" x14ac:dyDescent="0.25">
      <c r="A65" s="2453" t="s">
        <v>964</v>
      </c>
      <c r="B65" s="2454"/>
      <c r="C65" s="2454"/>
      <c r="D65" s="1945">
        <v>2369</v>
      </c>
      <c r="E65" s="1948">
        <f>'Expenditures 15-22'!K327</f>
        <v>0</v>
      </c>
      <c r="F65" s="1941"/>
      <c r="G65" s="1944"/>
      <c r="H65" s="1943"/>
      <c r="I65" s="1943"/>
      <c r="J65" s="1943"/>
      <c r="K65" s="1943"/>
      <c r="L65" s="1943"/>
      <c r="M65" s="1943"/>
      <c r="N65" s="1938">
        <f t="shared" si="3"/>
        <v>0</v>
      </c>
    </row>
    <row r="66" spans="1:14" ht="24.75" customHeight="1" x14ac:dyDescent="0.25">
      <c r="A66" s="2453" t="s">
        <v>469</v>
      </c>
      <c r="B66" s="2454"/>
      <c r="C66" s="2454"/>
      <c r="D66" s="1945">
        <v>2371</v>
      </c>
      <c r="E66" s="1948">
        <f>'Expenditures 15-22'!K328</f>
        <v>0</v>
      </c>
      <c r="F66" s="1941"/>
      <c r="G66" s="1944"/>
      <c r="H66" s="1943"/>
      <c r="I66" s="1943"/>
      <c r="J66" s="1943"/>
      <c r="K66" s="1943"/>
      <c r="L66" s="1943"/>
      <c r="M66" s="1943"/>
      <c r="N66" s="1938">
        <f t="shared" si="3"/>
        <v>0</v>
      </c>
    </row>
    <row r="67" spans="1:14" ht="24.75" customHeight="1" x14ac:dyDescent="0.25">
      <c r="A67" s="2473" t="s">
        <v>2031</v>
      </c>
      <c r="B67" s="2474"/>
      <c r="C67" s="2474"/>
      <c r="D67" s="1942">
        <v>2372</v>
      </c>
      <c r="E67" s="1948">
        <f>'Expenditures 15-22'!K329</f>
        <v>0</v>
      </c>
      <c r="F67" s="1941"/>
      <c r="G67" s="1940"/>
      <c r="H67" s="1939"/>
      <c r="I67" s="1939"/>
      <c r="J67" s="1939"/>
      <c r="K67" s="1939"/>
      <c r="L67" s="1939"/>
      <c r="M67" s="1939"/>
      <c r="N67" s="1938">
        <f t="shared" si="3"/>
        <v>0</v>
      </c>
    </row>
    <row r="68" spans="1:14" x14ac:dyDescent="0.25">
      <c r="A68" s="2475" t="s">
        <v>1150</v>
      </c>
      <c r="B68" s="2476"/>
      <c r="C68" s="2476"/>
      <c r="D68" s="1937"/>
      <c r="E68" s="1935">
        <f>SUM(E57:E67)</f>
        <v>50404</v>
      </c>
      <c r="F68" s="1936"/>
      <c r="G68" s="1935">
        <f t="shared" ref="G68:N68" si="4">SUM(G57:G67)</f>
        <v>0</v>
      </c>
      <c r="H68" s="1935">
        <f t="shared" si="4"/>
        <v>0</v>
      </c>
      <c r="I68" s="1935">
        <f t="shared" si="4"/>
        <v>0</v>
      </c>
      <c r="J68" s="1935">
        <f t="shared" si="4"/>
        <v>0</v>
      </c>
      <c r="K68" s="1935">
        <f t="shared" si="4"/>
        <v>0</v>
      </c>
      <c r="L68" s="1935">
        <f t="shared" si="4"/>
        <v>0</v>
      </c>
      <c r="M68" s="1935">
        <f t="shared" si="4"/>
        <v>50404</v>
      </c>
      <c r="N68" s="1934">
        <f t="shared" si="4"/>
        <v>50404</v>
      </c>
    </row>
    <row r="69" spans="1:14" x14ac:dyDescent="0.25">
      <c r="A69" s="1930"/>
      <c r="B69" s="1929"/>
      <c r="C69" s="1929"/>
      <c r="D69" s="1929"/>
      <c r="E69" s="1929"/>
      <c r="F69" s="1929"/>
      <c r="G69" s="1929"/>
      <c r="H69" s="1933" t="s">
        <v>2030</v>
      </c>
      <c r="I69" s="1929"/>
      <c r="J69" s="1929"/>
      <c r="K69" s="1929"/>
      <c r="L69" s="1933" t="s">
        <v>2029</v>
      </c>
      <c r="M69" s="1929"/>
      <c r="N69" s="1932"/>
    </row>
    <row r="70" spans="1:14" ht="46.5" customHeight="1" x14ac:dyDescent="0.25">
      <c r="A70" s="1931" t="s">
        <v>2028</v>
      </c>
      <c r="B70" s="1929"/>
      <c r="C70" s="1929"/>
      <c r="D70" s="1929"/>
      <c r="E70" s="1929"/>
      <c r="F70" s="1929"/>
      <c r="G70" s="1929"/>
      <c r="H70" s="2469" t="s">
        <v>2027</v>
      </c>
      <c r="I70" s="2469"/>
      <c r="J70" s="2469"/>
      <c r="K70" s="1929"/>
      <c r="L70" s="2469" t="s">
        <v>2026</v>
      </c>
      <c r="M70" s="2469"/>
      <c r="N70" s="2470"/>
    </row>
    <row r="71" spans="1:14" ht="42.75" customHeight="1" x14ac:dyDescent="0.25">
      <c r="A71" s="1930"/>
      <c r="B71" s="1929"/>
      <c r="C71" s="1929"/>
      <c r="D71" s="1929"/>
      <c r="E71" s="1929"/>
      <c r="F71" s="1929"/>
      <c r="G71" s="1929"/>
      <c r="H71" s="2469" t="s">
        <v>2025</v>
      </c>
      <c r="I71" s="2469"/>
      <c r="J71" s="2469"/>
      <c r="K71" s="1929"/>
      <c r="L71" s="2471" t="s">
        <v>2024</v>
      </c>
      <c r="M71" s="2471"/>
      <c r="N71" s="2472"/>
    </row>
    <row r="72" spans="1:14" ht="52.5" customHeight="1" thickBot="1" x14ac:dyDescent="0.3">
      <c r="A72" s="1928"/>
      <c r="B72" s="1927"/>
      <c r="C72" s="1927"/>
      <c r="D72" s="1927"/>
      <c r="E72" s="1927"/>
      <c r="F72" s="1927"/>
      <c r="G72" s="1927"/>
      <c r="H72" s="2468" t="s">
        <v>2023</v>
      </c>
      <c r="I72" s="2468"/>
      <c r="J72" s="2468"/>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C65"/>
  <sheetViews>
    <sheetView showGridLines="0" zoomScaleNormal="100" workbookViewId="0">
      <selection activeCell="B4" sqref="B4"/>
    </sheetView>
  </sheetViews>
  <sheetFormatPr defaultColWidth="9.140625" defaultRowHeight="12.75" x14ac:dyDescent="0.2"/>
  <cols>
    <col min="1" max="1" width="3" style="307" customWidth="1"/>
    <col min="2" max="2" width="83" style="307" customWidth="1"/>
    <col min="3" max="3" width="39.28515625" style="307" customWidth="1"/>
    <col min="4" max="16384" width="9.140625" style="307"/>
  </cols>
  <sheetData>
    <row r="2" spans="1:3" x14ac:dyDescent="0.2">
      <c r="A2" s="366" t="s">
        <v>256</v>
      </c>
    </row>
    <row r="3" spans="1:3" x14ac:dyDescent="0.2">
      <c r="A3" s="307" t="s">
        <v>257</v>
      </c>
    </row>
    <row r="5" spans="1:3" x14ac:dyDescent="0.2">
      <c r="A5" s="840">
        <v>1</v>
      </c>
      <c r="B5" s="307" t="s">
        <v>2094</v>
      </c>
      <c r="C5" s="307" t="s">
        <v>2095</v>
      </c>
    </row>
    <row r="6" spans="1:3" x14ac:dyDescent="0.2">
      <c r="A6" s="840">
        <v>2</v>
      </c>
      <c r="B6" s="307" t="s">
        <v>2070</v>
      </c>
      <c r="C6" s="307" t="s">
        <v>2096</v>
      </c>
    </row>
    <row r="7" spans="1:3" x14ac:dyDescent="0.2">
      <c r="A7" s="840">
        <v>3</v>
      </c>
      <c r="B7" s="307" t="s">
        <v>2071</v>
      </c>
      <c r="C7" s="307" t="s">
        <v>2097</v>
      </c>
    </row>
    <row r="8" spans="1:3" x14ac:dyDescent="0.2">
      <c r="A8" s="840">
        <v>4</v>
      </c>
      <c r="B8" s="307" t="s">
        <v>2072</v>
      </c>
      <c r="C8" s="307" t="s">
        <v>2098</v>
      </c>
    </row>
    <row r="9" spans="1:3" x14ac:dyDescent="0.2">
      <c r="A9" s="840">
        <v>5</v>
      </c>
      <c r="B9" s="307" t="s">
        <v>2073</v>
      </c>
      <c r="C9" s="307" t="s">
        <v>2099</v>
      </c>
    </row>
    <row r="10" spans="1:3" x14ac:dyDescent="0.2">
      <c r="A10" s="840">
        <v>6</v>
      </c>
      <c r="B10" s="307" t="s">
        <v>2074</v>
      </c>
      <c r="C10" s="307" t="s">
        <v>2100</v>
      </c>
    </row>
    <row r="11" spans="1:3" x14ac:dyDescent="0.2">
      <c r="A11" s="841"/>
    </row>
    <row r="12" spans="1:3" x14ac:dyDescent="0.2">
      <c r="A12" s="841"/>
    </row>
    <row r="13" spans="1:3" x14ac:dyDescent="0.2">
      <c r="A13" s="841"/>
    </row>
    <row r="14" spans="1:3" x14ac:dyDescent="0.2">
      <c r="A14" s="841"/>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Riley CCSD 18</v>
      </c>
    </row>
    <row r="65" spans="2:2" x14ac:dyDescent="0.2">
      <c r="B65" s="842">
        <f>COVER!A13</f>
        <v>44063018004</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58" t="s">
        <v>1055</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685</v>
      </c>
      <c r="B40" s="2155"/>
      <c r="C40" s="2155"/>
      <c r="D40" s="2155"/>
      <c r="E40" s="2155"/>
    </row>
    <row r="41" spans="1:5" x14ac:dyDescent="0.2">
      <c r="A41" s="2156" t="s">
        <v>1588</v>
      </c>
      <c r="B41" s="2156"/>
      <c r="C41" s="2156"/>
      <c r="D41" s="2156"/>
      <c r="E41" s="2156"/>
    </row>
    <row r="42" spans="1:5" ht="12.75" customHeight="1" x14ac:dyDescent="0.2">
      <c r="A42" s="2157" t="s">
        <v>1014</v>
      </c>
      <c r="B42" s="2157"/>
      <c r="C42" s="2157"/>
      <c r="D42" s="2157"/>
      <c r="E42" s="2157"/>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4" sqref="C14"/>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77" t="s">
        <v>1662</v>
      </c>
      <c r="B18" s="24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2" r:id="rId4">
          <objectPr defaultSize="0" r:id="rId5">
            <anchor moveWithCells="1">
              <from>
                <xdr:col>0</xdr:col>
                <xdr:colOff>76200</xdr:colOff>
                <xdr:row>5</xdr:row>
                <xdr:rowOff>104775</xdr:rowOff>
              </from>
              <to>
                <xdr:col>1</xdr:col>
                <xdr:colOff>904875</xdr:colOff>
                <xdr:row>10</xdr:row>
                <xdr:rowOff>95250</xdr:rowOff>
              </to>
            </anchor>
          </objectPr>
        </oleObject>
      </mc:Choice>
      <mc:Fallback>
        <oleObject progId="Acrobat Document" dvAspect="DVASPECT_ICON" shapeId="43012" r:id="rId4"/>
      </mc:Fallback>
    </mc:AlternateContent>
    <mc:AlternateContent xmlns:mc="http://schemas.openxmlformats.org/markup-compatibility/2006">
      <mc:Choice Requires="x14">
        <oleObject progId="Acrobat Document" dvAspect="DVASPECT_ICON" shapeId="43013" r:id="rId6">
          <objectPr defaultSize="0" r:id="rId7">
            <anchor moveWithCells="1">
              <from>
                <xdr:col>1</xdr:col>
                <xdr:colOff>1152525</xdr:colOff>
                <xdr:row>5</xdr:row>
                <xdr:rowOff>123825</xdr:rowOff>
              </from>
              <to>
                <xdr:col>1</xdr:col>
                <xdr:colOff>2105025</xdr:colOff>
                <xdr:row>10</xdr:row>
                <xdr:rowOff>114300</xdr:rowOff>
              </to>
            </anchor>
          </objectPr>
        </oleObject>
      </mc:Choice>
      <mc:Fallback>
        <oleObject progId="Acrobat Document" dvAspect="DVASPECT_ICON" shapeId="4301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8" t="s">
        <v>1666</v>
      </c>
      <c r="B1" s="2479"/>
      <c r="C1" s="2479"/>
      <c r="D1" s="2479"/>
      <c r="E1" s="2479"/>
      <c r="F1" s="2480"/>
    </row>
    <row r="2" spans="1:8" ht="45" customHeight="1" x14ac:dyDescent="0.2">
      <c r="A2" s="248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9"/>
      <c r="C2" s="2489"/>
      <c r="D2" s="2489"/>
      <c r="E2" s="2489"/>
      <c r="F2" s="2490"/>
      <c r="G2" s="846"/>
      <c r="H2" s="846"/>
    </row>
    <row r="3" spans="1:8" ht="57" customHeight="1" x14ac:dyDescent="0.2">
      <c r="A3" s="2491" t="s">
        <v>1969</v>
      </c>
      <c r="B3" s="2492"/>
      <c r="C3" s="2492"/>
      <c r="D3" s="2492"/>
      <c r="E3" s="2492"/>
      <c r="F3" s="2493"/>
      <c r="G3" s="846"/>
      <c r="H3" s="846"/>
    </row>
    <row r="4" spans="1:8" ht="14.25" customHeight="1" x14ac:dyDescent="0.2">
      <c r="A4" s="249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8"/>
      <c r="C4" s="2498"/>
      <c r="D4" s="2498"/>
      <c r="E4" s="2498"/>
      <c r="F4" s="2499"/>
      <c r="G4" s="846"/>
      <c r="H4" s="846"/>
    </row>
    <row r="5" spans="1:8" ht="14.25" customHeight="1" x14ac:dyDescent="0.2">
      <c r="A5" s="250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1"/>
      <c r="C5" s="2501"/>
      <c r="D5" s="2501"/>
      <c r="E5" s="2501"/>
      <c r="F5" s="2502"/>
      <c r="G5" s="846"/>
      <c r="H5" s="846"/>
    </row>
    <row r="6" spans="1:8" s="847" customFormat="1" ht="41.25" customHeight="1" x14ac:dyDescent="0.2">
      <c r="A6" s="2494" t="s">
        <v>1667</v>
      </c>
      <c r="B6" s="2495"/>
      <c r="C6" s="2495"/>
      <c r="D6" s="2495"/>
      <c r="E6" s="2495"/>
      <c r="F6" s="2496"/>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3852554</v>
      </c>
      <c r="C8" s="1802">
        <f>'Acct Summary 7-8'!D8</f>
        <v>637862</v>
      </c>
      <c r="D8" s="1802">
        <f>'Acct Summary 7-8'!F8</f>
        <v>225027</v>
      </c>
      <c r="E8" s="1802">
        <f>'Acct Summary 7-8'!I8</f>
        <v>22049</v>
      </c>
      <c r="F8" s="1802">
        <f>SUM(B8:E8)</f>
        <v>4737492</v>
      </c>
    </row>
    <row r="9" spans="1:8" s="851" customFormat="1" ht="14.25" customHeight="1" thickBot="1" x14ac:dyDescent="0.25">
      <c r="A9" s="850" t="s">
        <v>1351</v>
      </c>
      <c r="B9" s="1803">
        <f>'Acct Summary 7-8'!C17</f>
        <v>3249401</v>
      </c>
      <c r="C9" s="1803">
        <f>'Acct Summary 7-8'!D17</f>
        <v>217556</v>
      </c>
      <c r="D9" s="1803">
        <f>'Acct Summary 7-8'!F17</f>
        <v>240650</v>
      </c>
      <c r="E9" s="1802"/>
      <c r="F9" s="1802">
        <f>SUM(B9:E9)</f>
        <v>3707607</v>
      </c>
    </row>
    <row r="10" spans="1:8" s="851" customFormat="1" ht="14.25" thickTop="1" thickBot="1" x14ac:dyDescent="0.25">
      <c r="A10" s="852" t="s">
        <v>1352</v>
      </c>
      <c r="B10" s="1804">
        <f>(B8-B9)</f>
        <v>603153</v>
      </c>
      <c r="C10" s="1804">
        <f>(C8-C9)</f>
        <v>420306</v>
      </c>
      <c r="D10" s="1804">
        <f>(D8-D9)</f>
        <v>-15623</v>
      </c>
      <c r="E10" s="1803">
        <f>(E8-E9)</f>
        <v>22049</v>
      </c>
      <c r="F10" s="1805">
        <f>SUM(F8-F9)</f>
        <v>1029885</v>
      </c>
    </row>
    <row r="11" spans="1:8" s="851" customFormat="1" ht="14.25" thickTop="1" thickBot="1" x14ac:dyDescent="0.25">
      <c r="A11" s="853" t="s">
        <v>1900</v>
      </c>
      <c r="B11" s="1806">
        <f>'Acct Summary 7-8'!C81</f>
        <v>7896225</v>
      </c>
      <c r="C11" s="1806">
        <f>'Acct Summary 7-8'!D81</f>
        <v>606243</v>
      </c>
      <c r="D11" s="1806">
        <f>'Acct Summary 7-8'!F81</f>
        <v>578995</v>
      </c>
      <c r="E11" s="1806">
        <f>'Acct Summary 7-8'!I81</f>
        <v>45136</v>
      </c>
      <c r="F11" s="1807">
        <f>SUM(B11:E11)</f>
        <v>9126599</v>
      </c>
    </row>
    <row r="12" spans="1:8" ht="16.5" customHeight="1" thickTop="1" x14ac:dyDescent="0.2">
      <c r="A12" s="854"/>
      <c r="B12" s="855"/>
      <c r="C12" s="2482" t="str">
        <f>IF(AND(F10&lt;0,F11&gt;=0,ABS(F10*3)&gt;ABS(F11)),A16,IF(AND(F10&lt;0,F11&gt;0,ABS(F10*3)&lt;=ABS(F11)),A17,IF(AND(F10&lt;0,F11&lt;0),A16,IF(F11=0,A19,A18))))</f>
        <v>Balanced - no deficit reduction plan is required.</v>
      </c>
      <c r="D12" s="2483"/>
      <c r="E12" s="2483"/>
      <c r="F12" s="2484"/>
    </row>
    <row r="13" spans="1:8" ht="19.5" customHeight="1" x14ac:dyDescent="0.2">
      <c r="A13" s="856"/>
      <c r="B13" s="857"/>
      <c r="C13" s="2482"/>
      <c r="D13" s="2483"/>
      <c r="E13" s="2483"/>
      <c r="F13" s="2484"/>
      <c r="H13" s="846"/>
    </row>
    <row r="14" spans="1:8" ht="19.5" customHeight="1" x14ac:dyDescent="0.2">
      <c r="A14" s="856"/>
      <c r="B14" s="857"/>
      <c r="C14" s="2482"/>
      <c r="D14" s="2483"/>
      <c r="E14" s="2483"/>
      <c r="F14" s="2484"/>
      <c r="H14" s="846"/>
    </row>
    <row r="15" spans="1:8" ht="17.25" customHeight="1" x14ac:dyDescent="0.2">
      <c r="A15" s="856"/>
      <c r="B15" s="857"/>
      <c r="C15" s="2485"/>
      <c r="D15" s="2486"/>
      <c r="E15" s="2486"/>
      <c r="F15" s="2487"/>
      <c r="H15" s="846"/>
    </row>
    <row r="16" spans="1:8" s="288" customFormat="1" ht="51.75" hidden="1" customHeight="1" x14ac:dyDescent="0.2">
      <c r="A16" s="2481" t="s">
        <v>1663</v>
      </c>
      <c r="B16" s="2481"/>
      <c r="C16" s="2481"/>
      <c r="D16" s="2481"/>
      <c r="E16" s="2481"/>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I82" sqref="I82"/>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3" t="s">
        <v>660</v>
      </c>
      <c r="B3" s="2504"/>
      <c r="C3" s="2504"/>
      <c r="D3" s="2505"/>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4" t="s">
        <v>1484</v>
      </c>
      <c r="D7" s="2515"/>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6" t="s">
        <v>1000</v>
      </c>
      <c r="B15" s="2507"/>
      <c r="C15" s="2507"/>
      <c r="D15" s="2508"/>
    </row>
    <row r="16" spans="1:4" s="542" customFormat="1" ht="24" customHeight="1" x14ac:dyDescent="0.2">
      <c r="A16" s="2509" t="s">
        <v>658</v>
      </c>
      <c r="B16" s="2510"/>
      <c r="C16" s="2510"/>
      <c r="D16" s="2511"/>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18" t="s">
        <v>311</v>
      </c>
      <c r="D21" s="2519"/>
    </row>
    <row r="22" spans="1:10" ht="12.75" x14ac:dyDescent="0.2">
      <c r="A22" s="911"/>
      <c r="B22" s="912">
        <v>2</v>
      </c>
      <c r="C22" s="2516" t="s">
        <v>1504</v>
      </c>
      <c r="D22" s="2517"/>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0" t="s">
        <v>533</v>
      </c>
      <c r="D43" s="2521"/>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2" t="s">
        <v>778</v>
      </c>
      <c r="D56" s="2513"/>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2" t="s">
        <v>1671</v>
      </c>
      <c r="D70" s="2513"/>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44063018004</v>
      </c>
      <c r="E2" s="1535">
        <v>2020</v>
      </c>
      <c r="F2" s="1535">
        <v>1</v>
      </c>
      <c r="G2" s="1886">
        <v>101000300</v>
      </c>
    </row>
    <row r="3" spans="1:7" ht="15" x14ac:dyDescent="0.25">
      <c r="A3" t="s">
        <v>949</v>
      </c>
      <c r="B3" s="135" t="str">
        <f>COVER!A15</f>
        <v>MCHENRY</v>
      </c>
      <c r="E3" s="1819" t="s">
        <v>1968</v>
      </c>
      <c r="F3" s="1819" t="s">
        <v>1967</v>
      </c>
      <c r="G3" s="1886">
        <v>101000400</v>
      </c>
    </row>
    <row r="4" spans="1:7" ht="15" x14ac:dyDescent="0.25">
      <c r="A4" t="s">
        <v>999</v>
      </c>
      <c r="B4" s="135" t="str">
        <f>COVER!A17</f>
        <v xml:space="preserve"> Riley CCSD 18</v>
      </c>
      <c r="E4" s="1817">
        <v>44119</v>
      </c>
      <c r="F4" s="1818">
        <v>44151</v>
      </c>
      <c r="G4" s="1886">
        <v>101000600</v>
      </c>
    </row>
    <row r="5" spans="1:7" ht="15" x14ac:dyDescent="0.25">
      <c r="A5" t="s">
        <v>698</v>
      </c>
      <c r="B5" s="135" t="str">
        <f>COVER!A38</f>
        <v>CHRISTINE CONKLING</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CHERYDEN JUERGENSEN</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30</v>
      </c>
      <c r="D76" s="2" t="str">
        <f t="shared" si="0"/>
        <v>Error?</v>
      </c>
      <c r="G76" s="1886">
        <v>102570600</v>
      </c>
    </row>
    <row r="77" spans="1:7" ht="15" x14ac:dyDescent="0.25">
      <c r="A77" s="5">
        <v>16</v>
      </c>
      <c r="B77" s="1821">
        <f>'Assets-Liab 5-6'!C13</f>
        <v>7896225</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0</v>
      </c>
      <c r="C91" s="2" t="s">
        <v>569</v>
      </c>
      <c r="D91" s="2" t="str">
        <f t="shared" si="0"/>
        <v>Error?</v>
      </c>
      <c r="G91" s="1886">
        <v>102640400</v>
      </c>
    </row>
    <row r="92" spans="1:7" ht="15" x14ac:dyDescent="0.25">
      <c r="A92" s="5">
        <v>31</v>
      </c>
      <c r="B92" s="1821">
        <f>'Assets-Liab 5-6'!C39</f>
        <v>7896225</v>
      </c>
      <c r="D92" s="2" t="str">
        <f t="shared" si="0"/>
        <v>Error?</v>
      </c>
      <c r="G92" s="1886">
        <v>102640600</v>
      </c>
    </row>
    <row r="93" spans="1:7" ht="15" x14ac:dyDescent="0.25">
      <c r="A93" s="5">
        <v>32</v>
      </c>
      <c r="B93" s="1821">
        <f>'Assets-Liab 5-6'!C41</f>
        <v>7896225</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606243</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606243</v>
      </c>
      <c r="D123" s="2" t="str">
        <f t="shared" si="0"/>
        <v>Error?</v>
      </c>
      <c r="G123" s="1886">
        <v>203000400</v>
      </c>
    </row>
    <row r="124" spans="1:7" ht="15" x14ac:dyDescent="0.25">
      <c r="A124" s="5">
        <v>63</v>
      </c>
      <c r="B124" s="1821">
        <f>'Assets-Liab 5-6'!D41</f>
        <v>606243</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578995</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578995</v>
      </c>
      <c r="D170" s="2" t="str">
        <f t="shared" si="1"/>
        <v>Error?</v>
      </c>
    </row>
    <row r="171" spans="1:4" x14ac:dyDescent="0.2">
      <c r="A171" s="5">
        <v>110</v>
      </c>
      <c r="B171" s="1821">
        <f>'Assets-Liab 5-6'!F41</f>
        <v>578995</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223683</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223683</v>
      </c>
      <c r="D189" s="2" t="str">
        <f t="shared" si="1"/>
        <v>Error?</v>
      </c>
    </row>
    <row r="190" spans="1:4" x14ac:dyDescent="0.2">
      <c r="A190" s="5">
        <v>129</v>
      </c>
      <c r="B190" s="1821">
        <f>'Assets-Liab 5-6'!G41</f>
        <v>223683</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1969835</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1969835</v>
      </c>
      <c r="D212" s="2" t="str">
        <f t="shared" si="2"/>
        <v>Error?</v>
      </c>
    </row>
    <row r="213" spans="1:4" x14ac:dyDescent="0.2">
      <c r="A213" s="12">
        <v>152</v>
      </c>
      <c r="B213" s="1821">
        <f>'Assets-Liab 5-6'!H41</f>
        <v>1969835</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25000</v>
      </c>
      <c r="D273" s="2" t="str">
        <f t="shared" si="3"/>
        <v>Error?</v>
      </c>
    </row>
    <row r="274" spans="1:4" x14ac:dyDescent="0.2">
      <c r="A274" s="5">
        <v>213</v>
      </c>
      <c r="B274" s="1821">
        <f>'Assets-Liab 5-6'!M17</f>
        <v>3802617</v>
      </c>
      <c r="D274" s="2" t="str">
        <f t="shared" si="3"/>
        <v>Error?</v>
      </c>
    </row>
    <row r="275" spans="1:4" x14ac:dyDescent="0.2">
      <c r="A275" s="5">
        <v>214</v>
      </c>
      <c r="B275" s="1821">
        <f>'Assets-Liab 5-6'!M18</f>
        <v>225937</v>
      </c>
      <c r="D275" s="2" t="str">
        <f t="shared" si="3"/>
        <v>Error?</v>
      </c>
    </row>
    <row r="276" spans="1:4" x14ac:dyDescent="0.2">
      <c r="A276" s="5">
        <v>215</v>
      </c>
      <c r="B276" s="1821">
        <f>'Assets-Liab 5-6'!M19</f>
        <v>1427405</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6035137</v>
      </c>
      <c r="C279" s="2" t="s">
        <v>569</v>
      </c>
      <c r="D279" s="2" t="str">
        <f t="shared" si="3"/>
        <v>Error?</v>
      </c>
    </row>
    <row r="280" spans="1:4" x14ac:dyDescent="0.2">
      <c r="A280" s="5">
        <v>219</v>
      </c>
      <c r="B280" s="1821">
        <f>'Assets-Liab 5-6'!M40</f>
        <v>6035137</v>
      </c>
      <c r="D280" s="2" t="str">
        <f t="shared" si="3"/>
        <v>Error?</v>
      </c>
    </row>
    <row r="281" spans="1:4" x14ac:dyDescent="0.2">
      <c r="A281" s="5">
        <v>220</v>
      </c>
      <c r="B281" s="1821">
        <f>'Assets-Liab 5-6'!M41</f>
        <v>6035137</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1422340</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24225</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1728254</v>
      </c>
      <c r="C720" s="2" t="s">
        <v>569</v>
      </c>
      <c r="D720" s="2" t="str">
        <f t="shared" si="10"/>
        <v>Error?</v>
      </c>
    </row>
    <row r="721" spans="1:4" x14ac:dyDescent="0.2">
      <c r="A721" s="5">
        <v>660</v>
      </c>
      <c r="B721" s="1821">
        <f>'Expenditures 15-22'!C36</f>
        <v>48352</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0</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48352</v>
      </c>
      <c r="C727" s="2" t="s">
        <v>569</v>
      </c>
      <c r="D727" s="2" t="str">
        <f t="shared" si="10"/>
        <v>Error?</v>
      </c>
    </row>
    <row r="728" spans="1:4" x14ac:dyDescent="0.2">
      <c r="A728" s="5">
        <v>667</v>
      </c>
      <c r="B728" s="1821">
        <f>'Expenditures 15-22'!C44</f>
        <v>0</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0</v>
      </c>
      <c r="C731" s="2" t="s">
        <v>569</v>
      </c>
      <c r="D731" s="2" t="str">
        <f t="shared" si="10"/>
        <v>Error?</v>
      </c>
    </row>
    <row r="732" spans="1:4" x14ac:dyDescent="0.2">
      <c r="A732" s="5">
        <v>671</v>
      </c>
      <c r="B732" s="1821">
        <f>'Expenditures 15-22'!C49</f>
        <v>6176</v>
      </c>
      <c r="D732" s="2" t="str">
        <f t="shared" si="10"/>
        <v>Error?</v>
      </c>
    </row>
    <row r="733" spans="1:4" x14ac:dyDescent="0.2">
      <c r="A733" s="5">
        <v>672</v>
      </c>
      <c r="B733" s="1821">
        <f>'Expenditures 15-22'!C50</f>
        <v>158351</v>
      </c>
      <c r="D733" s="2" t="str">
        <f t="shared" si="10"/>
        <v>Error?</v>
      </c>
    </row>
    <row r="734" spans="1:4" x14ac:dyDescent="0.2">
      <c r="A734" s="5">
        <v>673</v>
      </c>
      <c r="B734" s="1821">
        <f>'Expenditures 15-22'!C53</f>
        <v>164527</v>
      </c>
      <c r="C734" s="2" t="s">
        <v>569</v>
      </c>
      <c r="D734" s="2" t="str">
        <f t="shared" si="10"/>
        <v>Error?</v>
      </c>
    </row>
    <row r="735" spans="1:4" x14ac:dyDescent="0.2">
      <c r="A735" s="5">
        <v>674</v>
      </c>
      <c r="B735" s="1821">
        <f>'Expenditures 15-22'!C55</f>
        <v>108322</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108322</v>
      </c>
      <c r="C737" s="2" t="s">
        <v>569</v>
      </c>
      <c r="D737" s="2" t="str">
        <f t="shared" si="10"/>
        <v>Error?</v>
      </c>
    </row>
    <row r="738" spans="1:4" x14ac:dyDescent="0.2">
      <c r="A738" s="5">
        <v>677</v>
      </c>
      <c r="B738" s="1821">
        <f>'Expenditures 15-22'!C59</f>
        <v>0</v>
      </c>
      <c r="D738" s="2" t="str">
        <f t="shared" si="10"/>
        <v>Error?</v>
      </c>
    </row>
    <row r="739" spans="1:4" x14ac:dyDescent="0.2">
      <c r="A739" s="5">
        <v>678</v>
      </c>
      <c r="B739" s="1821">
        <f>'Expenditures 15-22'!C60</f>
        <v>61460</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32287</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93747</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414948</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2143202</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365645</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2227</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408164</v>
      </c>
      <c r="C778" s="2" t="s">
        <v>569</v>
      </c>
      <c r="D778" s="2" t="str">
        <f t="shared" si="11"/>
        <v>Error?</v>
      </c>
    </row>
    <row r="779" spans="1:4" x14ac:dyDescent="0.2">
      <c r="A779" s="5">
        <v>718</v>
      </c>
      <c r="B779" s="1821">
        <f>'Expenditures 15-22'!D36</f>
        <v>5595</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0</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5595</v>
      </c>
      <c r="C785" s="2" t="s">
        <v>569</v>
      </c>
      <c r="D785" s="2" t="str">
        <f t="shared" si="11"/>
        <v>Error?</v>
      </c>
    </row>
    <row r="786" spans="1:4" x14ac:dyDescent="0.2">
      <c r="A786" s="5">
        <v>725</v>
      </c>
      <c r="B786" s="1821">
        <f>'Expenditures 15-22'!D44</f>
        <v>0</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0</v>
      </c>
      <c r="C789" s="2" t="s">
        <v>569</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17629</v>
      </c>
      <c r="D791" s="2" t="str">
        <f t="shared" si="11"/>
        <v>Error?</v>
      </c>
    </row>
    <row r="792" spans="1:4" x14ac:dyDescent="0.2">
      <c r="A792" s="5">
        <v>731</v>
      </c>
      <c r="B792" s="1821">
        <f>'Expenditures 15-22'!D53</f>
        <v>17629</v>
      </c>
      <c r="C792" s="2" t="s">
        <v>569</v>
      </c>
      <c r="D792" s="2" t="str">
        <f t="shared" si="11"/>
        <v>Error?</v>
      </c>
    </row>
    <row r="793" spans="1:4" x14ac:dyDescent="0.2">
      <c r="A793" s="5">
        <v>732</v>
      </c>
      <c r="B793" s="1821">
        <f>'Expenditures 15-22'!D55</f>
        <v>7846</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7846</v>
      </c>
      <c r="C795" s="2" t="s">
        <v>569</v>
      </c>
      <c r="D795" s="2" t="str">
        <f t="shared" si="11"/>
        <v>Error?</v>
      </c>
    </row>
    <row r="796" spans="1:4" x14ac:dyDescent="0.2">
      <c r="A796" s="5">
        <v>735</v>
      </c>
      <c r="B796" s="1821">
        <f>'Expenditures 15-22'!D59</f>
        <v>0</v>
      </c>
      <c r="D796" s="2" t="str">
        <f t="shared" si="11"/>
        <v>Error?</v>
      </c>
    </row>
    <row r="797" spans="1:4" x14ac:dyDescent="0.2">
      <c r="A797" s="5">
        <v>736</v>
      </c>
      <c r="B797" s="1821">
        <f>'Expenditures 15-22'!D60</f>
        <v>0</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0</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31070</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439234</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37249</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37249</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15246</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15246</v>
      </c>
      <c r="C843" s="2" t="s">
        <v>569</v>
      </c>
      <c r="D843" s="2" t="str">
        <f t="shared" si="12"/>
        <v>Error?</v>
      </c>
    </row>
    <row r="844" spans="1:4" x14ac:dyDescent="0.2">
      <c r="A844" s="5">
        <v>783</v>
      </c>
      <c r="B844" s="1821">
        <f>'Expenditures 15-22'!E44</f>
        <v>4643</v>
      </c>
      <c r="D844" s="2" t="str">
        <f t="shared" si="12"/>
        <v>Error?</v>
      </c>
    </row>
    <row r="845" spans="1:4" x14ac:dyDescent="0.2">
      <c r="A845" s="5">
        <v>784</v>
      </c>
      <c r="B845" s="1821">
        <f>'Expenditures 15-22'!E45</f>
        <v>744</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5387</v>
      </c>
      <c r="C847" s="2" t="s">
        <v>569</v>
      </c>
      <c r="D847" s="2" t="str">
        <f t="shared" si="12"/>
        <v>Error?</v>
      </c>
    </row>
    <row r="848" spans="1:4" x14ac:dyDescent="0.2">
      <c r="A848" s="5">
        <v>787</v>
      </c>
      <c r="B848" s="1821">
        <f>'Expenditures 15-22'!E49</f>
        <v>41973</v>
      </c>
      <c r="D848" s="2" t="str">
        <f t="shared" si="12"/>
        <v>Error?</v>
      </c>
    </row>
    <row r="849" spans="1:4" x14ac:dyDescent="0.2">
      <c r="A849" s="5">
        <v>788</v>
      </c>
      <c r="B849" s="1821">
        <f>'Expenditures 15-22'!E50</f>
        <v>4209</v>
      </c>
      <c r="D849" s="2" t="str">
        <f t="shared" si="12"/>
        <v>Error?</v>
      </c>
    </row>
    <row r="850" spans="1:4" x14ac:dyDescent="0.2">
      <c r="A850" s="5">
        <v>789</v>
      </c>
      <c r="B850" s="1821">
        <f>'Expenditures 15-22'!E53</f>
        <v>46182</v>
      </c>
      <c r="C850" s="2" t="s">
        <v>569</v>
      </c>
      <c r="D850" s="2" t="str">
        <f t="shared" si="12"/>
        <v>Error?</v>
      </c>
    </row>
    <row r="851" spans="1:4" x14ac:dyDescent="0.2">
      <c r="A851" s="5">
        <v>790</v>
      </c>
      <c r="B851" s="1821">
        <f>'Expenditures 15-22'!E55</f>
        <v>0</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0</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25804</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278</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26082</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92897</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151449</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155275</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1628</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156903</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0</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0</v>
      </c>
      <c r="C901" s="2" t="s">
        <v>569</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0</v>
      </c>
      <c r="C905" s="2" t="s">
        <v>569</v>
      </c>
      <c r="D905" s="2" t="str">
        <f t="shared" si="13"/>
        <v>Error?</v>
      </c>
    </row>
    <row r="906" spans="1:4" x14ac:dyDescent="0.2">
      <c r="A906" s="5">
        <v>845</v>
      </c>
      <c r="B906" s="1821">
        <f>'Expenditures 15-22'!F49</f>
        <v>1010</v>
      </c>
      <c r="D906" s="2" t="str">
        <f t="shared" si="13"/>
        <v>Error?</v>
      </c>
    </row>
    <row r="907" spans="1:4" x14ac:dyDescent="0.2">
      <c r="A907" s="5">
        <v>846</v>
      </c>
      <c r="B907" s="1821">
        <f>'Expenditures 15-22'!F50</f>
        <v>3082</v>
      </c>
      <c r="D907" s="2" t="str">
        <f t="shared" si="13"/>
        <v>Error?</v>
      </c>
    </row>
    <row r="908" spans="1:4" x14ac:dyDescent="0.2">
      <c r="A908" s="5">
        <v>847</v>
      </c>
      <c r="B908" s="1821">
        <f>'Expenditures 15-22'!F53</f>
        <v>4092</v>
      </c>
      <c r="C908" s="2" t="s">
        <v>569</v>
      </c>
      <c r="D908" s="2" t="str">
        <f t="shared" si="13"/>
        <v>Error?</v>
      </c>
    </row>
    <row r="909" spans="1:4" x14ac:dyDescent="0.2">
      <c r="A909" s="5">
        <v>848</v>
      </c>
      <c r="B909" s="1821">
        <f>'Expenditures 15-22'!F55</f>
        <v>1876</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1876</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33284</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33284</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39252</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196155</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4177</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4177</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0</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4177</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433</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3795</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4228</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4036</v>
      </c>
      <c r="D1022" s="2" t="str">
        <f t="shared" si="14"/>
        <v>Error?</v>
      </c>
    </row>
    <row r="1023" spans="1:4" x14ac:dyDescent="0.2">
      <c r="A1023" s="5">
        <v>962</v>
      </c>
      <c r="B1023" s="1821">
        <f>'Expenditures 15-22'!H50</f>
        <v>13443</v>
      </c>
      <c r="D1023" s="2" t="str">
        <f t="shared" ref="D1023:D1086" si="15">IF(ISBLANK(B1023),"OK",IF(A1023-B1023=0,"OK","Error?"))</f>
        <v>Error?</v>
      </c>
    </row>
    <row r="1024" spans="1:4" x14ac:dyDescent="0.2">
      <c r="A1024" s="5">
        <v>963</v>
      </c>
      <c r="B1024" s="1821">
        <f>'Expenditures 15-22'!H53</f>
        <v>17479</v>
      </c>
      <c r="C1024" s="2" t="s">
        <v>569</v>
      </c>
      <c r="D1024" s="2" t="str">
        <f t="shared" si="15"/>
        <v>Error?</v>
      </c>
    </row>
    <row r="1025" spans="1:4" x14ac:dyDescent="0.2">
      <c r="A1025" s="5">
        <v>964</v>
      </c>
      <c r="B1025" s="1821">
        <f>'Expenditures 15-22'!H55</f>
        <v>89</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89</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1524</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737</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2261</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19829</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291127</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315184</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1985119</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31875</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2338975</v>
      </c>
      <c r="C1108" s="2" t="s">
        <v>569</v>
      </c>
      <c r="D1108" s="2" t="str">
        <f t="shared" si="16"/>
        <v>Error?</v>
      </c>
    </row>
    <row r="1109" spans="1:4" x14ac:dyDescent="0.2">
      <c r="A1109" s="5">
        <v>1048</v>
      </c>
      <c r="B1109" s="1821">
        <f>'Expenditures 15-22'!K36</f>
        <v>53947</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15246</v>
      </c>
      <c r="C1111" s="2" t="s">
        <v>569</v>
      </c>
      <c r="D1111" s="2" t="str">
        <f t="shared" si="16"/>
        <v>Error?</v>
      </c>
    </row>
    <row r="1112" spans="1:4" x14ac:dyDescent="0.2">
      <c r="A1112" s="5">
        <v>1051</v>
      </c>
      <c r="B1112" s="1821">
        <f>'Expenditures 15-22'!K39</f>
        <v>0</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69193</v>
      </c>
      <c r="C1115" s="2" t="s">
        <v>569</v>
      </c>
      <c r="D1115" s="2" t="str">
        <f t="shared" si="16"/>
        <v>Error?</v>
      </c>
    </row>
    <row r="1116" spans="1:4" x14ac:dyDescent="0.2">
      <c r="A1116" s="5">
        <v>1055</v>
      </c>
      <c r="B1116" s="1821">
        <f>'Expenditures 15-22'!K44</f>
        <v>4643</v>
      </c>
      <c r="C1116" s="2" t="s">
        <v>569</v>
      </c>
      <c r="D1116" s="2" t="str">
        <f t="shared" si="16"/>
        <v>Error?</v>
      </c>
    </row>
    <row r="1117" spans="1:4" x14ac:dyDescent="0.2">
      <c r="A1117" s="5">
        <v>1056</v>
      </c>
      <c r="B1117" s="1821">
        <f>'Expenditures 15-22'!K45</f>
        <v>744</v>
      </c>
      <c r="C1117" s="2" t="s">
        <v>569</v>
      </c>
      <c r="D1117" s="2" t="str">
        <f t="shared" si="16"/>
        <v>Error?</v>
      </c>
    </row>
    <row r="1118" spans="1:4" x14ac:dyDescent="0.2">
      <c r="A1118" s="5">
        <v>1057</v>
      </c>
      <c r="B1118" s="1821">
        <f>'Expenditures 15-22'!K46</f>
        <v>0</v>
      </c>
      <c r="C1118" s="2" t="s">
        <v>569</v>
      </c>
      <c r="D1118" s="2" t="str">
        <f t="shared" si="16"/>
        <v>Error?</v>
      </c>
    </row>
    <row r="1119" spans="1:4" x14ac:dyDescent="0.2">
      <c r="A1119" s="5">
        <v>1058</v>
      </c>
      <c r="B1119" s="1821">
        <f>'Expenditures 15-22'!K47</f>
        <v>5387</v>
      </c>
      <c r="C1119" s="2" t="s">
        <v>569</v>
      </c>
      <c r="D1119" s="2" t="str">
        <f t="shared" si="16"/>
        <v>Error?</v>
      </c>
    </row>
    <row r="1120" spans="1:4" x14ac:dyDescent="0.2">
      <c r="A1120" s="5">
        <v>1059</v>
      </c>
      <c r="B1120" s="1821">
        <f>'Expenditures 15-22'!K49</f>
        <v>53195</v>
      </c>
      <c r="C1120" s="2" t="s">
        <v>569</v>
      </c>
      <c r="D1120" s="2" t="str">
        <f t="shared" si="16"/>
        <v>Error?</v>
      </c>
    </row>
    <row r="1121" spans="1:4" x14ac:dyDescent="0.2">
      <c r="A1121" s="5">
        <v>1060</v>
      </c>
      <c r="B1121" s="1821">
        <f>'Expenditures 15-22'!K50</f>
        <v>196714</v>
      </c>
      <c r="C1121" s="2" t="s">
        <v>569</v>
      </c>
      <c r="D1121" s="2" t="str">
        <f t="shared" si="16"/>
        <v>Error?</v>
      </c>
    </row>
    <row r="1122" spans="1:4" x14ac:dyDescent="0.2">
      <c r="A1122" s="5">
        <v>1061</v>
      </c>
      <c r="B1122" s="1821">
        <f>'Expenditures 15-22'!K53</f>
        <v>249909</v>
      </c>
      <c r="C1122" s="2" t="s">
        <v>569</v>
      </c>
      <c r="D1122" s="2" t="str">
        <f t="shared" si="16"/>
        <v>Error?</v>
      </c>
    </row>
    <row r="1123" spans="1:4" x14ac:dyDescent="0.2">
      <c r="A1123" s="5">
        <v>1062</v>
      </c>
      <c r="B1123" s="1821">
        <f>'Expenditures 15-22'!K55</f>
        <v>118133</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118133</v>
      </c>
      <c r="C1125" s="2" t="s">
        <v>569</v>
      </c>
      <c r="D1125" s="2" t="str">
        <f t="shared" si="16"/>
        <v>Error?</v>
      </c>
    </row>
    <row r="1126" spans="1:4" x14ac:dyDescent="0.2">
      <c r="A1126" s="5">
        <v>1065</v>
      </c>
      <c r="B1126" s="1821">
        <f>'Expenditures 15-22'!K59</f>
        <v>0</v>
      </c>
      <c r="C1126" s="2" t="s">
        <v>569</v>
      </c>
      <c r="D1126" s="2" t="str">
        <f t="shared" si="16"/>
        <v>Error?</v>
      </c>
    </row>
    <row r="1127" spans="1:4" x14ac:dyDescent="0.2">
      <c r="A1127" s="5">
        <v>1066</v>
      </c>
      <c r="B1127" s="1821">
        <f>'Expenditures 15-22'!K60</f>
        <v>88788</v>
      </c>
      <c r="C1127" s="2" t="s">
        <v>569</v>
      </c>
      <c r="D1127" s="2" t="str">
        <f t="shared" si="16"/>
        <v>Error?</v>
      </c>
    </row>
    <row r="1128" spans="1:4" x14ac:dyDescent="0.2">
      <c r="A1128" s="5">
        <v>1067</v>
      </c>
      <c r="B1128" s="1821">
        <f>'Expenditures 15-22'!K61</f>
        <v>0</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66586</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155374</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597996</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312430</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3249401</v>
      </c>
      <c r="C1152" s="2" t="s">
        <v>569</v>
      </c>
      <c r="D1152" s="2" t="str">
        <f t="shared" si="17"/>
        <v>Error?</v>
      </c>
    </row>
    <row r="1153" spans="1:4" x14ac:dyDescent="0.2">
      <c r="A1153" s="5">
        <v>1092</v>
      </c>
      <c r="B1153" s="1821">
        <f>'Expenditures 15-22'!K115</f>
        <v>603153</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117378</v>
      </c>
      <c r="D1221" s="2" t="str">
        <f t="shared" si="18"/>
        <v>Error?</v>
      </c>
    </row>
    <row r="1222" spans="1:4" x14ac:dyDescent="0.2">
      <c r="A1222" s="10">
        <v>1161</v>
      </c>
      <c r="B1222" s="1821"/>
      <c r="D1222" s="2" t="str">
        <f t="shared" si="18"/>
        <v>OK</v>
      </c>
    </row>
    <row r="1223" spans="1:4" x14ac:dyDescent="0.2">
      <c r="A1223" s="5">
        <v>1162</v>
      </c>
      <c r="B1223" s="1821">
        <f>'Expenditures 15-22'!C127</f>
        <v>117378</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117378</v>
      </c>
      <c r="C1225" s="2" t="s">
        <v>569</v>
      </c>
      <c r="D1225" s="2" t="str">
        <f t="shared" si="18"/>
        <v>Error?</v>
      </c>
    </row>
    <row r="1226" spans="1:4" x14ac:dyDescent="0.2">
      <c r="A1226" s="5">
        <v>1165</v>
      </c>
      <c r="B1226" s="1821">
        <f>'Expenditures 15-22'!C151</f>
        <v>117378</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23262</v>
      </c>
      <c r="D1237" s="2" t="str">
        <f t="shared" si="18"/>
        <v>Error?</v>
      </c>
    </row>
    <row r="1238" spans="1:4" x14ac:dyDescent="0.2">
      <c r="A1238" s="10">
        <v>1177</v>
      </c>
      <c r="B1238" s="1821"/>
      <c r="D1238" s="2" t="str">
        <f t="shared" si="18"/>
        <v>OK</v>
      </c>
    </row>
    <row r="1239" spans="1:4" x14ac:dyDescent="0.2">
      <c r="A1239" s="5">
        <v>1178</v>
      </c>
      <c r="B1239" s="1821">
        <f>'Expenditures 15-22'!E127</f>
        <v>23262</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23262</v>
      </c>
      <c r="C1241" s="2" t="s">
        <v>569</v>
      </c>
      <c r="D1241" s="2" t="str">
        <f t="shared" si="18"/>
        <v>Error?</v>
      </c>
    </row>
    <row r="1242" spans="1:4" x14ac:dyDescent="0.2">
      <c r="A1242" s="5">
        <v>1181</v>
      </c>
      <c r="B1242" s="1821">
        <f>'Expenditures 15-22'!E151</f>
        <v>23262</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66402</v>
      </c>
      <c r="D1245" s="2" t="str">
        <f t="shared" si="18"/>
        <v>Error?</v>
      </c>
    </row>
    <row r="1246" spans="1:4" x14ac:dyDescent="0.2">
      <c r="A1246" s="10">
        <v>1185</v>
      </c>
      <c r="B1246" s="1821"/>
      <c r="D1246" s="2" t="str">
        <f t="shared" si="18"/>
        <v>OK</v>
      </c>
    </row>
    <row r="1247" spans="1:4" x14ac:dyDescent="0.2">
      <c r="A1247" s="5">
        <v>1186</v>
      </c>
      <c r="B1247" s="1821">
        <f>'Expenditures 15-22'!F127</f>
        <v>66402</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66402</v>
      </c>
      <c r="C1249" s="2" t="s">
        <v>569</v>
      </c>
      <c r="D1249" s="2" t="str">
        <f t="shared" si="18"/>
        <v>Error?</v>
      </c>
    </row>
    <row r="1250" spans="1:4" x14ac:dyDescent="0.2">
      <c r="A1250" s="5">
        <v>1189</v>
      </c>
      <c r="B1250" s="1821">
        <f>'Expenditures 15-22'!F151</f>
        <v>66402</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7295</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7295</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7295</v>
      </c>
      <c r="C1258" s="2" t="s">
        <v>569</v>
      </c>
      <c r="D1258" s="2" t="str">
        <f t="shared" si="18"/>
        <v>Error?</v>
      </c>
    </row>
    <row r="1259" spans="1:4" x14ac:dyDescent="0.2">
      <c r="A1259" s="5">
        <v>1198</v>
      </c>
      <c r="B1259" s="1821">
        <f>'Expenditures 15-22'!G151</f>
        <v>7295</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3219</v>
      </c>
      <c r="D1262" s="2" t="str">
        <f t="shared" si="18"/>
        <v>Error?</v>
      </c>
    </row>
    <row r="1263" spans="1:4" x14ac:dyDescent="0.2">
      <c r="A1263" s="10">
        <v>1202</v>
      </c>
      <c r="B1263" s="1821"/>
      <c r="D1263" s="2" t="str">
        <f t="shared" si="18"/>
        <v>OK</v>
      </c>
    </row>
    <row r="1264" spans="1:4" x14ac:dyDescent="0.2">
      <c r="A1264" s="5">
        <v>1203</v>
      </c>
      <c r="B1264" s="1821">
        <f>'Expenditures 15-22'!H127</f>
        <v>3219</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3219</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3219</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217556</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217556</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217556</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217556</v>
      </c>
      <c r="C1288" s="2" t="s">
        <v>569</v>
      </c>
      <c r="D1288" s="2" t="str">
        <f t="shared" si="19"/>
        <v>Error?</v>
      </c>
    </row>
    <row r="1289" spans="1:4" x14ac:dyDescent="0.2">
      <c r="A1289" s="5">
        <v>1228</v>
      </c>
      <c r="B1289" s="1821">
        <f>'Expenditures 15-22'!K152</f>
        <v>420306</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122559</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122559</v>
      </c>
      <c r="C1339" s="2" t="s">
        <v>569</v>
      </c>
      <c r="D1339" s="2" t="str">
        <f t="shared" si="19"/>
        <v>Error?</v>
      </c>
    </row>
    <row r="1340" spans="1:4" x14ac:dyDescent="0.2">
      <c r="A1340" s="5">
        <v>1279</v>
      </c>
      <c r="B1340" s="1821">
        <f>'Expenditures 15-22'!C210</f>
        <v>122559</v>
      </c>
      <c r="C1340" s="2" t="s">
        <v>569</v>
      </c>
      <c r="D1340" s="2" t="str">
        <f t="shared" si="19"/>
        <v>Error?</v>
      </c>
    </row>
    <row r="1341" spans="1:4" x14ac:dyDescent="0.2">
      <c r="A1341" s="5">
        <v>1280</v>
      </c>
      <c r="B1341" s="1821">
        <f>'Expenditures 15-22'!D182</f>
        <v>1047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1047</v>
      </c>
      <c r="C1345" s="2" t="s">
        <v>569</v>
      </c>
      <c r="D1345" s="2" t="str">
        <f t="shared" si="20"/>
        <v>Error?</v>
      </c>
    </row>
    <row r="1346" spans="1:4" x14ac:dyDescent="0.2">
      <c r="A1346" s="5">
        <v>1285</v>
      </c>
      <c r="B1346" s="1821">
        <f>'Expenditures 15-22'!D210</f>
        <v>1047</v>
      </c>
      <c r="C1346" s="2" t="s">
        <v>569</v>
      </c>
      <c r="D1346" s="2" t="str">
        <f t="shared" si="20"/>
        <v>Error?</v>
      </c>
    </row>
    <row r="1347" spans="1:4" x14ac:dyDescent="0.2">
      <c r="A1347" s="5">
        <v>1286</v>
      </c>
      <c r="B1347" s="1821">
        <f>'Expenditures 15-22'!E182</f>
        <v>57069</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57069</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57069</v>
      </c>
      <c r="C1353" s="2" t="s">
        <v>569</v>
      </c>
      <c r="D1353" s="2" t="str">
        <f t="shared" si="20"/>
        <v>Error?</v>
      </c>
    </row>
    <row r="1354" spans="1:4" x14ac:dyDescent="0.2">
      <c r="A1354" s="5">
        <v>1293</v>
      </c>
      <c r="B1354" s="1821">
        <f>'Expenditures 15-22'!F182</f>
        <v>35065</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35065</v>
      </c>
      <c r="C1358" s="2" t="s">
        <v>569</v>
      </c>
      <c r="D1358" s="2" t="str">
        <f t="shared" si="20"/>
        <v>Error?</v>
      </c>
    </row>
    <row r="1359" spans="1:4" x14ac:dyDescent="0.2">
      <c r="A1359" s="5">
        <v>1298</v>
      </c>
      <c r="B1359" s="1821">
        <f>'Expenditures 15-22'!F210</f>
        <v>35065</v>
      </c>
      <c r="C1359" s="2" t="s">
        <v>569</v>
      </c>
      <c r="D1359" s="2" t="str">
        <f t="shared" si="20"/>
        <v>Error?</v>
      </c>
    </row>
    <row r="1360" spans="1:4" x14ac:dyDescent="0.2">
      <c r="A1360" s="5">
        <v>1299</v>
      </c>
      <c r="B1360" s="1821">
        <f>'Expenditures 15-22'!G182</f>
        <v>23429</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23429</v>
      </c>
      <c r="C1364" s="2" t="s">
        <v>569</v>
      </c>
      <c r="D1364" s="2" t="str">
        <f t="shared" si="20"/>
        <v>Error?</v>
      </c>
    </row>
    <row r="1365" spans="1:4" x14ac:dyDescent="0.2">
      <c r="A1365" s="5">
        <v>1304</v>
      </c>
      <c r="B1365" s="1821">
        <f>'Expenditures 15-22'!G210</f>
        <v>23429</v>
      </c>
      <c r="C1365" s="2" t="s">
        <v>569</v>
      </c>
      <c r="D1365" s="2" t="str">
        <f t="shared" si="20"/>
        <v>Error?</v>
      </c>
    </row>
    <row r="1366" spans="1:4" x14ac:dyDescent="0.2">
      <c r="A1366" s="5">
        <v>1305</v>
      </c>
      <c r="B1366" s="1821">
        <f>'Expenditures 15-22'!H182</f>
        <v>1481</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1481</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1481</v>
      </c>
      <c r="C1376" s="2" t="s">
        <v>569</v>
      </c>
      <c r="D1376" s="2" t="str">
        <f t="shared" si="20"/>
        <v>Error?</v>
      </c>
    </row>
    <row r="1377" spans="1:4" x14ac:dyDescent="0.2">
      <c r="A1377" s="5">
        <v>1316</v>
      </c>
      <c r="B1377" s="1821">
        <f>'Expenditures 15-22'!K182</f>
        <v>240650</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240650</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240650</v>
      </c>
      <c r="C1388" s="2" t="s">
        <v>569</v>
      </c>
      <c r="D1388" s="2" t="str">
        <f t="shared" si="20"/>
        <v>Error?</v>
      </c>
    </row>
    <row r="1389" spans="1:4" x14ac:dyDescent="0.2">
      <c r="A1389" s="5">
        <v>1328</v>
      </c>
      <c r="B1389" s="1821">
        <f>'Expenditures 15-22'!K211</f>
        <v>-15623</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716</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49949</v>
      </c>
      <c r="C1410" s="2" t="s">
        <v>569</v>
      </c>
      <c r="D1410" s="2" t="str">
        <f t="shared" si="21"/>
        <v>Error?</v>
      </c>
    </row>
    <row r="1411" spans="1:4" x14ac:dyDescent="0.2">
      <c r="A1411" s="5">
        <v>1350</v>
      </c>
      <c r="B1411" s="1821">
        <f>'Expenditures 15-22'!D232</f>
        <v>701</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0</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701</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0</v>
      </c>
      <c r="C1421" s="2" t="s">
        <v>569</v>
      </c>
      <c r="D1421" s="2" t="str">
        <f t="shared" si="21"/>
        <v>Error?</v>
      </c>
    </row>
    <row r="1422" spans="1:4" x14ac:dyDescent="0.2">
      <c r="A1422" s="5">
        <v>1361</v>
      </c>
      <c r="B1422" s="1821">
        <f>'Expenditures 15-22'!D245</f>
        <v>472</v>
      </c>
      <c r="D1422" s="2" t="str">
        <f t="shared" si="21"/>
        <v>Error?</v>
      </c>
    </row>
    <row r="1423" spans="1:4" x14ac:dyDescent="0.2">
      <c r="A1423" s="5">
        <v>1362</v>
      </c>
      <c r="B1423" s="1821">
        <f>'Expenditures 15-22'!D246</f>
        <v>3203</v>
      </c>
      <c r="D1423" s="2" t="str">
        <f t="shared" si="21"/>
        <v>Error?</v>
      </c>
    </row>
    <row r="1424" spans="1:4" x14ac:dyDescent="0.2">
      <c r="A1424" s="5">
        <v>1363</v>
      </c>
      <c r="B1424" s="1821">
        <f>'Expenditures 15-22'!D257</f>
        <v>3675</v>
      </c>
      <c r="C1424" s="2" t="s">
        <v>569</v>
      </c>
      <c r="D1424" s="2" t="str">
        <f t="shared" si="21"/>
        <v>Error?</v>
      </c>
    </row>
    <row r="1425" spans="1:4" x14ac:dyDescent="0.2">
      <c r="A1425" s="5">
        <v>1364</v>
      </c>
      <c r="B1425" s="1821">
        <f>'Expenditures 15-22'!D259</f>
        <v>8317</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8317</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11133</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17150</v>
      </c>
      <c r="D1431" s="2" t="str">
        <f t="shared" si="21"/>
        <v>Error?</v>
      </c>
    </row>
    <row r="1432" spans="1:4" x14ac:dyDescent="0.2">
      <c r="A1432" s="5">
        <v>1371</v>
      </c>
      <c r="B1432" s="1821">
        <f>'Expenditures 15-22'!D267</f>
        <v>18321</v>
      </c>
      <c r="D1432" s="2" t="str">
        <f t="shared" si="21"/>
        <v>Error?</v>
      </c>
    </row>
    <row r="1433" spans="1:4" x14ac:dyDescent="0.2">
      <c r="A1433" s="5">
        <v>1372</v>
      </c>
      <c r="B1433" s="1821">
        <f>'Expenditures 15-22'!D268</f>
        <v>5873</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52477</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65170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115119</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716</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49949</v>
      </c>
      <c r="C1474" s="2" t="s">
        <v>569</v>
      </c>
      <c r="D1474" s="2" t="str">
        <f t="shared" si="22"/>
        <v>Error?</v>
      </c>
    </row>
    <row r="1475" spans="1:4" x14ac:dyDescent="0.2">
      <c r="A1475" s="5">
        <v>1414</v>
      </c>
      <c r="B1475" s="1821">
        <f>'Expenditures 15-22'!K232</f>
        <v>701</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0</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701</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0</v>
      </c>
      <c r="C1485" s="2" t="s">
        <v>569</v>
      </c>
      <c r="D1485" s="2" t="str">
        <f t="shared" si="22"/>
        <v>Error?</v>
      </c>
    </row>
    <row r="1486" spans="1:4" x14ac:dyDescent="0.2">
      <c r="A1486" s="5">
        <v>1425</v>
      </c>
      <c r="B1486" s="1821">
        <f>'Expenditures 15-22'!K245</f>
        <v>472</v>
      </c>
      <c r="C1486" s="2" t="s">
        <v>569</v>
      </c>
      <c r="D1486" s="2" t="str">
        <f t="shared" si="22"/>
        <v>Error?</v>
      </c>
    </row>
    <row r="1487" spans="1:4" x14ac:dyDescent="0.2">
      <c r="A1487" s="5">
        <v>1426</v>
      </c>
      <c r="B1487" s="1821">
        <f>'Expenditures 15-22'!K246</f>
        <v>3203</v>
      </c>
      <c r="C1487" s="2" t="s">
        <v>569</v>
      </c>
      <c r="D1487" s="2" t="str">
        <f t="shared" si="22"/>
        <v>Error?</v>
      </c>
    </row>
    <row r="1488" spans="1:4" x14ac:dyDescent="0.2">
      <c r="A1488" s="5">
        <v>1427</v>
      </c>
      <c r="B1488" s="1821">
        <f>'Expenditures 15-22'!K257</f>
        <v>3675</v>
      </c>
      <c r="C1488" s="2" t="s">
        <v>569</v>
      </c>
      <c r="D1488" s="2" t="str">
        <f t="shared" si="22"/>
        <v>Error?</v>
      </c>
    </row>
    <row r="1489" spans="1:4" x14ac:dyDescent="0.2">
      <c r="A1489" s="5">
        <v>1428</v>
      </c>
      <c r="B1489" s="1821">
        <f>'Expenditures 15-22'!K259</f>
        <v>8317</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8317</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11133</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17150</v>
      </c>
      <c r="C1495" s="2" t="s">
        <v>569</v>
      </c>
      <c r="D1495" s="2" t="str">
        <f t="shared" si="22"/>
        <v>Error?</v>
      </c>
    </row>
    <row r="1496" spans="1:4" x14ac:dyDescent="0.2">
      <c r="A1496" s="5">
        <v>1435</v>
      </c>
      <c r="B1496" s="1821">
        <f>'Expenditures 15-22'!K267</f>
        <v>18321</v>
      </c>
      <c r="C1496" s="2" t="s">
        <v>569</v>
      </c>
      <c r="D1496" s="2" t="str">
        <f t="shared" si="22"/>
        <v>Error?</v>
      </c>
    </row>
    <row r="1497" spans="1:4" x14ac:dyDescent="0.2">
      <c r="A1497" s="5">
        <v>1436</v>
      </c>
      <c r="B1497" s="1821">
        <f>'Expenditures 15-22'!K268</f>
        <v>5873</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52477</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65170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115119</v>
      </c>
      <c r="C1517" s="2" t="s">
        <v>569</v>
      </c>
      <c r="D1517" s="2" t="str">
        <f t="shared" si="22"/>
        <v>Error?</v>
      </c>
    </row>
    <row r="1518" spans="1:4" x14ac:dyDescent="0.2">
      <c r="A1518" s="5">
        <v>1457</v>
      </c>
      <c r="B1518" s="1821">
        <f>'Expenditures 15-22'!K296</f>
        <v>36185</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300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300</v>
      </c>
      <c r="C1535" s="2" t="s">
        <v>569</v>
      </c>
      <c r="D1535" s="2" t="str">
        <f t="shared" ref="D1535:D1598" si="23">IF(ISBLANK(B1535),"OK",IF(A1535-B1535=0,"OK","Error?"))</f>
        <v>Error?</v>
      </c>
    </row>
    <row r="1536" spans="1:4" x14ac:dyDescent="0.2">
      <c r="A1536" s="5">
        <v>1475</v>
      </c>
      <c r="B1536" s="1821">
        <f>'Expenditures 15-22'!E312</f>
        <v>300</v>
      </c>
      <c r="C1536" s="2" t="s">
        <v>569</v>
      </c>
      <c r="D1536" s="2" t="str">
        <f t="shared" si="23"/>
        <v>Error?</v>
      </c>
    </row>
    <row r="1537" spans="1:4" x14ac:dyDescent="0.2">
      <c r="A1537" s="5">
        <v>1476</v>
      </c>
      <c r="B1537" s="1821">
        <f>'Expenditures 15-22'!F301</f>
        <v>582</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582</v>
      </c>
      <c r="C1541" s="2" t="s">
        <v>569</v>
      </c>
      <c r="D1541" s="2" t="str">
        <f t="shared" si="23"/>
        <v>Error?</v>
      </c>
    </row>
    <row r="1542" spans="1:4" x14ac:dyDescent="0.2">
      <c r="A1542" s="5">
        <v>1481</v>
      </c>
      <c r="B1542" s="1821">
        <f>'Expenditures 15-22'!F312</f>
        <v>582</v>
      </c>
      <c r="C1542" s="2" t="s">
        <v>569</v>
      </c>
      <c r="D1542" s="2" t="str">
        <f t="shared" si="23"/>
        <v>Error?</v>
      </c>
    </row>
    <row r="1543" spans="1:4" x14ac:dyDescent="0.2">
      <c r="A1543" s="5">
        <v>1482</v>
      </c>
      <c r="B1543" s="1821">
        <f>'Expenditures 15-22'!G301</f>
        <v>554178</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554178</v>
      </c>
      <c r="C1547" s="2" t="s">
        <v>569</v>
      </c>
      <c r="D1547" s="2" t="str">
        <f t="shared" si="23"/>
        <v>Error?</v>
      </c>
    </row>
    <row r="1548" spans="1:4" x14ac:dyDescent="0.2">
      <c r="A1548" s="5">
        <v>1487</v>
      </c>
      <c r="B1548" s="1821">
        <f>'Expenditures 15-22'!G312</f>
        <v>554178</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555060</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555060</v>
      </c>
      <c r="C1559" s="2" t="s">
        <v>569</v>
      </c>
      <c r="D1559" s="2" t="str">
        <f t="shared" si="23"/>
        <v>Error?</v>
      </c>
    </row>
    <row r="1560" spans="1:4" x14ac:dyDescent="0.2">
      <c r="A1560" s="5">
        <v>1499</v>
      </c>
      <c r="B1560" s="1821">
        <f>'Expenditures 15-22'!K312</f>
        <v>555060</v>
      </c>
      <c r="C1560" s="2" t="s">
        <v>569</v>
      </c>
      <c r="D1560" s="2" t="str">
        <f t="shared" si="23"/>
        <v>Error?</v>
      </c>
    </row>
    <row r="1561" spans="1:4" x14ac:dyDescent="0.2">
      <c r="A1561" s="5">
        <v>1500</v>
      </c>
      <c r="B1561" s="1821">
        <f>'Expenditures 15-22'!K313</f>
        <v>-553338</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8093072</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7896225</v>
      </c>
      <c r="C1630" s="2" t="s">
        <v>569</v>
      </c>
      <c r="D1630" s="2" t="str">
        <f t="shared" si="24"/>
        <v>Error?</v>
      </c>
    </row>
    <row r="1631" spans="1:4" x14ac:dyDescent="0.2">
      <c r="A1631" s="5">
        <v>1570</v>
      </c>
      <c r="B1631" s="1821">
        <f>'Acct Summary 7-8'!D79</f>
        <v>1385937</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606243</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794618</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578995</v>
      </c>
      <c r="C1672" s="2" t="s">
        <v>569</v>
      </c>
      <c r="D1672" s="2" t="str">
        <f t="shared" si="25"/>
        <v>Error?</v>
      </c>
    </row>
    <row r="1673" spans="1:4" x14ac:dyDescent="0.2">
      <c r="A1673" s="5">
        <v>1612</v>
      </c>
      <c r="B1673" s="1821">
        <f>'Acct Summary 7-8'!G79</f>
        <v>187498</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223683</v>
      </c>
      <c r="C1686" s="2" t="s">
        <v>569</v>
      </c>
      <c r="D1686" s="2" t="str">
        <f t="shared" si="25"/>
        <v>Error?</v>
      </c>
    </row>
    <row r="1687" spans="1:4" x14ac:dyDescent="0.2">
      <c r="A1687" s="5">
        <v>1626</v>
      </c>
      <c r="B1687" s="1821">
        <f>'Acct Summary 7-8'!H79</f>
        <v>323173</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1969835</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2946089</v>
      </c>
      <c r="C1744" s="2" t="s">
        <v>569</v>
      </c>
      <c r="D1744" s="2" t="str">
        <f t="shared" si="26"/>
        <v>Error?</v>
      </c>
    </row>
    <row r="1745" spans="1:5" x14ac:dyDescent="0.2">
      <c r="A1745" s="5">
        <v>1684</v>
      </c>
      <c r="B1745" s="1821">
        <f>'Tax Sched 23'!B5</f>
        <v>582172</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10726</v>
      </c>
      <c r="C1747" s="2" t="s">
        <v>569</v>
      </c>
      <c r="D1747" s="2" t="str">
        <f t="shared" si="26"/>
        <v>Error?</v>
      </c>
    </row>
    <row r="1748" spans="1:5" x14ac:dyDescent="0.2">
      <c r="A1748" s="5">
        <v>1687</v>
      </c>
      <c r="B1748" s="1821">
        <f>'Tax Sched 23'!B8</f>
        <v>96619</v>
      </c>
      <c r="C1748" s="2" t="s">
        <v>569</v>
      </c>
      <c r="D1748" s="2" t="str">
        <f t="shared" si="26"/>
        <v>Error?</v>
      </c>
    </row>
    <row r="1749" spans="1:5" x14ac:dyDescent="0.2">
      <c r="A1749" s="5">
        <v>1688</v>
      </c>
      <c r="B1749" s="1821">
        <f>'Tax Sched 23'!B10</f>
        <v>21848</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42271</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234576</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3983074</v>
      </c>
      <c r="C1759" s="2" t="s">
        <v>569</v>
      </c>
      <c r="D1759" s="2" t="str">
        <f t="shared" si="26"/>
        <v>Error?</v>
      </c>
    </row>
    <row r="1760" spans="1:5" x14ac:dyDescent="0.2">
      <c r="A1760" s="5">
        <v>1699</v>
      </c>
      <c r="B1760" s="1821">
        <f>'Tax Sched 23'!D4</f>
        <v>1434449</v>
      </c>
      <c r="C1760" s="2" t="s">
        <v>569</v>
      </c>
      <c r="D1760" s="2" t="str">
        <f t="shared" si="26"/>
        <v>Error?</v>
      </c>
    </row>
    <row r="1761" spans="1:7" x14ac:dyDescent="0.2">
      <c r="A1761" s="5">
        <v>1700</v>
      </c>
      <c r="B1761" s="1821">
        <f>'Tax Sched 23'!D5</f>
        <v>285024</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3662</v>
      </c>
      <c r="C1763" s="2" t="s">
        <v>569</v>
      </c>
      <c r="D1763" s="2" t="str">
        <f t="shared" si="26"/>
        <v>Error?</v>
      </c>
    </row>
    <row r="1764" spans="1:7" x14ac:dyDescent="0.2">
      <c r="A1764" s="5">
        <v>1703</v>
      </c>
      <c r="B1764" s="1821">
        <f>'Tax Sched 23'!D8</f>
        <v>47173</v>
      </c>
      <c r="C1764" s="2" t="s">
        <v>569</v>
      </c>
      <c r="D1764" s="2" t="str">
        <f t="shared" si="26"/>
        <v>Error?</v>
      </c>
    </row>
    <row r="1765" spans="1:7" x14ac:dyDescent="0.2">
      <c r="A1765" s="5">
        <v>1704</v>
      </c>
      <c r="B1765" s="1821">
        <f>'Tax Sched 23'!D10</f>
        <v>-98236</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20608</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222803</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1939297</v>
      </c>
      <c r="C1775" s="2" t="s">
        <v>569</v>
      </c>
      <c r="D1775" s="2" t="str">
        <f t="shared" si="26"/>
        <v>Error?</v>
      </c>
    </row>
    <row r="1776" spans="1:7" x14ac:dyDescent="0.2">
      <c r="A1776" s="5">
        <v>1715</v>
      </c>
      <c r="B1776" s="1821">
        <f>'Tax Sched 23'!C4</f>
        <v>1511640</v>
      </c>
      <c r="D1776" s="2" t="str">
        <f t="shared" si="26"/>
        <v>Error?</v>
      </c>
    </row>
    <row r="1777" spans="1:4" x14ac:dyDescent="0.2">
      <c r="A1777" s="5">
        <v>1716</v>
      </c>
      <c r="B1777" s="1821">
        <f>'Tax Sched 23'!C5</f>
        <v>297148</v>
      </c>
      <c r="D1777" s="2" t="str">
        <f t="shared" si="26"/>
        <v>Error?</v>
      </c>
    </row>
    <row r="1778" spans="1:4" x14ac:dyDescent="0.2">
      <c r="A1778" s="5">
        <v>1717</v>
      </c>
      <c r="B1778" s="1821">
        <f>'Tax Sched 23'!C6</f>
        <v>0</v>
      </c>
      <c r="D1778" s="2" t="str">
        <f t="shared" si="26"/>
        <v>Error?</v>
      </c>
    </row>
    <row r="1779" spans="1:4" x14ac:dyDescent="0.2">
      <c r="A1779" s="5">
        <v>1718</v>
      </c>
      <c r="B1779" s="1821">
        <f>'Tax Sched 23'!C7</f>
        <v>7064</v>
      </c>
      <c r="D1779" s="2" t="str">
        <f t="shared" si="26"/>
        <v>Error?</v>
      </c>
    </row>
    <row r="1780" spans="1:4" x14ac:dyDescent="0.2">
      <c r="A1780" s="5">
        <v>1719</v>
      </c>
      <c r="B1780" s="1821">
        <f>'Tax Sched 23'!C8</f>
        <v>49446</v>
      </c>
      <c r="D1780" s="2" t="str">
        <f t="shared" si="26"/>
        <v>Error?</v>
      </c>
    </row>
    <row r="1781" spans="1:4" x14ac:dyDescent="0.2">
      <c r="A1781" s="5">
        <v>1720</v>
      </c>
      <c r="B1781" s="1821">
        <f>'Tax Sched 23'!C10</f>
        <v>120084</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21663</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11773</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2043777</v>
      </c>
      <c r="C1791" s="2" t="s">
        <v>569</v>
      </c>
      <c r="D1791" s="2" t="str">
        <f t="shared" ref="D1791:D1854" si="27">IF(ISBLANK(B1791),"OK",IF(A1791-B1791=0,"OK","Error?"))</f>
        <v>Error?</v>
      </c>
    </row>
    <row r="1792" spans="1:4" x14ac:dyDescent="0.2">
      <c r="A1792" s="5">
        <v>1731</v>
      </c>
      <c r="B1792" s="1821">
        <f>'Tax Sched 23'!F4</f>
        <v>1662704</v>
      </c>
      <c r="C1792" s="2" t="s">
        <v>569</v>
      </c>
      <c r="D1792" s="2" t="str">
        <f t="shared" si="27"/>
        <v>Error?</v>
      </c>
    </row>
    <row r="1793" spans="1:4" x14ac:dyDescent="0.2">
      <c r="A1793" s="5">
        <v>1732</v>
      </c>
      <c r="B1793" s="1821">
        <f>'Tax Sched 23'!F5</f>
        <v>326844</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7770</v>
      </c>
      <c r="C1795" s="2" t="s">
        <v>569</v>
      </c>
      <c r="D1795" s="2" t="str">
        <f t="shared" si="27"/>
        <v>Error?</v>
      </c>
    </row>
    <row r="1796" spans="1:4" x14ac:dyDescent="0.2">
      <c r="A1796" s="5">
        <v>1735</v>
      </c>
      <c r="B1796" s="1821">
        <f>'Tax Sched 23'!F8</f>
        <v>54388</v>
      </c>
      <c r="C1796" s="2" t="s">
        <v>569</v>
      </c>
      <c r="D1796" s="2" t="str">
        <f t="shared" si="27"/>
        <v>Error?</v>
      </c>
    </row>
    <row r="1797" spans="1:4" x14ac:dyDescent="0.2">
      <c r="A1797" s="5">
        <v>1736</v>
      </c>
      <c r="B1797" s="1821">
        <f>'Tax Sched 23'!F10</f>
        <v>132085</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23827</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12950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2248021</v>
      </c>
      <c r="C1807" s="2" t="s">
        <v>569</v>
      </c>
      <c r="D1807" s="2" t="str">
        <f t="shared" si="27"/>
        <v>Error?</v>
      </c>
    </row>
    <row r="1808" spans="1:4" x14ac:dyDescent="0.2">
      <c r="A1808" s="5">
        <v>1747</v>
      </c>
      <c r="B1808" s="1821">
        <f>'Tax Sched 23'!E4</f>
        <v>3174344</v>
      </c>
      <c r="D1808" s="2" t="str">
        <f t="shared" si="27"/>
        <v>Error?</v>
      </c>
    </row>
    <row r="1809" spans="1:4" x14ac:dyDescent="0.2">
      <c r="A1809" s="5">
        <v>1748</v>
      </c>
      <c r="B1809" s="1821">
        <f>'Tax Sched 23'!E5</f>
        <v>623992</v>
      </c>
      <c r="D1809" s="2" t="str">
        <f t="shared" si="27"/>
        <v>Error?</v>
      </c>
    </row>
    <row r="1810" spans="1:4" x14ac:dyDescent="0.2">
      <c r="A1810" s="5">
        <v>1749</v>
      </c>
      <c r="B1810" s="1821">
        <f>'Tax Sched 23'!E6</f>
        <v>0</v>
      </c>
      <c r="D1810" s="2" t="str">
        <f t="shared" si="27"/>
        <v>Error?</v>
      </c>
    </row>
    <row r="1811" spans="1:4" x14ac:dyDescent="0.2">
      <c r="A1811" s="5">
        <v>1750</v>
      </c>
      <c r="B1811" s="1821">
        <f>'Tax Sched 23'!E7</f>
        <v>14834</v>
      </c>
      <c r="D1811" s="2" t="str">
        <f t="shared" si="27"/>
        <v>Error?</v>
      </c>
    </row>
    <row r="1812" spans="1:4" x14ac:dyDescent="0.2">
      <c r="A1812" s="5">
        <v>1751</v>
      </c>
      <c r="B1812" s="1821">
        <f>'Tax Sched 23'!E8</f>
        <v>103834</v>
      </c>
      <c r="D1812" s="2" t="str">
        <f t="shared" si="27"/>
        <v>Error?</v>
      </c>
    </row>
    <row r="1813" spans="1:4" x14ac:dyDescent="0.2">
      <c r="A1813" s="5">
        <v>1752</v>
      </c>
      <c r="B1813" s="1821">
        <f>'Tax Sched 23'!E10</f>
        <v>252169</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45490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24723</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4291798</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234576</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234576</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234576</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25000</v>
      </c>
      <c r="D2008" s="2" t="str">
        <f t="shared" si="30"/>
        <v>Error?</v>
      </c>
    </row>
    <row r="2009" spans="1:4" x14ac:dyDescent="0.2">
      <c r="A2009" s="5">
        <v>1948</v>
      </c>
      <c r="B2009" s="1821">
        <f>'Cap Outlay Deprec 26'!C8</f>
        <v>3802617</v>
      </c>
      <c r="D2009" s="2" t="str">
        <f t="shared" si="30"/>
        <v>Error?</v>
      </c>
    </row>
    <row r="2010" spans="1:4" x14ac:dyDescent="0.2">
      <c r="A2010" s="5">
        <v>1949</v>
      </c>
      <c r="B2010" s="1821">
        <f>'Cap Outlay Deprec 26'!C10</f>
        <v>225937</v>
      </c>
      <c r="D2010" s="2" t="str">
        <f t="shared" si="30"/>
        <v>Error?</v>
      </c>
    </row>
    <row r="2011" spans="1:4" x14ac:dyDescent="0.2">
      <c r="A2011" s="5">
        <v>1950</v>
      </c>
      <c r="B2011" s="1821">
        <f>'Cap Outlay Deprec 26'!C12</f>
        <v>702433</v>
      </c>
      <c r="D2011" s="2" t="str">
        <f t="shared" si="30"/>
        <v>Error?</v>
      </c>
    </row>
    <row r="2012" spans="1:4" x14ac:dyDescent="0.2">
      <c r="A2012" s="5">
        <v>1951</v>
      </c>
      <c r="B2012" s="1821">
        <f>'Cap Outlay Deprec 26'!C13</f>
        <v>690071</v>
      </c>
      <c r="D2012" s="2" t="str">
        <f t="shared" si="30"/>
        <v>Error?</v>
      </c>
    </row>
    <row r="2013" spans="1:4" x14ac:dyDescent="0.2">
      <c r="A2013" s="5">
        <v>1952</v>
      </c>
      <c r="B2013" s="1821">
        <f>'Cap Outlay Deprec 26'!C16</f>
        <v>5446058</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0</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11472</v>
      </c>
      <c r="D2017" s="2" t="str">
        <f t="shared" si="30"/>
        <v>Error?</v>
      </c>
    </row>
    <row r="2018" spans="1:4" x14ac:dyDescent="0.2">
      <c r="A2018" s="5">
        <v>1957</v>
      </c>
      <c r="B2018" s="1821">
        <f>'Cap Outlay Deprec 26'!D13</f>
        <v>23429</v>
      </c>
      <c r="D2018" s="2" t="str">
        <f t="shared" si="30"/>
        <v>Error?</v>
      </c>
    </row>
    <row r="2019" spans="1:4" x14ac:dyDescent="0.2">
      <c r="A2019" s="5">
        <v>1958</v>
      </c>
      <c r="B2019" s="1821">
        <f>'Cap Outlay Deprec 26'!D16</f>
        <v>589079</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25000</v>
      </c>
      <c r="C2026" s="2" t="s">
        <v>569</v>
      </c>
      <c r="D2026" s="2" t="str">
        <f t="shared" si="30"/>
        <v>Error?</v>
      </c>
    </row>
    <row r="2027" spans="1:4" x14ac:dyDescent="0.2">
      <c r="A2027" s="5">
        <v>1966</v>
      </c>
      <c r="B2027" s="1821">
        <f>'Cap Outlay Deprec 26'!F8</f>
        <v>3802617</v>
      </c>
      <c r="C2027" s="2" t="s">
        <v>569</v>
      </c>
      <c r="D2027" s="2" t="str">
        <f t="shared" si="30"/>
        <v>Error?</v>
      </c>
    </row>
    <row r="2028" spans="1:4" x14ac:dyDescent="0.2">
      <c r="A2028" s="5">
        <v>1967</v>
      </c>
      <c r="B2028" s="1821">
        <f>'Cap Outlay Deprec 26'!F10</f>
        <v>225937</v>
      </c>
      <c r="C2028" s="2" t="s">
        <v>569</v>
      </c>
      <c r="D2028" s="2" t="str">
        <f t="shared" si="30"/>
        <v>Error?</v>
      </c>
    </row>
    <row r="2029" spans="1:4" x14ac:dyDescent="0.2">
      <c r="A2029" s="5">
        <v>1968</v>
      </c>
      <c r="B2029" s="1821">
        <f>'Cap Outlay Deprec 26'!F12</f>
        <v>713905</v>
      </c>
      <c r="C2029" s="2" t="s">
        <v>569</v>
      </c>
      <c r="D2029" s="2" t="str">
        <f t="shared" si="30"/>
        <v>Error?</v>
      </c>
    </row>
    <row r="2030" spans="1:4" x14ac:dyDescent="0.2">
      <c r="A2030" s="5">
        <v>1969</v>
      </c>
      <c r="B2030" s="1821">
        <f>'Cap Outlay Deprec 26'!F13</f>
        <v>713500</v>
      </c>
      <c r="C2030" s="2" t="s">
        <v>569</v>
      </c>
      <c r="D2030" s="2" t="str">
        <f t="shared" si="30"/>
        <v>Error?</v>
      </c>
    </row>
    <row r="2031" spans="1:4" x14ac:dyDescent="0.2">
      <c r="A2031" s="5">
        <v>1970</v>
      </c>
      <c r="B2031" s="1821">
        <f>'Cap Outlay Deprec 26'!F16</f>
        <v>6035137</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1258251</v>
      </c>
      <c r="D2033" s="2" t="str">
        <f t="shared" si="30"/>
        <v>Error?</v>
      </c>
    </row>
    <row r="2034" spans="1:4" x14ac:dyDescent="0.2">
      <c r="A2034" s="5">
        <v>1973</v>
      </c>
      <c r="B2034" s="1821">
        <f>'Cap Outlay Deprec 26'!H10</f>
        <v>96499</v>
      </c>
      <c r="D2034" s="2" t="str">
        <f t="shared" si="30"/>
        <v>Error?</v>
      </c>
    </row>
    <row r="2035" spans="1:4" x14ac:dyDescent="0.2">
      <c r="A2035" s="5">
        <v>1974</v>
      </c>
      <c r="B2035" s="1821">
        <f>'Cap Outlay Deprec 26'!H12</f>
        <v>590942</v>
      </c>
      <c r="D2035" s="2" t="str">
        <f t="shared" si="30"/>
        <v>Error?</v>
      </c>
    </row>
    <row r="2036" spans="1:4" x14ac:dyDescent="0.2">
      <c r="A2036" s="5">
        <v>1975</v>
      </c>
      <c r="B2036" s="1821">
        <f>'Cap Outlay Deprec 26'!H13</f>
        <v>340314</v>
      </c>
      <c r="D2036" s="2" t="str">
        <f t="shared" si="30"/>
        <v>Error?</v>
      </c>
    </row>
    <row r="2037" spans="1:4" x14ac:dyDescent="0.2">
      <c r="A2037" s="5">
        <v>1976</v>
      </c>
      <c r="B2037" s="1821">
        <f>'Cap Outlay Deprec 26'!H16</f>
        <v>2286006</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76052</v>
      </c>
      <c r="D2039" s="2" t="str">
        <f t="shared" si="30"/>
        <v>Error?</v>
      </c>
    </row>
    <row r="2040" spans="1:4" x14ac:dyDescent="0.2">
      <c r="A2040" s="5">
        <v>1979</v>
      </c>
      <c r="B2040" s="1821">
        <f>'Cap Outlay Deprec 26'!I10</f>
        <v>7244</v>
      </c>
      <c r="D2040" s="2" t="str">
        <f t="shared" si="30"/>
        <v>Error?</v>
      </c>
    </row>
    <row r="2041" spans="1:4" x14ac:dyDescent="0.2">
      <c r="A2041" s="5">
        <v>1980</v>
      </c>
      <c r="B2041" s="1821">
        <f>'Cap Outlay Deprec 26'!I12</f>
        <v>22611</v>
      </c>
      <c r="D2041" s="2" t="str">
        <f t="shared" si="30"/>
        <v>Error?</v>
      </c>
    </row>
    <row r="2042" spans="1:4" x14ac:dyDescent="0.2">
      <c r="A2042" s="5">
        <v>1981</v>
      </c>
      <c r="B2042" s="1821">
        <f>'Cap Outlay Deprec 26'!I13</f>
        <v>112842</v>
      </c>
      <c r="D2042" s="2" t="str">
        <f t="shared" si="30"/>
        <v>Error?</v>
      </c>
    </row>
    <row r="2043" spans="1:4" x14ac:dyDescent="0.2">
      <c r="A2043" s="5">
        <v>1982</v>
      </c>
      <c r="B2043" s="1821">
        <f>'Cap Outlay Deprec 26'!I16</f>
        <v>218749</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1334303</v>
      </c>
      <c r="C2051" s="2" t="s">
        <v>569</v>
      </c>
      <c r="D2051" s="2" t="str">
        <f t="shared" si="31"/>
        <v>Error?</v>
      </c>
    </row>
    <row r="2052" spans="1:4" x14ac:dyDescent="0.2">
      <c r="A2052" s="5">
        <v>1991</v>
      </c>
      <c r="B2052" s="1821">
        <f>'Cap Outlay Deprec 26'!K10</f>
        <v>103743</v>
      </c>
      <c r="C2052" s="2" t="s">
        <v>569</v>
      </c>
      <c r="D2052" s="2" t="str">
        <f t="shared" si="31"/>
        <v>Error?</v>
      </c>
    </row>
    <row r="2053" spans="1:4" x14ac:dyDescent="0.2">
      <c r="A2053" s="5">
        <v>1992</v>
      </c>
      <c r="B2053" s="1821">
        <f>'Cap Outlay Deprec 26'!K12</f>
        <v>613553</v>
      </c>
      <c r="C2053" s="2" t="s">
        <v>569</v>
      </c>
      <c r="D2053" s="2" t="str">
        <f t="shared" si="31"/>
        <v>Error?</v>
      </c>
    </row>
    <row r="2054" spans="1:4" x14ac:dyDescent="0.2">
      <c r="A2054" s="5">
        <v>1993</v>
      </c>
      <c r="B2054" s="1821">
        <f>'Cap Outlay Deprec 26'!K13</f>
        <v>453156</v>
      </c>
      <c r="C2054" s="2" t="s">
        <v>569</v>
      </c>
      <c r="D2054" s="2" t="str">
        <f t="shared" si="31"/>
        <v>Error?</v>
      </c>
    </row>
    <row r="2055" spans="1:4" x14ac:dyDescent="0.2">
      <c r="A2055" s="5">
        <v>1994</v>
      </c>
      <c r="B2055" s="1821">
        <f>'Cap Outlay Deprec 26'!K16</f>
        <v>2504755</v>
      </c>
      <c r="C2055" s="2" t="s">
        <v>569</v>
      </c>
      <c r="D2055" s="2" t="str">
        <f t="shared" si="31"/>
        <v>Error?</v>
      </c>
    </row>
    <row r="2056" spans="1:4" x14ac:dyDescent="0.2">
      <c r="A2056" s="5">
        <v>1995</v>
      </c>
      <c r="B2056" s="1821">
        <f>'Cap Outlay Deprec 26'!L5</f>
        <v>25000</v>
      </c>
      <c r="C2056" s="2" t="s">
        <v>569</v>
      </c>
      <c r="D2056" s="2" t="str">
        <f t="shared" si="31"/>
        <v>Error?</v>
      </c>
    </row>
    <row r="2057" spans="1:4" x14ac:dyDescent="0.2">
      <c r="A2057" s="5">
        <v>1996</v>
      </c>
      <c r="B2057" s="1821">
        <f>'Cap Outlay Deprec 26'!L8</f>
        <v>2468314</v>
      </c>
      <c r="C2057" s="2" t="s">
        <v>569</v>
      </c>
      <c r="D2057" s="2" t="str">
        <f t="shared" si="31"/>
        <v>Error?</v>
      </c>
    </row>
    <row r="2058" spans="1:4" x14ac:dyDescent="0.2">
      <c r="A2058" s="5">
        <v>1997</v>
      </c>
      <c r="B2058" s="1821">
        <f>'Cap Outlay Deprec 26'!L10</f>
        <v>122194</v>
      </c>
      <c r="C2058" s="2" t="s">
        <v>569</v>
      </c>
      <c r="D2058" s="2" t="str">
        <f t="shared" si="31"/>
        <v>Error?</v>
      </c>
    </row>
    <row r="2059" spans="1:4" x14ac:dyDescent="0.2">
      <c r="A2059" s="5">
        <v>1998</v>
      </c>
      <c r="B2059" s="1821">
        <f>'Cap Outlay Deprec 26'!L12</f>
        <v>100352</v>
      </c>
      <c r="C2059" s="2" t="s">
        <v>569</v>
      </c>
      <c r="D2059" s="2" t="str">
        <f t="shared" si="31"/>
        <v>Error?</v>
      </c>
    </row>
    <row r="2060" spans="1:4" x14ac:dyDescent="0.2">
      <c r="A2060" s="5">
        <v>1999</v>
      </c>
      <c r="B2060" s="1821">
        <f>'Cap Outlay Deprec 26'!L13</f>
        <v>260344</v>
      </c>
      <c r="C2060" s="2" t="s">
        <v>569</v>
      </c>
      <c r="D2060" s="2" t="str">
        <f t="shared" si="31"/>
        <v>Error?</v>
      </c>
    </row>
    <row r="2061" spans="1:4" x14ac:dyDescent="0.2">
      <c r="A2061" s="5">
        <v>2000</v>
      </c>
      <c r="B2061" s="1821">
        <f>'Cap Outlay Deprec 26'!L16</f>
        <v>3530382</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0</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21303</v>
      </c>
      <c r="C2088" s="2" t="s">
        <v>569</v>
      </c>
      <c r="D2088" s="2" t="str">
        <f t="shared" si="31"/>
        <v>Error?</v>
      </c>
    </row>
    <row r="2089" spans="1:4" x14ac:dyDescent="0.2">
      <c r="A2089" s="5">
        <v>2028</v>
      </c>
      <c r="B2089" s="1821">
        <f>'Expenditures 15-22'!K92</f>
        <v>291127</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3338031</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250458</v>
      </c>
      <c r="C2553" s="2" t="s">
        <v>569</v>
      </c>
      <c r="D2553" s="2" t="str">
        <f t="shared" si="38"/>
        <v>Error?</v>
      </c>
    </row>
    <row r="2554" spans="1:4" x14ac:dyDescent="0.2">
      <c r="A2554" s="5">
        <v>2493</v>
      </c>
      <c r="B2554" s="1821">
        <f>'Acct Summary 7-8'!C7</f>
        <v>264065</v>
      </c>
      <c r="C2554" s="2" t="s">
        <v>569</v>
      </c>
      <c r="D2554" s="2" t="str">
        <f t="shared" si="38"/>
        <v>Error?</v>
      </c>
    </row>
    <row r="2555" spans="1:4" x14ac:dyDescent="0.2">
      <c r="A2555" s="5">
        <v>2494</v>
      </c>
      <c r="B2555" s="1821">
        <f>'Acct Summary 7-8'!C8</f>
        <v>3852554</v>
      </c>
      <c r="C2555" s="2" t="s">
        <v>569</v>
      </c>
      <c r="D2555" s="2" t="str">
        <f t="shared" si="38"/>
        <v>Error?</v>
      </c>
    </row>
    <row r="2556" spans="1:4" x14ac:dyDescent="0.2">
      <c r="A2556" s="5">
        <v>2495</v>
      </c>
      <c r="B2556" s="1821">
        <f>'Acct Summary 7-8'!C12</f>
        <v>2338975</v>
      </c>
      <c r="C2556" s="2" t="s">
        <v>569</v>
      </c>
      <c r="D2556" s="2" t="str">
        <f t="shared" si="38"/>
        <v>Error?</v>
      </c>
    </row>
    <row r="2557" spans="1:4" x14ac:dyDescent="0.2">
      <c r="A2557" s="5">
        <v>2496</v>
      </c>
      <c r="B2557" s="1821">
        <f>'Acct Summary 7-8'!C13</f>
        <v>597996</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312430</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3249401</v>
      </c>
      <c r="C2561" s="2" t="s">
        <v>569</v>
      </c>
      <c r="D2561" s="2" t="str">
        <f t="shared" si="39"/>
        <v>Error?</v>
      </c>
    </row>
    <row r="2562" spans="1:4" x14ac:dyDescent="0.2">
      <c r="A2562" s="5">
        <v>2501</v>
      </c>
      <c r="B2562" s="1821">
        <f>'Acct Summary 7-8'!C20</f>
        <v>603153</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587862</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50000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637862</v>
      </c>
      <c r="C2568" s="2" t="s">
        <v>569</v>
      </c>
      <c r="D2568" s="2" t="str">
        <f t="shared" si="39"/>
        <v>Error?</v>
      </c>
    </row>
    <row r="2569" spans="1:4" x14ac:dyDescent="0.2">
      <c r="A2569" s="5">
        <v>2508</v>
      </c>
      <c r="B2569" s="1821">
        <f>'Acct Summary 7-8'!D13</f>
        <v>217556</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217556</v>
      </c>
      <c r="C2573" s="2" t="s">
        <v>569</v>
      </c>
      <c r="D2573" s="2" t="str">
        <f t="shared" si="39"/>
        <v>Error?</v>
      </c>
    </row>
    <row r="2574" spans="1:4" x14ac:dyDescent="0.2">
      <c r="A2574" s="5">
        <v>2513</v>
      </c>
      <c r="B2574" s="1821">
        <f>'Acct Summary 7-8'!D20</f>
        <v>420306</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37693</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187334</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225027</v>
      </c>
      <c r="C2595" s="2" t="s">
        <v>569</v>
      </c>
      <c r="D2595" s="2" t="str">
        <f t="shared" si="39"/>
        <v>Error?</v>
      </c>
    </row>
    <row r="2596" spans="1:4" x14ac:dyDescent="0.2">
      <c r="A2596" s="5">
        <v>2535</v>
      </c>
      <c r="B2596" s="1821">
        <f>'Acct Summary 7-8'!F13</f>
        <v>240650</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240650</v>
      </c>
      <c r="C2600" s="2" t="s">
        <v>569</v>
      </c>
      <c r="D2600" s="2" t="str">
        <f t="shared" si="39"/>
        <v>Error?</v>
      </c>
    </row>
    <row r="2601" spans="1:4" x14ac:dyDescent="0.2">
      <c r="A2601" s="5">
        <v>2540</v>
      </c>
      <c r="B2601" s="1821">
        <f>'Acct Summary 7-8'!F20</f>
        <v>-15623</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151304</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151304</v>
      </c>
      <c r="C2606" s="2" t="s">
        <v>569</v>
      </c>
      <c r="D2606" s="2" t="str">
        <f t="shared" si="39"/>
        <v>Error?</v>
      </c>
    </row>
    <row r="2607" spans="1:4" x14ac:dyDescent="0.2">
      <c r="A2607" s="5">
        <v>2546</v>
      </c>
      <c r="B2607" s="1821">
        <f>'Acct Summary 7-8'!G12</f>
        <v>49949</v>
      </c>
      <c r="C2607" s="2" t="s">
        <v>569</v>
      </c>
      <c r="D2607" s="2" t="str">
        <f t="shared" si="39"/>
        <v>Error?</v>
      </c>
    </row>
    <row r="2608" spans="1:4" x14ac:dyDescent="0.2">
      <c r="A2608" s="5">
        <v>2547</v>
      </c>
      <c r="B2608" s="1821">
        <f>'Acct Summary 7-8'!G13</f>
        <v>65170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115119</v>
      </c>
      <c r="C2612" s="2" t="s">
        <v>569</v>
      </c>
      <c r="D2612" s="2" t="str">
        <f t="shared" si="39"/>
        <v>Error?</v>
      </c>
    </row>
    <row r="2613" spans="1:4" x14ac:dyDescent="0.2">
      <c r="A2613" s="5">
        <v>2552</v>
      </c>
      <c r="B2613" s="1821">
        <f>'Acct Summary 7-8'!G20</f>
        <v>36185</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1722</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1722</v>
      </c>
      <c r="C2658" s="2" t="s">
        <v>569</v>
      </c>
      <c r="D2658" s="2" t="str">
        <f t="shared" si="40"/>
        <v>Error?</v>
      </c>
    </row>
    <row r="2659" spans="1:4" x14ac:dyDescent="0.2">
      <c r="A2659" s="5">
        <v>2598</v>
      </c>
      <c r="B2659" s="1821">
        <f>'Acct Summary 7-8'!H13</f>
        <v>555060</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555060</v>
      </c>
      <c r="C2661" s="2" t="s">
        <v>569</v>
      </c>
      <c r="D2661" s="2" t="str">
        <f t="shared" si="40"/>
        <v>Error?</v>
      </c>
    </row>
    <row r="2662" spans="1:4" x14ac:dyDescent="0.2">
      <c r="A2662" s="5">
        <v>2601</v>
      </c>
      <c r="B2662" s="1821">
        <f>'Acct Summary 7-8'!H20</f>
        <v>-553338</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21303</v>
      </c>
      <c r="C2789" s="2" t="s">
        <v>569</v>
      </c>
      <c r="D2789" s="2" t="str">
        <f t="shared" si="42"/>
        <v>Error?</v>
      </c>
    </row>
    <row r="2790" spans="1:4" x14ac:dyDescent="0.2">
      <c r="A2790" s="5">
        <v>2729</v>
      </c>
      <c r="B2790" s="1821">
        <f>'Expenditures 15-22'!E102</f>
        <v>21303</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554178</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45136</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30751</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45136</v>
      </c>
      <c r="D2912" s="2" t="str">
        <f t="shared" si="44"/>
        <v>Error?</v>
      </c>
    </row>
    <row r="2913" spans="1:4" x14ac:dyDescent="0.2">
      <c r="A2913" s="5">
        <v>2852</v>
      </c>
      <c r="B2913" s="1821">
        <f>'Assets-Liab 5-6'!I41</f>
        <v>45136</v>
      </c>
      <c r="C2913" s="2" t="s">
        <v>569</v>
      </c>
      <c r="D2913" s="2" t="str">
        <f t="shared" si="44"/>
        <v>Error?</v>
      </c>
    </row>
    <row r="2914" spans="1:4" x14ac:dyDescent="0.2">
      <c r="A2914" s="5">
        <v>2853</v>
      </c>
      <c r="B2914" s="1821">
        <f>'Assets-Liab 5-6'!L33</f>
        <v>30751</v>
      </c>
      <c r="D2914" s="2" t="str">
        <f t="shared" si="44"/>
        <v>Error?</v>
      </c>
    </row>
    <row r="2915" spans="1:4" x14ac:dyDescent="0.2">
      <c r="A2915" s="10">
        <v>2854</v>
      </c>
      <c r="B2915" s="1821"/>
      <c r="D2915" s="2" t="str">
        <f t="shared" si="44"/>
        <v>OK</v>
      </c>
    </row>
    <row r="2916" spans="1:4" x14ac:dyDescent="0.2">
      <c r="A2916" s="5">
        <v>2855</v>
      </c>
      <c r="B2916" s="1821">
        <f>'Assets-Liab 5-6'!L34</f>
        <v>30751</v>
      </c>
      <c r="C2916" s="2" t="s">
        <v>569</v>
      </c>
      <c r="D2916" s="2" t="str">
        <f t="shared" si="44"/>
        <v>Error?</v>
      </c>
    </row>
    <row r="2917" spans="1:4" x14ac:dyDescent="0.2">
      <c r="A2917" s="5">
        <v>2856</v>
      </c>
      <c r="B2917" s="1821">
        <f>'Assets-Liab 5-6'!L41</f>
        <v>30751</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21303</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21303</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62873</v>
      </c>
      <c r="D3055" s="2" t="str">
        <f t="shared" si="46"/>
        <v>Error?</v>
      </c>
    </row>
    <row r="3056" spans="1:4" x14ac:dyDescent="0.2">
      <c r="A3056" s="5">
        <v>2995</v>
      </c>
      <c r="B3056" s="1821">
        <f>'Expenditures 15-22'!D10</f>
        <v>13115</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75988</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912</v>
      </c>
      <c r="D3064" s="2" t="str">
        <f t="shared" si="46"/>
        <v>Error?</v>
      </c>
    </row>
    <row r="3065" spans="1:4" x14ac:dyDescent="0.2">
      <c r="A3065" s="5">
        <v>3004</v>
      </c>
      <c r="B3065" s="1821">
        <f>'Expenditures 15-22'!K219</f>
        <v>912</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22049</v>
      </c>
      <c r="C3225" s="2" t="s">
        <v>569</v>
      </c>
      <c r="D3225" s="2" t="str">
        <f t="shared" si="49"/>
        <v>Error?</v>
      </c>
    </row>
    <row r="3226" spans="1:4" x14ac:dyDescent="0.2">
      <c r="A3226" s="5">
        <v>3165</v>
      </c>
      <c r="B3226" s="1821">
        <f>'Acct Summary 7-8'!I8</f>
        <v>22049</v>
      </c>
      <c r="C3226" s="2" t="s">
        <v>569</v>
      </c>
      <c r="D3226" s="2" t="str">
        <f t="shared" si="49"/>
        <v>Error?</v>
      </c>
    </row>
    <row r="3227" spans="1:4" x14ac:dyDescent="0.2">
      <c r="A3227" s="5">
        <v>3166</v>
      </c>
      <c r="B3227" s="1821">
        <f>'Acct Summary 7-8'!I20</f>
        <v>22049</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800000</v>
      </c>
      <c r="C3231" s="2" t="s">
        <v>569</v>
      </c>
      <c r="D3231" s="2" t="str">
        <f t="shared" si="49"/>
        <v>Error?</v>
      </c>
    </row>
    <row r="3232" spans="1:4" x14ac:dyDescent="0.2">
      <c r="A3232" s="5">
        <v>3171</v>
      </c>
      <c r="B3232" s="1821">
        <f>'Acct Summary 7-8'!C77</f>
        <v>-800000</v>
      </c>
      <c r="C3232" s="2" t="s">
        <v>569</v>
      </c>
      <c r="D3232" s="2" t="str">
        <f t="shared" si="49"/>
        <v>Error?</v>
      </c>
    </row>
    <row r="3233" spans="1:4" x14ac:dyDescent="0.2">
      <c r="A3233" s="5">
        <v>3172</v>
      </c>
      <c r="B3233" s="1821">
        <f>'Acct Summary 7-8'!C78</f>
        <v>-196847</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1000000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2200000</v>
      </c>
      <c r="C3237" s="2" t="s">
        <v>569</v>
      </c>
      <c r="D3237" s="2" t="str">
        <f t="shared" si="49"/>
        <v>Error?</v>
      </c>
    </row>
    <row r="3238" spans="1:4" x14ac:dyDescent="0.2">
      <c r="A3238" s="5">
        <v>3177</v>
      </c>
      <c r="B3238" s="1821">
        <f>'Acct Summary 7-8'!D77</f>
        <v>-1200000</v>
      </c>
      <c r="C3238" s="2" t="s">
        <v>569</v>
      </c>
      <c r="D3238" s="2" t="str">
        <f t="shared" si="49"/>
        <v>Error?</v>
      </c>
    </row>
    <row r="3239" spans="1:4" x14ac:dyDescent="0.2">
      <c r="A3239" s="5">
        <v>3178</v>
      </c>
      <c r="B3239" s="1821">
        <f>'Acct Summary 7-8'!D78</f>
        <v>-779694</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200000</v>
      </c>
      <c r="C3254" s="2" t="s">
        <v>569</v>
      </c>
      <c r="D3254" s="2" t="str">
        <f t="shared" si="49"/>
        <v>Error?</v>
      </c>
    </row>
    <row r="3255" spans="1:4" x14ac:dyDescent="0.2">
      <c r="A3255" s="5">
        <v>3194</v>
      </c>
      <c r="B3255" s="1821">
        <f>'Acct Summary 7-8'!F77</f>
        <v>-200000</v>
      </c>
      <c r="C3255" s="2" t="s">
        <v>569</v>
      </c>
      <c r="D3255" s="2" t="str">
        <f t="shared" si="49"/>
        <v>Error?</v>
      </c>
    </row>
    <row r="3256" spans="1:4" x14ac:dyDescent="0.2">
      <c r="A3256" s="5">
        <v>3195</v>
      </c>
      <c r="B3256" s="1821">
        <f>'Acct Summary 7-8'!F78</f>
        <v>-215623</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36185</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2200000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2200000</v>
      </c>
      <c r="C3299" s="2" t="s">
        <v>569</v>
      </c>
      <c r="D3299" s="2" t="str">
        <f t="shared" si="50"/>
        <v>Error?</v>
      </c>
    </row>
    <row r="3300" spans="1:4" x14ac:dyDescent="0.2">
      <c r="A3300" s="5">
        <v>3239</v>
      </c>
      <c r="B3300" s="1821">
        <f>'Acct Summary 7-8'!H78</f>
        <v>1646662</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22049</v>
      </c>
      <c r="C3320" s="2" t="s">
        <v>569</v>
      </c>
      <c r="D3320" s="2" t="str">
        <f t="shared" si="50"/>
        <v>Error?</v>
      </c>
    </row>
    <row r="3321" spans="1:4" x14ac:dyDescent="0.2">
      <c r="A3321" s="5">
        <v>3260</v>
      </c>
      <c r="B3321" s="1821">
        <f>'Acct Summary 7-8'!I79</f>
        <v>23087</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45136</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218816</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27177</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245993</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45148</v>
      </c>
      <c r="D3387" s="2" t="str">
        <f t="shared" si="51"/>
        <v>Error?</v>
      </c>
    </row>
    <row r="3388" spans="1:4" x14ac:dyDescent="0.2">
      <c r="A3388" s="5">
        <v>3327</v>
      </c>
      <c r="B3388" s="1821">
        <f>'Expenditures 15-22'!D217</f>
        <v>3173</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45148</v>
      </c>
      <c r="C3390" s="2" t="s">
        <v>569</v>
      </c>
      <c r="D3390" s="2" t="str">
        <f t="shared" si="51"/>
        <v>Error?</v>
      </c>
    </row>
    <row r="3391" spans="1:4" x14ac:dyDescent="0.2">
      <c r="A3391" s="5">
        <v>3330</v>
      </c>
      <c r="B3391" s="1821">
        <f>'Expenditures 15-22'!K217</f>
        <v>3173</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7896195</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606243</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578995</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223683</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1969835</v>
      </c>
      <c r="D3425" s="2" t="str">
        <f t="shared" si="52"/>
        <v>Error?</v>
      </c>
    </row>
    <row r="3426" spans="1:4" x14ac:dyDescent="0.2">
      <c r="A3426" s="10">
        <v>3365</v>
      </c>
      <c r="B3426" s="1821"/>
      <c r="D3426" s="2" t="str">
        <f t="shared" si="52"/>
        <v>OK</v>
      </c>
    </row>
    <row r="3427" spans="1:4" x14ac:dyDescent="0.2">
      <c r="A3427" s="5">
        <v>3366</v>
      </c>
      <c r="B3427" s="1821">
        <f>'Assets-Liab 5-6'!I4</f>
        <v>45136</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30751</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48773</v>
      </c>
      <c r="C3446" s="2" t="s">
        <v>569</v>
      </c>
      <c r="D3446" s="2" t="str">
        <f t="shared" si="52"/>
        <v>Error?</v>
      </c>
    </row>
    <row r="3447" spans="1:4" x14ac:dyDescent="0.2">
      <c r="A3447" s="5">
        <v>3386</v>
      </c>
      <c r="B3447" s="1821">
        <f>'Tax Sched 23'!D16</f>
        <v>23814</v>
      </c>
      <c r="C3447" s="2" t="s">
        <v>569</v>
      </c>
      <c r="D3447" s="2" t="str">
        <f t="shared" si="52"/>
        <v>Error?</v>
      </c>
    </row>
    <row r="3448" spans="1:4" x14ac:dyDescent="0.2">
      <c r="A3448" s="5">
        <v>3387</v>
      </c>
      <c r="B3448" s="1821">
        <f>'Tax Sched 23'!C16</f>
        <v>24959</v>
      </c>
      <c r="D3448" s="2" t="str">
        <f t="shared" si="52"/>
        <v>Error?</v>
      </c>
    </row>
    <row r="3449" spans="1:4" x14ac:dyDescent="0.2">
      <c r="A3449" s="5">
        <v>3388</v>
      </c>
      <c r="B3449" s="1821">
        <f>'Tax Sched 23'!F16</f>
        <v>27453</v>
      </c>
      <c r="C3449" s="2" t="s">
        <v>569</v>
      </c>
      <c r="D3449" s="2" t="str">
        <f t="shared" si="52"/>
        <v>Error?</v>
      </c>
    </row>
    <row r="3450" spans="1:4" x14ac:dyDescent="0.2">
      <c r="A3450" s="5">
        <v>3389</v>
      </c>
      <c r="B3450" s="1821">
        <f>'Tax Sched 23'!E16</f>
        <v>52412</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554178</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554178</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554178</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1652687</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5505241</v>
      </c>
      <c r="C4122" s="2" t="s">
        <v>569</v>
      </c>
      <c r="D4122" s="2" t="str">
        <f t="shared" si="63"/>
        <v>Error?</v>
      </c>
    </row>
    <row r="4123" spans="1:4" x14ac:dyDescent="0.2">
      <c r="A4123" s="5">
        <v>4062</v>
      </c>
      <c r="B4123" s="1821">
        <f>'Acct Summary 7-8'!D10</f>
        <v>637862</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225027</v>
      </c>
      <c r="C4125" s="2" t="s">
        <v>569</v>
      </c>
      <c r="D4125" s="2" t="str">
        <f t="shared" si="63"/>
        <v>Error?</v>
      </c>
    </row>
    <row r="4126" spans="1:4" x14ac:dyDescent="0.2">
      <c r="A4126" s="5">
        <v>4065</v>
      </c>
      <c r="B4126" s="1821">
        <f>'Acct Summary 7-8'!G10</f>
        <v>151304</v>
      </c>
      <c r="C4126" s="2" t="s">
        <v>569</v>
      </c>
      <c r="D4126" s="2" t="str">
        <f t="shared" si="63"/>
        <v>Error?</v>
      </c>
    </row>
    <row r="4127" spans="1:4" x14ac:dyDescent="0.2">
      <c r="A4127" s="5">
        <v>4066</v>
      </c>
      <c r="B4127" s="1821">
        <f>'Acct Summary 7-8'!H10</f>
        <v>1722</v>
      </c>
      <c r="C4127" s="2" t="s">
        <v>569</v>
      </c>
      <c r="D4127" s="2" t="str">
        <f t="shared" si="63"/>
        <v>Error?</v>
      </c>
    </row>
    <row r="4128" spans="1:4" x14ac:dyDescent="0.2">
      <c r="A4128" s="5">
        <v>4067</v>
      </c>
      <c r="B4128" s="1821">
        <f>'Acct Summary 7-8'!I10</f>
        <v>22049</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1652687</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4902088</v>
      </c>
      <c r="C4136" s="2" t="s">
        <v>569</v>
      </c>
      <c r="D4136" s="2" t="str">
        <f t="shared" si="63"/>
        <v>Error?</v>
      </c>
    </row>
    <row r="4137" spans="1:4" x14ac:dyDescent="0.2">
      <c r="A4137" s="5">
        <v>4076</v>
      </c>
      <c r="B4137" s="1821">
        <f>'Acct Summary 7-8'!D19</f>
        <v>217556</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240650</v>
      </c>
      <c r="C4139" s="2" t="s">
        <v>569</v>
      </c>
      <c r="D4139" s="2" t="str">
        <f t="shared" si="63"/>
        <v>Error?</v>
      </c>
    </row>
    <row r="4140" spans="1:4" x14ac:dyDescent="0.2">
      <c r="A4140" s="5">
        <v>4079</v>
      </c>
      <c r="B4140" s="1821">
        <f>'Acct Summary 7-8'!G19</f>
        <v>115119</v>
      </c>
      <c r="C4140" s="2" t="s">
        <v>569</v>
      </c>
      <c r="D4140" s="2" t="str">
        <f t="shared" si="63"/>
        <v>Error?</v>
      </c>
    </row>
    <row r="4141" spans="1:4" x14ac:dyDescent="0.2">
      <c r="A4141" s="5">
        <v>4080</v>
      </c>
      <c r="B4141" s="1821">
        <f>'Acct Summary 7-8'!H19</f>
        <v>555060</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2691.2999999999997</v>
      </c>
      <c r="C4265" s="2" t="s">
        <v>569</v>
      </c>
      <c r="D4265" s="2" t="str">
        <f t="shared" si="65"/>
        <v>Error?</v>
      </c>
      <c r="E4265" s="125"/>
    </row>
    <row r="4266" spans="1:5" x14ac:dyDescent="0.2">
      <c r="A4266" s="12">
        <v>4205</v>
      </c>
      <c r="B4266" s="1821">
        <f>('FP Info 3'!F10)*100000</f>
        <v>529</v>
      </c>
      <c r="C4266" s="2" t="s">
        <v>569</v>
      </c>
      <c r="D4266" s="2" t="str">
        <f t="shared" si="65"/>
        <v>Error?</v>
      </c>
      <c r="E4266" s="125"/>
    </row>
    <row r="4267" spans="1:5" x14ac:dyDescent="0.2">
      <c r="A4267" s="12">
        <v>4206</v>
      </c>
      <c r="B4267" s="1821">
        <f>('FP Info 3'!H10)*100000</f>
        <v>12.6</v>
      </c>
      <c r="C4267" s="2" t="s">
        <v>569</v>
      </c>
      <c r="D4267" s="2" t="str">
        <f t="shared" si="65"/>
        <v>Error?</v>
      </c>
      <c r="E4267" s="125"/>
    </row>
    <row r="4268" spans="1:5" x14ac:dyDescent="0.2">
      <c r="A4268" s="12">
        <v>4207</v>
      </c>
      <c r="B4268" s="1821">
        <f>('FP Info 3'!J10)*100000</f>
        <v>3232.9999999999995</v>
      </c>
      <c r="C4268" s="2" t="s">
        <v>569</v>
      </c>
      <c r="D4268" s="2" t="str">
        <f t="shared" si="65"/>
        <v>Error?</v>
      </c>
    </row>
    <row r="4269" spans="1:5" x14ac:dyDescent="0.2">
      <c r="A4269" s="12">
        <v>4208</v>
      </c>
      <c r="B4269" s="1821">
        <f>'FP Info 3'!J16</f>
        <v>9126599</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2534</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8175</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4969</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14866</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21</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50000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23588</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117947713</v>
      </c>
      <c r="D4995" s="2" t="str">
        <f t="shared" si="77"/>
        <v>Error?</v>
      </c>
    </row>
    <row r="4996" spans="1:4" x14ac:dyDescent="0.2">
      <c r="A4996" s="12">
        <v>4935</v>
      </c>
      <c r="B4996" s="1821">
        <f>'FP Info 3'!H31</f>
        <v>8138392.1970000006</v>
      </c>
      <c r="D4996" s="2" t="str">
        <f t="shared" si="77"/>
        <v>Error?</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1000000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800000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200000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2946089</v>
      </c>
      <c r="D5061" s="2" t="str">
        <f t="shared" si="78"/>
        <v>Error?</v>
      </c>
    </row>
    <row r="5062" spans="1:4" x14ac:dyDescent="0.2">
      <c r="A5062" s="10">
        <v>5001</v>
      </c>
      <c r="B5062" s="1821"/>
      <c r="D5062" s="2" t="str">
        <f t="shared" si="78"/>
        <v>OK</v>
      </c>
    </row>
    <row r="5063" spans="1:4" x14ac:dyDescent="0.2">
      <c r="A5063" s="5">
        <v>5002</v>
      </c>
      <c r="B5063" s="1821">
        <f>'Revenues 9-14'!C7</f>
        <v>234576</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3180665</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0</v>
      </c>
      <c r="C5087" s="2" t="s">
        <v>569</v>
      </c>
      <c r="D5087" s="2" t="str">
        <f t="shared" si="78"/>
        <v>Error?</v>
      </c>
    </row>
    <row r="5088" spans="1:4" x14ac:dyDescent="0.2">
      <c r="A5088" s="5">
        <v>5027</v>
      </c>
      <c r="B5088" s="1821">
        <f>'Revenues 9-14'!C65</f>
        <v>30919</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30919</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357</v>
      </c>
      <c r="D5094" s="2" t="str">
        <f t="shared" si="78"/>
        <v>Error?</v>
      </c>
    </row>
    <row r="5095" spans="1:4" x14ac:dyDescent="0.2">
      <c r="A5095" s="5">
        <v>5034</v>
      </c>
      <c r="B5095" s="1821">
        <f>'Revenues 9-14'!C74</f>
        <v>44</v>
      </c>
      <c r="D5095" s="2" t="str">
        <f t="shared" si="78"/>
        <v>Error?</v>
      </c>
    </row>
    <row r="5096" spans="1:4" x14ac:dyDescent="0.2">
      <c r="A5096" s="5">
        <v>5035</v>
      </c>
      <c r="B5096" s="1821">
        <f>'Revenues 9-14'!C75</f>
        <v>38842</v>
      </c>
      <c r="C5096" s="2" t="s">
        <v>569</v>
      </c>
      <c r="D5096" s="2" t="str">
        <f t="shared" si="78"/>
        <v>Error?</v>
      </c>
    </row>
    <row r="5097" spans="1:4" x14ac:dyDescent="0.2">
      <c r="A5097" s="5">
        <v>5036</v>
      </c>
      <c r="B5097" s="1821">
        <f>'Revenues 9-14'!C77</f>
        <v>1266</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12720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4368</v>
      </c>
      <c r="D5101" s="2" t="str">
        <f t="shared" si="78"/>
        <v>Error?</v>
      </c>
    </row>
    <row r="5102" spans="1:4" x14ac:dyDescent="0.2">
      <c r="A5102" s="5">
        <v>5041</v>
      </c>
      <c r="B5102" s="1821">
        <f>'Revenues 9-14'!C82</f>
        <v>18354</v>
      </c>
      <c r="C5102" s="2" t="s">
        <v>569</v>
      </c>
      <c r="D5102" s="2" t="str">
        <f t="shared" si="78"/>
        <v>Error?</v>
      </c>
    </row>
    <row r="5103" spans="1:4" x14ac:dyDescent="0.2">
      <c r="A5103" s="5">
        <v>5042</v>
      </c>
      <c r="B5103" s="1821">
        <f>'Revenues 9-14'!C84</f>
        <v>20856</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20856</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5818</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42577</v>
      </c>
      <c r="D5118" s="2" t="str">
        <f t="shared" si="78"/>
        <v>Error?</v>
      </c>
    </row>
    <row r="5119" spans="1:4" x14ac:dyDescent="0.2">
      <c r="A5119" s="5">
        <v>5058</v>
      </c>
      <c r="B5119" s="1821">
        <f>'Revenues 9-14'!C107</f>
        <v>0</v>
      </c>
      <c r="D5119" s="2" t="str">
        <f t="shared" ref="D5119:D5182" si="79">IF(ISBLANK(B5119),"OK",IF(A5119-B5119=0,"OK","Error?"))</f>
        <v>Error?</v>
      </c>
    </row>
    <row r="5120" spans="1:4" x14ac:dyDescent="0.2">
      <c r="A5120" s="5">
        <v>5059</v>
      </c>
      <c r="B5120" s="1821">
        <f>'Revenues 9-14'!C108</f>
        <v>48395</v>
      </c>
      <c r="C5120" s="2" t="s">
        <v>569</v>
      </c>
      <c r="D5120" s="2" t="str">
        <f t="shared" si="79"/>
        <v>Error?</v>
      </c>
    </row>
    <row r="5121" spans="1:4" x14ac:dyDescent="0.2">
      <c r="A5121" s="5">
        <v>5060</v>
      </c>
      <c r="B5121" s="1821">
        <f>'Revenues 9-14'!C109</f>
        <v>3338031</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239651</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239651</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10522</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10522</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285</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10807</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250458</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23588</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25546</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18675</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44221</v>
      </c>
      <c r="C5246" s="2" t="s">
        <v>569</v>
      </c>
      <c r="D5246" s="2" t="str">
        <f t="shared" si="80"/>
        <v>Error?</v>
      </c>
    </row>
    <row r="5247" spans="1:4" x14ac:dyDescent="0.2">
      <c r="A5247" s="5">
        <v>5186</v>
      </c>
      <c r="B5247" s="1821">
        <f>'Revenues 9-14'!C200</f>
        <v>85977</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4969</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85977</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1327</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78408</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79735</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240477</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264065</v>
      </c>
      <c r="C5326" s="2" t="s">
        <v>569</v>
      </c>
      <c r="D5326" s="2" t="str">
        <f t="shared" si="82"/>
        <v>Error?</v>
      </c>
    </row>
    <row r="5327" spans="1:5" x14ac:dyDescent="0.2">
      <c r="A5327" s="5">
        <v>5266</v>
      </c>
      <c r="B5327" s="1821">
        <f>'Revenues 9-14'!C268</f>
        <v>3852554</v>
      </c>
      <c r="C5327" s="2" t="s">
        <v>569</v>
      </c>
      <c r="D5327" s="2" t="str">
        <f t="shared" si="82"/>
        <v>Error?</v>
      </c>
    </row>
    <row r="5328" spans="1:5" x14ac:dyDescent="0.2">
      <c r="A5328" s="5">
        <v>5267</v>
      </c>
      <c r="B5328" s="1821">
        <f>'Revenues 9-14'!D5</f>
        <v>582172</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582172</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5690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5690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587862</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50000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637862</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10726</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10726</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26722</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26722</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73</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73</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172</v>
      </c>
      <c r="D5586" s="2" t="str">
        <f t="shared" si="86"/>
        <v>Error?</v>
      </c>
    </row>
    <row r="5587" spans="1:4" x14ac:dyDescent="0.2">
      <c r="A5587" s="5">
        <v>5526</v>
      </c>
      <c r="B5587" s="1821">
        <f>'Revenues 9-14'!F108</f>
        <v>172</v>
      </c>
      <c r="C5587" s="2" t="s">
        <v>569</v>
      </c>
      <c r="D5587" s="2" t="str">
        <f t="shared" si="86"/>
        <v>Error?</v>
      </c>
    </row>
    <row r="5588" spans="1:4" x14ac:dyDescent="0.2">
      <c r="A5588" s="5">
        <v>5527</v>
      </c>
      <c r="B5588" s="1821">
        <f>'Revenues 9-14'!F109</f>
        <v>37693</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166552</v>
      </c>
      <c r="D5615" s="2" t="str">
        <f t="shared" si="86"/>
        <v>Error?</v>
      </c>
    </row>
    <row r="5616" spans="1:4" x14ac:dyDescent="0.2">
      <c r="A5616" s="10">
        <v>5555</v>
      </c>
      <c r="B5616" s="1821"/>
      <c r="D5616" s="2" t="str">
        <f t="shared" si="86"/>
        <v>OK</v>
      </c>
    </row>
    <row r="5617" spans="1:5" x14ac:dyDescent="0.2">
      <c r="A5617" s="5">
        <v>5556</v>
      </c>
      <c r="B5617" s="1821">
        <f>'Revenues 9-14'!F153</f>
        <v>20782</v>
      </c>
      <c r="D5617" s="2" t="str">
        <f t="shared" si="86"/>
        <v>Error?</v>
      </c>
    </row>
    <row r="5618" spans="1:5" x14ac:dyDescent="0.2">
      <c r="A5618" s="5">
        <v>5557</v>
      </c>
      <c r="B5618" s="1821">
        <f>'Revenues 9-14'!F155</f>
        <v>187334</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187334</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187334</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225027</v>
      </c>
      <c r="C5720" s="2" t="s">
        <v>569</v>
      </c>
      <c r="D5720" s="2" t="str">
        <f t="shared" si="88"/>
        <v>Error?</v>
      </c>
    </row>
    <row r="5721" spans="1:4" x14ac:dyDescent="0.2">
      <c r="A5721" s="5">
        <v>5660</v>
      </c>
      <c r="B5721" s="1821">
        <f>'Revenues 9-14'!G5</f>
        <v>96619</v>
      </c>
      <c r="D5721" s="2" t="str">
        <f t="shared" si="88"/>
        <v>Error?</v>
      </c>
    </row>
    <row r="5722" spans="1:4" x14ac:dyDescent="0.2">
      <c r="A5722" s="5">
        <v>5661</v>
      </c>
      <c r="B5722" s="1821">
        <f>'Revenues 9-14'!G7</f>
        <v>0</v>
      </c>
      <c r="D5722" s="2" t="str">
        <f t="shared" si="88"/>
        <v>Error?</v>
      </c>
    </row>
    <row r="5723" spans="1:4" x14ac:dyDescent="0.2">
      <c r="A5723" s="5">
        <v>5662</v>
      </c>
      <c r="B5723" s="1821">
        <f>'Revenues 9-14'!G8</f>
        <v>48773</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145392</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4495</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4495</v>
      </c>
      <c r="C5730" s="2" t="s">
        <v>569</v>
      </c>
      <c r="D5730" s="2" t="str">
        <f t="shared" si="88"/>
        <v>Error?</v>
      </c>
    </row>
    <row r="5731" spans="1:4" x14ac:dyDescent="0.2">
      <c r="A5731" s="5">
        <v>5670</v>
      </c>
      <c r="B5731" s="1821">
        <f>'Revenues 9-14'!G65</f>
        <v>1417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1417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151304</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0</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0</v>
      </c>
      <c r="C5881" s="2" t="s">
        <v>569</v>
      </c>
      <c r="D5881" s="2" t="str">
        <f t="shared" si="90"/>
        <v>Error?</v>
      </c>
    </row>
    <row r="5882" spans="1:4" x14ac:dyDescent="0.2">
      <c r="A5882" s="5">
        <v>5821</v>
      </c>
      <c r="B5882" s="1821">
        <f>'Revenues 9-14'!H96</f>
        <v>1722</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1722</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1722</v>
      </c>
      <c r="C5915" s="2" t="s">
        <v>569</v>
      </c>
      <c r="D5915" s="2" t="str">
        <f t="shared" si="91"/>
        <v>Error?</v>
      </c>
    </row>
    <row r="5916" spans="1:4" x14ac:dyDescent="0.2">
      <c r="A5916" s="5">
        <v>5855</v>
      </c>
      <c r="B5916" s="1821">
        <f>'Revenues 9-14'!I5</f>
        <v>21848</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21848</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201</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201</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22049</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151304</v>
      </c>
      <c r="C6024" s="2" t="s">
        <v>569</v>
      </c>
      <c r="D6024" s="2" t="str">
        <f t="shared" si="93"/>
        <v>Error?</v>
      </c>
    </row>
    <row r="6025" spans="1:5" x14ac:dyDescent="0.2">
      <c r="A6025" s="5">
        <v>5964</v>
      </c>
      <c r="B6025" s="1821">
        <f>'Revenues 9-14'!H109</f>
        <v>1722</v>
      </c>
      <c r="C6025" s="2" t="s">
        <v>569</v>
      </c>
      <c r="D6025" s="2" t="str">
        <f t="shared" si="93"/>
        <v>Error?</v>
      </c>
    </row>
    <row r="6026" spans="1:5" x14ac:dyDescent="0.2">
      <c r="A6026" s="5">
        <v>5965</v>
      </c>
      <c r="B6026" s="1821">
        <f>'Revenues 9-14'!I109</f>
        <v>22049</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38441</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270.60000000000002</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121761</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121761</v>
      </c>
      <c r="D6215" s="2" t="str">
        <f t="shared" si="96"/>
        <v>Error?</v>
      </c>
      <c r="E6215" s="2" t="s">
        <v>189</v>
      </c>
    </row>
    <row r="6216" spans="1:5" x14ac:dyDescent="0.2">
      <c r="A6216">
        <v>6155</v>
      </c>
      <c r="B6216" s="1821">
        <f>'Assets-Liab 5-6'!J41</f>
        <v>121761</v>
      </c>
      <c r="D6216" s="2" t="str">
        <f t="shared" si="96"/>
        <v>Error?</v>
      </c>
      <c r="E6216" s="2" t="s">
        <v>189</v>
      </c>
    </row>
    <row r="6217" spans="1:5" x14ac:dyDescent="0.2">
      <c r="A6217">
        <v>6156</v>
      </c>
      <c r="B6217" s="1821">
        <f>'Assets-Liab 5-6'!J4</f>
        <v>121761</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42683</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42683</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42683</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50404</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50404</v>
      </c>
      <c r="D6229" s="2" t="str">
        <f t="shared" si="96"/>
        <v>Error?</v>
      </c>
      <c r="E6229" s="2" t="s">
        <v>189</v>
      </c>
    </row>
    <row r="6230" spans="1:5" x14ac:dyDescent="0.2">
      <c r="A6230">
        <v>6169</v>
      </c>
      <c r="B6230" s="1821">
        <f>'Acct Summary 7-8'!J20</f>
        <v>-7721</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-7721</v>
      </c>
      <c r="D6263" s="2" t="str">
        <f t="shared" si="96"/>
        <v>Error?</v>
      </c>
      <c r="E6263" s="2" t="s">
        <v>189</v>
      </c>
    </row>
    <row r="6264" spans="1:5" x14ac:dyDescent="0.2">
      <c r="A6264">
        <v>6203</v>
      </c>
      <c r="B6264" s="1821">
        <f>'Acct Summary 7-8'!J79</f>
        <v>129482</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121761</v>
      </c>
      <c r="D6266" s="2" t="str">
        <f t="shared" si="96"/>
        <v>Error?</v>
      </c>
      <c r="E6266" s="2" t="s">
        <v>189</v>
      </c>
    </row>
    <row r="6267" spans="1:5" x14ac:dyDescent="0.2">
      <c r="A6267">
        <v>6206</v>
      </c>
      <c r="B6267" s="1821">
        <f>'Acct Summary 7-8'!C82</f>
        <v>-196847</v>
      </c>
      <c r="D6267" s="2" t="str">
        <f t="shared" si="96"/>
        <v>Error?</v>
      </c>
      <c r="E6267" s="2" t="s">
        <v>189</v>
      </c>
    </row>
    <row r="6268" spans="1:5" x14ac:dyDescent="0.2">
      <c r="A6268">
        <v>6207</v>
      </c>
      <c r="B6268" s="1821">
        <f>'Acct Summary 7-8'!D82</f>
        <v>-779694</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-215623</v>
      </c>
      <c r="D6270" s="2" t="str">
        <f t="shared" si="96"/>
        <v>Error?</v>
      </c>
      <c r="E6270" s="2" t="s">
        <v>189</v>
      </c>
    </row>
    <row r="6271" spans="1:5" x14ac:dyDescent="0.2">
      <c r="A6271">
        <v>6210</v>
      </c>
      <c r="B6271" s="1821">
        <f>'Acct Summary 7-8'!G82</f>
        <v>36185</v>
      </c>
      <c r="D6271" s="2" t="str">
        <f t="shared" ref="D6271:D6334" si="97">IF(ISBLANK(B6271),"OK",IF(A6271-B6271=0,"OK","Error?"))</f>
        <v>Error?</v>
      </c>
      <c r="E6271" s="2" t="s">
        <v>189</v>
      </c>
    </row>
    <row r="6272" spans="1:5" x14ac:dyDescent="0.2">
      <c r="A6272">
        <v>6211</v>
      </c>
      <c r="B6272" s="1821">
        <f>'Acct Summary 7-8'!H82</f>
        <v>1646662</v>
      </c>
      <c r="D6272" s="2" t="str">
        <f t="shared" si="97"/>
        <v>Error?</v>
      </c>
      <c r="E6272" s="2" t="s">
        <v>189</v>
      </c>
    </row>
    <row r="6273" spans="1:5" x14ac:dyDescent="0.2">
      <c r="A6273">
        <v>6212</v>
      </c>
      <c r="B6273" s="1821">
        <f>'Acct Summary 7-8'!I82</f>
        <v>22049</v>
      </c>
      <c r="D6273" s="2" t="str">
        <f t="shared" si="97"/>
        <v>Error?</v>
      </c>
      <c r="E6273" s="2" t="s">
        <v>189</v>
      </c>
    </row>
    <row r="6274" spans="1:5" x14ac:dyDescent="0.2">
      <c r="A6274">
        <v>6213</v>
      </c>
      <c r="B6274" s="1821">
        <f>'Acct Summary 7-8'!J82</f>
        <v>-7721</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-2.4929254168922492E-2</v>
      </c>
      <c r="D6276" s="2" t="str">
        <f t="shared" si="97"/>
        <v>Error?</v>
      </c>
      <c r="E6276" s="2" t="s">
        <v>189</v>
      </c>
    </row>
    <row r="6277" spans="1:5" x14ac:dyDescent="0.2">
      <c r="A6277">
        <v>6216</v>
      </c>
      <c r="B6277" s="1821">
        <f>'Acct Summary 7-8'!D83</f>
        <v>-1.2861080457836214</v>
      </c>
      <c r="D6277" s="2" t="str">
        <f t="shared" si="97"/>
        <v>Error?</v>
      </c>
      <c r="E6277" s="2" t="s">
        <v>189</v>
      </c>
    </row>
    <row r="6278" spans="1:5" x14ac:dyDescent="0.2">
      <c r="A6278">
        <v>6217</v>
      </c>
      <c r="B6278" s="1821" t="e">
        <f>'Acct Summary 7-8'!E83</f>
        <v>#DIV/0!</v>
      </c>
      <c r="D6278" s="2" t="e">
        <f t="shared" si="97"/>
        <v>#DIV/0!</v>
      </c>
      <c r="E6278" s="2" t="s">
        <v>189</v>
      </c>
    </row>
    <row r="6279" spans="1:5" x14ac:dyDescent="0.2">
      <c r="A6279">
        <v>6218</v>
      </c>
      <c r="B6279" s="1821">
        <f>'Acct Summary 7-8'!F83</f>
        <v>-0.37240908816138307</v>
      </c>
      <c r="D6279" s="2" t="str">
        <f t="shared" si="97"/>
        <v>Error?</v>
      </c>
      <c r="E6279" s="2" t="s">
        <v>189</v>
      </c>
    </row>
    <row r="6280" spans="1:5" x14ac:dyDescent="0.2">
      <c r="A6280">
        <v>6219</v>
      </c>
      <c r="B6280" s="1821">
        <f>'Acct Summary 7-8'!G83</f>
        <v>0.1617691107504817</v>
      </c>
      <c r="D6280" s="2" t="str">
        <f t="shared" si="97"/>
        <v>Error?</v>
      </c>
      <c r="E6280" s="2" t="s">
        <v>189</v>
      </c>
    </row>
    <row r="6281" spans="1:5" x14ac:dyDescent="0.2">
      <c r="A6281">
        <v>6220</v>
      </c>
      <c r="B6281" s="1821">
        <f>'Acct Summary 7-8'!H83</f>
        <v>0.8359390507326756</v>
      </c>
      <c r="D6281" s="2" t="str">
        <f t="shared" si="97"/>
        <v>Error?</v>
      </c>
      <c r="E6281" s="2" t="s">
        <v>189</v>
      </c>
    </row>
    <row r="6282" spans="1:5" x14ac:dyDescent="0.2">
      <c r="A6282">
        <v>6221</v>
      </c>
      <c r="B6282" s="1821">
        <f>'Acct Summary 7-8'!I83</f>
        <v>0.48850141793690183</v>
      </c>
      <c r="D6282" s="2" t="str">
        <f t="shared" si="97"/>
        <v>Error?</v>
      </c>
      <c r="E6282" s="2" t="s">
        <v>189</v>
      </c>
    </row>
    <row r="6283" spans="1:5" x14ac:dyDescent="0.2">
      <c r="A6283">
        <v>6222</v>
      </c>
      <c r="B6283" s="1821">
        <f>'Acct Summary 7-8'!J83</f>
        <v>-6.3411108647268011E-2</v>
      </c>
      <c r="D6283" s="2" t="str">
        <f t="shared" si="97"/>
        <v>Error?</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2200000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42271</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42271</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412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412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42683</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291127</v>
      </c>
      <c r="D6983" s="2" t="str">
        <f t="shared" si="108"/>
        <v>Error?</v>
      </c>
    </row>
    <row r="6984" spans="1:4" x14ac:dyDescent="0.2">
      <c r="A6984">
        <v>6923</v>
      </c>
      <c r="B6984" s="1821">
        <f>'Expenditures 15-22'!K86</f>
        <v>291127</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291127</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50404</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42683</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50404</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50404</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50404</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50404</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50404</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50404</v>
      </c>
      <c r="D7224" s="2" t="str">
        <f t="shared" si="111"/>
        <v>Error?</v>
      </c>
    </row>
    <row r="7225" spans="1:4" x14ac:dyDescent="0.2">
      <c r="A7225">
        <v>7164</v>
      </c>
      <c r="B7225" s="1821">
        <f>'Expenditures 15-22'!K343</f>
        <v>-7721</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218749</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2200000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234576</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77628</v>
      </c>
      <c r="D7818" s="2" t="str">
        <f t="shared" si="128"/>
        <v>Error?</v>
      </c>
      <c r="E7818" s="4" t="s">
        <v>1977</v>
      </c>
    </row>
    <row r="7819" spans="1:5" x14ac:dyDescent="0.2">
      <c r="A7819">
        <v>7758</v>
      </c>
      <c r="B7819" s="1821">
        <f>'PCTC-OEPP 27-28'!F173</f>
        <v>166</v>
      </c>
      <c r="D7819" s="2" t="str">
        <f t="shared" si="128"/>
        <v>Error?</v>
      </c>
      <c r="E7819" s="4" t="s">
        <v>1977</v>
      </c>
    </row>
    <row r="7820" spans="1:5" x14ac:dyDescent="0.2">
      <c r="A7820">
        <v>7759</v>
      </c>
      <c r="B7820" s="1821">
        <f>'ICR Computation 30'!E40</f>
        <v>-318817</v>
      </c>
      <c r="D7820" s="2" t="str">
        <f t="shared" si="128"/>
        <v>Error?</v>
      </c>
    </row>
    <row r="7821" spans="1:5" x14ac:dyDescent="0.2">
      <c r="A7821">
        <v>7760</v>
      </c>
      <c r="B7821" s="1821">
        <f>'ICR Computation 30'!G40</f>
        <v>-318817</v>
      </c>
      <c r="D7821" s="2" t="str">
        <f t="shared" si="128"/>
        <v>Error?</v>
      </c>
    </row>
    <row r="7822" spans="1:5" x14ac:dyDescent="0.2">
      <c r="A7822" s="1">
        <v>7761</v>
      </c>
      <c r="B7822" s="1821">
        <f>'PCTC-OEPP 27-28'!F14</f>
        <v>3873130</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347331</v>
      </c>
      <c r="D7834" s="2" t="str">
        <f t="shared" si="129"/>
        <v>Error?</v>
      </c>
      <c r="E7834" s="4" t="s">
        <v>1995</v>
      </c>
    </row>
    <row r="7835" spans="1:5" x14ac:dyDescent="0.2">
      <c r="A7835">
        <v>7774</v>
      </c>
      <c r="B7835" s="1821">
        <f>'PCTC-OEPP 27-28'!F78</f>
        <v>3525799</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13029.560236511456</v>
      </c>
      <c r="D7837" s="2" t="str">
        <f t="shared" si="129"/>
        <v>Error?</v>
      </c>
      <c r="E7837" s="4" t="s">
        <v>1995</v>
      </c>
    </row>
    <row r="7838" spans="1:5" x14ac:dyDescent="0.2">
      <c r="A7838">
        <v>7777</v>
      </c>
      <c r="B7838" s="1821">
        <f>'PCTC-OEPP 27-28'!F96</f>
        <v>18354</v>
      </c>
      <c r="D7838" s="2" t="str">
        <f t="shared" si="129"/>
        <v>Error?</v>
      </c>
      <c r="E7838" s="4" t="s">
        <v>1995</v>
      </c>
    </row>
    <row r="7839" spans="1:5" x14ac:dyDescent="0.2">
      <c r="A7839">
        <v>7778</v>
      </c>
      <c r="B7839" s="1821">
        <f>'PCTC-OEPP 27-28'!F102</f>
        <v>0</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10522</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187334</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50000</v>
      </c>
      <c r="D7855" s="2" t="str">
        <f t="shared" si="129"/>
        <v>Error?</v>
      </c>
      <c r="E7855" s="4" t="s">
        <v>1995</v>
      </c>
    </row>
    <row r="7856" spans="1:5" x14ac:dyDescent="0.2">
      <c r="A7856">
        <v>7795</v>
      </c>
      <c r="B7856" s="1821">
        <f>'PCTC-OEPP 27-28'!F124</f>
        <v>23588</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44221</v>
      </c>
      <c r="D7858" s="2" t="str">
        <f t="shared" si="129"/>
        <v>Error?</v>
      </c>
      <c r="E7858" s="4" t="s">
        <v>1995</v>
      </c>
    </row>
    <row r="7859" spans="1:5" x14ac:dyDescent="0.2">
      <c r="A7859">
        <v>7798</v>
      </c>
      <c r="B7859" s="1821">
        <f>'PCTC-OEPP 27-28'!F127</f>
        <v>85977</v>
      </c>
      <c r="D7859" s="2" t="str">
        <f t="shared" si="129"/>
        <v>Error?</v>
      </c>
      <c r="E7859" s="4" t="s">
        <v>1995</v>
      </c>
    </row>
    <row r="7860" spans="1:5" x14ac:dyDescent="0.2">
      <c r="A7860">
        <v>7799</v>
      </c>
      <c r="B7860" s="1821">
        <f>'PCTC-OEPP 27-28'!F128</f>
        <v>4969</v>
      </c>
      <c r="D7860" s="2" t="str">
        <f t="shared" si="129"/>
        <v>Error?</v>
      </c>
      <c r="E7860" s="4" t="s">
        <v>1995</v>
      </c>
    </row>
    <row r="7861" spans="1:5" x14ac:dyDescent="0.2">
      <c r="A7861">
        <v>7800</v>
      </c>
      <c r="B7861" s="1821">
        <f>'PCTC-OEPP 27-28'!F129</f>
        <v>78408</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14866</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2534</v>
      </c>
      <c r="D7874" s="2" t="str">
        <f t="shared" si="129"/>
        <v>Error?</v>
      </c>
      <c r="E7874" s="4" t="s">
        <v>1995</v>
      </c>
    </row>
    <row r="7875" spans="1:5" x14ac:dyDescent="0.2">
      <c r="A7875">
        <v>7814</v>
      </c>
      <c r="B7875" s="1821">
        <f>'PCTC-OEPP 27-28'!F170</f>
        <v>8175</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709302</v>
      </c>
      <c r="D7877" s="2" t="str">
        <f t="shared" si="129"/>
        <v>Error?</v>
      </c>
      <c r="E7877" s="4" t="s">
        <v>1995</v>
      </c>
    </row>
    <row r="7878" spans="1:5" x14ac:dyDescent="0.2">
      <c r="A7878">
        <v>7817</v>
      </c>
      <c r="B7878" s="1821">
        <f>'PCTC-OEPP 27-28'!F176</f>
        <v>2816497</v>
      </c>
      <c r="D7878" s="2" t="str">
        <f t="shared" si="129"/>
        <v>Error?</v>
      </c>
      <c r="E7878" s="4" t="s">
        <v>1995</v>
      </c>
    </row>
    <row r="7879" spans="1:5" x14ac:dyDescent="0.2">
      <c r="A7879">
        <v>7818</v>
      </c>
      <c r="B7879" s="1821">
        <f>'PCTC-OEPP 27-28'!F178</f>
        <v>3035246</v>
      </c>
      <c r="D7879" s="2" t="str">
        <f t="shared" si="129"/>
        <v>Error?</v>
      </c>
      <c r="E7879" s="4" t="s">
        <v>1995</v>
      </c>
    </row>
    <row r="7880" spans="1:5" x14ac:dyDescent="0.2">
      <c r="A7880">
        <v>7819</v>
      </c>
      <c r="B7880" s="1821">
        <f>'PCTC-OEPP 27-28'!F180</f>
        <v>11216.725794530672</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5" t="s">
        <v>1180</v>
      </c>
      <c r="B2" s="2545"/>
      <c r="C2" s="2545"/>
      <c r="D2" s="2545"/>
      <c r="E2" s="2545"/>
      <c r="F2" s="2545"/>
      <c r="G2" s="2545"/>
      <c r="H2" s="2545"/>
      <c r="I2" s="2545"/>
      <c r="J2" s="2545"/>
      <c r="K2" s="2545"/>
      <c r="L2" s="2545"/>
    </row>
    <row r="3" spans="1:29" ht="13.5" customHeight="1" x14ac:dyDescent="0.2">
      <c r="A3" s="2531" t="s">
        <v>1179</v>
      </c>
      <c r="B3" s="2531"/>
      <c r="C3" s="2531"/>
      <c r="D3" s="2531"/>
      <c r="E3" s="2531"/>
      <c r="F3" s="2531"/>
      <c r="G3" s="2531"/>
      <c r="H3" s="2531"/>
      <c r="I3" s="2531"/>
      <c r="J3" s="2531"/>
      <c r="K3" s="2531"/>
      <c r="L3" s="2531"/>
    </row>
    <row r="4" spans="1:29" ht="13.5" customHeight="1" x14ac:dyDescent="0.2">
      <c r="A4" s="2562" t="str">
        <f>"Year Ending June 30, "&amp;'AFR20'!E2</f>
        <v>Year Ending June 30, 2020</v>
      </c>
      <c r="B4" s="2563"/>
      <c r="C4" s="2563"/>
      <c r="D4" s="2563"/>
      <c r="E4" s="2563"/>
      <c r="F4" s="2563"/>
      <c r="G4" s="2563"/>
      <c r="H4" s="2563"/>
      <c r="I4" s="2563"/>
      <c r="J4" s="2563"/>
      <c r="K4" s="2563"/>
      <c r="L4" s="2563"/>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5" t="str">
        <f>COVER!A17</f>
        <v xml:space="preserve"> Riley CCSD 18</v>
      </c>
      <c r="B7" s="2526"/>
      <c r="C7" s="2526"/>
      <c r="D7" s="2564"/>
      <c r="E7" s="2565">
        <f>COVER!A13</f>
        <v>44063018004</v>
      </c>
      <c r="F7" s="2566"/>
      <c r="G7" s="2532" t="str">
        <f>COVER!T23</f>
        <v>066-005142</v>
      </c>
      <c r="H7" s="2533"/>
      <c r="I7" s="2533"/>
      <c r="J7" s="2533"/>
      <c r="K7" s="2533"/>
      <c r="L7" s="2534"/>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5"/>
      <c r="B9" s="2536"/>
      <c r="C9" s="2536"/>
      <c r="D9" s="2536"/>
      <c r="E9" s="2536"/>
      <c r="F9" s="2537"/>
      <c r="G9" s="2538" t="str">
        <f>COVER!T13</f>
        <v>EDER, CASELLA &amp; CO.</v>
      </c>
      <c r="H9" s="2539"/>
      <c r="I9" s="2539"/>
      <c r="J9" s="2539"/>
      <c r="K9" s="2539"/>
      <c r="L9" s="2540"/>
    </row>
    <row r="10" spans="1:29" ht="13.5" customHeight="1" x14ac:dyDescent="0.2">
      <c r="A10" s="2522" t="str">
        <f>COVER!A38</f>
        <v>CHRISTINE CONKLING</v>
      </c>
      <c r="B10" s="2523"/>
      <c r="C10" s="2523"/>
      <c r="D10" s="2523"/>
      <c r="E10" s="2523"/>
      <c r="F10" s="2524"/>
      <c r="G10" s="2538" t="str">
        <f>COVER!T17</f>
        <v>5400 WEST ELM STREET, SUITE 203</v>
      </c>
      <c r="H10" s="2551"/>
      <c r="I10" s="2551"/>
      <c r="J10" s="2551"/>
      <c r="K10" s="2551"/>
      <c r="L10" s="2552"/>
    </row>
    <row r="11" spans="1:29" ht="13.5" customHeight="1" x14ac:dyDescent="0.2">
      <c r="A11" s="956" t="s">
        <v>1499</v>
      </c>
      <c r="B11" s="957"/>
      <c r="C11" s="958"/>
      <c r="D11" s="963"/>
      <c r="E11" s="958"/>
      <c r="F11" s="962"/>
      <c r="G11" s="2538" t="str">
        <f>COVER!T19</f>
        <v>MCHENRY</v>
      </c>
      <c r="H11" s="2551"/>
      <c r="I11" s="2551"/>
      <c r="J11" s="2551"/>
      <c r="K11" s="2551"/>
      <c r="L11" s="2552"/>
    </row>
    <row r="12" spans="1:29" ht="13.5" customHeight="1" x14ac:dyDescent="0.2">
      <c r="A12" s="2556" t="s">
        <v>1498</v>
      </c>
      <c r="B12" s="2557"/>
      <c r="C12" s="2557"/>
      <c r="D12" s="2557"/>
      <c r="E12" s="2557"/>
      <c r="F12" s="2558"/>
      <c r="G12" s="2553"/>
      <c r="H12" s="2554"/>
      <c r="I12" s="2554"/>
      <c r="J12" s="2554"/>
      <c r="K12" s="2554"/>
      <c r="L12" s="2555"/>
    </row>
    <row r="13" spans="1:29" ht="13.5" customHeight="1" x14ac:dyDescent="0.2">
      <c r="A13" s="2538"/>
      <c r="B13" s="2551"/>
      <c r="C13" s="2551"/>
      <c r="D13" s="2551"/>
      <c r="E13" s="2551"/>
      <c r="F13" s="2552"/>
      <c r="G13" s="2546" t="s">
        <v>1500</v>
      </c>
      <c r="H13" s="2547"/>
      <c r="I13" s="2559" t="str">
        <f>COVER!T25</f>
        <v>CPAS@EDERCASELLA.COM</v>
      </c>
      <c r="J13" s="2560"/>
      <c r="K13" s="2560"/>
      <c r="L13" s="2561"/>
    </row>
    <row r="14" spans="1:29" ht="13.5" customHeight="1" x14ac:dyDescent="0.2">
      <c r="A14" s="2538" t="str">
        <f>COVER!A19</f>
        <v>9406 RILEY ROAD</v>
      </c>
      <c r="B14" s="2551"/>
      <c r="C14" s="2551"/>
      <c r="D14" s="2551"/>
      <c r="E14" s="2551"/>
      <c r="F14" s="2552"/>
      <c r="G14" s="967" t="s">
        <v>1174</v>
      </c>
      <c r="H14" s="965"/>
      <c r="I14" s="965"/>
      <c r="J14" s="965"/>
      <c r="K14" s="965"/>
      <c r="L14" s="966"/>
    </row>
    <row r="15" spans="1:29" ht="13.5" customHeight="1" x14ac:dyDescent="0.2">
      <c r="A15" s="2538" t="str">
        <f>COVER!A21</f>
        <v>MARENGO</v>
      </c>
      <c r="B15" s="2551"/>
      <c r="C15" s="2551"/>
      <c r="D15" s="2551"/>
      <c r="E15" s="2551"/>
      <c r="F15" s="2552"/>
      <c r="G15" s="2548" t="str">
        <f>COVER!T15</f>
        <v>CHERYDEN JUERGENSEN</v>
      </c>
      <c r="H15" s="2549"/>
      <c r="I15" s="2549"/>
      <c r="J15" s="2549"/>
      <c r="K15" s="2549"/>
      <c r="L15" s="2550"/>
    </row>
    <row r="16" spans="1:29" ht="12.2" customHeight="1" x14ac:dyDescent="0.2">
      <c r="A16" s="2528">
        <f>COVER!A25</f>
        <v>60152</v>
      </c>
      <c r="B16" s="2529"/>
      <c r="C16" s="2529"/>
      <c r="D16" s="2529"/>
      <c r="E16" s="2529"/>
      <c r="F16" s="2530"/>
      <c r="G16" s="2541"/>
      <c r="H16" s="2542"/>
      <c r="I16" s="2542"/>
      <c r="J16" s="2542"/>
      <c r="K16" s="2542"/>
      <c r="L16" s="2543"/>
    </row>
    <row r="17" spans="1:13" ht="12.2" customHeight="1" x14ac:dyDescent="0.2">
      <c r="A17" s="2544"/>
      <c r="B17" s="2529"/>
      <c r="C17" s="2529"/>
      <c r="D17" s="2529"/>
      <c r="E17" s="2529"/>
      <c r="F17" s="2530"/>
      <c r="G17" s="967" t="s">
        <v>1173</v>
      </c>
      <c r="H17" s="965"/>
      <c r="I17" s="965"/>
      <c r="J17" s="965"/>
      <c r="K17" s="969" t="s">
        <v>1172</v>
      </c>
      <c r="L17" s="962"/>
      <c r="M17" s="955"/>
    </row>
    <row r="18" spans="1:13" ht="12.2" customHeight="1" x14ac:dyDescent="0.2">
      <c r="A18" s="2522"/>
      <c r="B18" s="2523"/>
      <c r="C18" s="2523"/>
      <c r="D18" s="2523"/>
      <c r="E18" s="2523"/>
      <c r="F18" s="2524"/>
      <c r="G18" s="2525" t="str">
        <f>COVER!T21</f>
        <v>815-344-1300</v>
      </c>
      <c r="H18" s="2526"/>
      <c r="I18" s="2526"/>
      <c r="J18" s="2526"/>
      <c r="K18" s="2525" t="str">
        <f>COVER!X21</f>
        <v>815-344-1320</v>
      </c>
      <c r="L18" s="2527"/>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7" t="str">
        <f>'Single Audit Cover'!A7</f>
        <v xml:space="preserve"> Riley CCSD 18</v>
      </c>
      <c r="B1" s="2568"/>
      <c r="C1" s="2568"/>
      <c r="D1" s="2568"/>
    </row>
    <row r="2" spans="1:11" s="984" customFormat="1" ht="12.75" x14ac:dyDescent="0.2">
      <c r="A2" s="2569">
        <f>'Single Audit Cover'!E7</f>
        <v>44063018004</v>
      </c>
      <c r="B2" s="2570"/>
      <c r="C2" s="2570"/>
      <c r="D2" s="2570"/>
    </row>
    <row r="3" spans="1:11" s="984" customFormat="1" ht="12.75" x14ac:dyDescent="0.2">
      <c r="A3" s="2567" t="s">
        <v>1493</v>
      </c>
      <c r="B3" s="2568"/>
      <c r="C3" s="2568"/>
      <c r="D3" s="2568"/>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I18" sqref="I18"/>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2" t="str">
        <f>'Single Audit Cover'!A7</f>
        <v xml:space="preserve"> Riley CCSD 18</v>
      </c>
      <c r="B1" s="2572"/>
      <c r="C1" s="2572"/>
      <c r="D1" s="2572"/>
      <c r="E1" s="2572"/>
    </row>
    <row r="2" spans="1:5" x14ac:dyDescent="0.2">
      <c r="A2" s="2573">
        <f>'Single Audit Cover'!E7</f>
        <v>44063018004</v>
      </c>
      <c r="B2" s="2573"/>
      <c r="C2" s="2573"/>
      <c r="D2" s="2573"/>
      <c r="E2" s="2573"/>
    </row>
    <row r="3" spans="1:5" ht="4.5" customHeight="1" x14ac:dyDescent="0.2"/>
    <row r="4" spans="1:5" x14ac:dyDescent="0.2">
      <c r="A4" s="2572" t="s">
        <v>1233</v>
      </c>
      <c r="B4" s="2572"/>
      <c r="C4" s="2572"/>
      <c r="D4" s="2572"/>
      <c r="E4" s="2572"/>
    </row>
    <row r="5" spans="1:5" x14ac:dyDescent="0.2">
      <c r="A5" s="2575" t="str">
        <f>'Single Audit Cover'!A4</f>
        <v>Year Ending June 30, 2020</v>
      </c>
      <c r="B5" s="2575"/>
      <c r="C5" s="2575"/>
      <c r="D5" s="2575"/>
      <c r="E5" s="2575"/>
    </row>
    <row r="6" spans="1:5" x14ac:dyDescent="0.2">
      <c r="A6" s="2572" t="s">
        <v>1232</v>
      </c>
      <c r="B6" s="2572"/>
      <c r="C6" s="2572"/>
      <c r="D6" s="2572"/>
      <c r="E6" s="2572"/>
    </row>
    <row r="8" spans="1:5" x14ac:dyDescent="0.2">
      <c r="A8" s="1029" t="s">
        <v>1231</v>
      </c>
    </row>
    <row r="10" spans="1:5" x14ac:dyDescent="0.2">
      <c r="A10" s="1030" t="s">
        <v>1230</v>
      </c>
      <c r="B10" s="1031" t="s">
        <v>1229</v>
      </c>
      <c r="C10" s="1031"/>
      <c r="D10" s="1032">
        <f>SUM('Acct Summary 7-8'!C7:K7)</f>
        <v>264065</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-8175</v>
      </c>
    </row>
    <row r="19" spans="1:4" ht="13.5" thickBot="1" x14ac:dyDescent="0.25">
      <c r="A19" s="1034" t="s">
        <v>1223</v>
      </c>
      <c r="D19" s="1035">
        <f>SUM(D10:D17)</f>
        <v>255890</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4"/>
      <c r="B24" s="2574"/>
      <c r="D24" s="1037"/>
    </row>
    <row r="25" spans="1:4" x14ac:dyDescent="0.2">
      <c r="A25" s="2571"/>
      <c r="B25" s="2571"/>
      <c r="D25" s="1037"/>
    </row>
    <row r="26" spans="1:4" x14ac:dyDescent="0.2">
      <c r="A26" s="2571"/>
      <c r="B26" s="2571"/>
      <c r="D26" s="1037"/>
    </row>
    <row r="27" spans="1:4" x14ac:dyDescent="0.2">
      <c r="A27" s="2571"/>
      <c r="B27" s="2571"/>
      <c r="D27" s="1037"/>
    </row>
    <row r="28" spans="1:4" x14ac:dyDescent="0.2">
      <c r="A28" s="2571"/>
      <c r="B28" s="2571"/>
      <c r="D28" s="1037"/>
    </row>
    <row r="29" spans="1:4" x14ac:dyDescent="0.2">
      <c r="A29" s="2571"/>
      <c r="B29" s="2571"/>
      <c r="D29" s="1037"/>
    </row>
    <row r="30" spans="1:4" x14ac:dyDescent="0.2">
      <c r="A30" s="2571"/>
      <c r="B30" s="2571"/>
      <c r="D30" s="1037"/>
    </row>
    <row r="32" spans="1:4" x14ac:dyDescent="0.2">
      <c r="A32" s="1029" t="s">
        <v>1221</v>
      </c>
      <c r="D32" s="1032">
        <f>SUM(D19:D30)</f>
        <v>255890</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1"/>
      <c r="B40" s="2571"/>
      <c r="D40" s="1037"/>
    </row>
    <row r="41" spans="1:4" x14ac:dyDescent="0.2">
      <c r="A41" s="2571"/>
      <c r="B41" s="2571"/>
      <c r="D41" s="1040"/>
    </row>
    <row r="42" spans="1:4" x14ac:dyDescent="0.2">
      <c r="A42" s="2571"/>
      <c r="B42" s="2571"/>
      <c r="D42" s="1040"/>
    </row>
    <row r="43" spans="1:4" x14ac:dyDescent="0.2">
      <c r="A43" s="2571"/>
      <c r="B43" s="2571"/>
      <c r="D43" s="1040"/>
    </row>
    <row r="44" spans="1:4" x14ac:dyDescent="0.2">
      <c r="A44" s="2571"/>
      <c r="B44" s="2571"/>
      <c r="D44" s="1040"/>
    </row>
    <row r="45" spans="1:4" x14ac:dyDescent="0.2">
      <c r="A45" s="2571"/>
      <c r="B45" s="2571"/>
      <c r="D45" s="1040"/>
    </row>
    <row r="47" spans="1:4" x14ac:dyDescent="0.2">
      <c r="B47" s="1041" t="s">
        <v>1215</v>
      </c>
      <c r="C47" s="1041"/>
      <c r="D47" s="1042">
        <f>SUM(D35:D45)</f>
        <v>0</v>
      </c>
    </row>
    <row r="49" spans="2:4" x14ac:dyDescent="0.2">
      <c r="B49" s="1041" t="s">
        <v>1214</v>
      </c>
      <c r="C49" s="1041"/>
      <c r="D49" s="1042">
        <f>D32-D47</f>
        <v>255890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1" t="str">
        <f>'Single Audit Cover'!A7</f>
        <v xml:space="preserve"> Riley CCSD 18</v>
      </c>
      <c r="C1" s="2576"/>
      <c r="D1" s="2576"/>
      <c r="E1" s="2576"/>
      <c r="F1" s="2576"/>
      <c r="G1" s="2576"/>
      <c r="H1" s="2576"/>
      <c r="I1" s="2576"/>
      <c r="J1" s="2576"/>
      <c r="K1" s="2576"/>
      <c r="L1" s="2576"/>
      <c r="M1" s="2576"/>
    </row>
    <row r="2" spans="2:14" ht="15" x14ac:dyDescent="0.2">
      <c r="B2" s="2577">
        <f>'Single Audit Cover'!E7</f>
        <v>44063018004</v>
      </c>
      <c r="C2" s="2577"/>
      <c r="D2" s="2577"/>
      <c r="E2" s="2577"/>
      <c r="F2" s="2577"/>
      <c r="G2" s="2577"/>
      <c r="H2" s="2577"/>
      <c r="I2" s="2577"/>
      <c r="J2" s="2577"/>
      <c r="K2" s="2577"/>
      <c r="L2" s="2577"/>
      <c r="M2" s="2577"/>
      <c r="N2" s="1071"/>
    </row>
    <row r="3" spans="2:14" ht="15" x14ac:dyDescent="0.2">
      <c r="B3" s="2578" t="s">
        <v>1207</v>
      </c>
      <c r="C3" s="2578"/>
      <c r="D3" s="2578"/>
      <c r="E3" s="2578"/>
      <c r="F3" s="2578"/>
      <c r="G3" s="2578"/>
      <c r="H3" s="2578"/>
      <c r="I3" s="2578"/>
      <c r="J3" s="2578"/>
      <c r="K3" s="2578"/>
      <c r="L3" s="2578"/>
      <c r="M3" s="2578"/>
      <c r="N3" s="1071"/>
    </row>
    <row r="4" spans="2:14" ht="15" x14ac:dyDescent="0.2">
      <c r="B4" s="2579" t="str">
        <f>'Single Audit Cover'!A4</f>
        <v>Year Ending June 30, 2020</v>
      </c>
      <c r="C4" s="2579"/>
      <c r="D4" s="2579"/>
      <c r="E4" s="2579"/>
      <c r="F4" s="2579"/>
      <c r="G4" s="2579"/>
      <c r="H4" s="2579"/>
      <c r="I4" s="2579"/>
      <c r="J4" s="2579"/>
      <c r="K4" s="2579"/>
      <c r="L4" s="2579"/>
      <c r="M4" s="2579"/>
      <c r="N4" s="1071"/>
    </row>
    <row r="5" spans="2:14" x14ac:dyDescent="0.2">
      <c r="H5" s="1901"/>
      <c r="J5" s="1901"/>
    </row>
    <row r="6" spans="2:14" x14ac:dyDescent="0.2">
      <c r="B6" s="1072"/>
      <c r="C6" s="1073"/>
      <c r="D6" s="1074" t="s">
        <v>1253</v>
      </c>
      <c r="E6" s="1075" t="s">
        <v>524</v>
      </c>
      <c r="F6" s="1076"/>
      <c r="G6" s="1077" t="s">
        <v>1708</v>
      </c>
      <c r="H6" s="1075"/>
      <c r="I6" s="1075"/>
      <c r="J6" s="1902"/>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0" t="str">
        <f>"7/1/"&amp;MID('AFR20'!$E$2,3,2)-2&amp;"-6/30/"&amp;MID('AFR20'!$E$2,3,2)-1</f>
        <v>7/1/18-6/30/19</v>
      </c>
      <c r="F9" s="1900" t="str">
        <f>"7/1/"&amp;MID('AFR20'!$E$2,3,2)-1&amp;"-6/30/"&amp;MID('AFR20'!$E$2,3,2)</f>
        <v>7/1/19-6/30/20</v>
      </c>
      <c r="G9" s="1900" t="str">
        <f>"7/1/"&amp;MID('AFR20'!$E$2,3,2)-2&amp;"-6/30/"&amp;MID('AFR20'!$E$2,3,2)-1</f>
        <v>7/1/18-6/30/19</v>
      </c>
      <c r="H9" s="1086" t="s">
        <v>1562</v>
      </c>
      <c r="I9" s="1900"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1" t="str">
        <f>'Single Audit Cover'!A7</f>
        <v xml:space="preserve"> Riley CCSD 18</v>
      </c>
      <c r="B1" s="2581"/>
      <c r="C1" s="2581"/>
      <c r="D1" s="2581"/>
      <c r="E1" s="2581"/>
      <c r="F1" s="2581"/>
    </row>
    <row r="2" spans="1:7" ht="13.5" customHeight="1" x14ac:dyDescent="0.2">
      <c r="A2" s="2577">
        <f>'Single Audit Cover'!E7</f>
        <v>44063018004</v>
      </c>
      <c r="B2" s="2577"/>
      <c r="C2" s="2577"/>
      <c r="D2" s="2577"/>
      <c r="E2" s="2577"/>
      <c r="F2" s="2577"/>
      <c r="G2" s="1044"/>
    </row>
    <row r="3" spans="1:7" ht="15.75" customHeight="1" x14ac:dyDescent="0.2">
      <c r="A3" s="2582" t="s">
        <v>1259</v>
      </c>
      <c r="B3" s="2582"/>
      <c r="C3" s="2582"/>
      <c r="D3" s="2582"/>
      <c r="E3" s="2582"/>
      <c r="F3" s="2582"/>
    </row>
    <row r="4" spans="1:7" ht="13.5" customHeight="1" x14ac:dyDescent="0.2">
      <c r="A4" s="2583" t="str">
        <f>'Single Audit Cover'!A4</f>
        <v>Year Ending June 30, 2020</v>
      </c>
      <c r="B4" s="2583"/>
      <c r="C4" s="2583"/>
      <c r="D4" s="2583"/>
      <c r="E4" s="2583"/>
      <c r="F4" s="2583"/>
    </row>
    <row r="5" spans="1:7" ht="8.25" customHeight="1" x14ac:dyDescent="0.2">
      <c r="C5" s="295"/>
      <c r="D5" s="295"/>
    </row>
    <row r="6" spans="1:7" ht="13.5" customHeight="1" x14ac:dyDescent="0.2">
      <c r="A6" s="1045" t="s">
        <v>1702</v>
      </c>
      <c r="C6" s="295"/>
      <c r="D6" s="295"/>
    </row>
    <row r="7" spans="1:7" ht="60.95" customHeight="1" x14ac:dyDescent="0.2">
      <c r="A7" s="2580" t="s">
        <v>1703</v>
      </c>
      <c r="B7" s="2580"/>
      <c r="C7" s="2580"/>
      <c r="D7" s="2580"/>
      <c r="E7" s="2580"/>
      <c r="F7" s="2580"/>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0" t="s">
        <v>1705</v>
      </c>
      <c r="B13" s="2580"/>
      <c r="C13" s="2580"/>
      <c r="D13" s="2580"/>
      <c r="E13" s="2580"/>
      <c r="F13" s="2580"/>
    </row>
    <row r="14" spans="1:7" ht="9.75" customHeight="1" x14ac:dyDescent="0.2">
      <c r="C14" s="1029"/>
      <c r="D14" s="1029"/>
    </row>
    <row r="15" spans="1:7" ht="13.5" customHeight="1" x14ac:dyDescent="0.2">
      <c r="C15" s="1469" t="s">
        <v>1258</v>
      </c>
      <c r="D15" s="2585" t="s">
        <v>1257</v>
      </c>
      <c r="E15" s="2585"/>
      <c r="F15" s="2585"/>
    </row>
    <row r="16" spans="1:7" ht="13.5" customHeight="1" x14ac:dyDescent="0.2">
      <c r="A16" s="1051"/>
      <c r="B16" s="1045" t="s">
        <v>1256</v>
      </c>
      <c r="C16" s="1469" t="s">
        <v>1255</v>
      </c>
      <c r="D16" s="2586" t="s">
        <v>1568</v>
      </c>
      <c r="E16" s="2586"/>
      <c r="F16" s="2586"/>
    </row>
    <row r="17" spans="1:6" ht="20.45" customHeight="1" x14ac:dyDescent="0.2">
      <c r="A17" s="1052"/>
      <c r="B17" s="1053"/>
      <c r="C17" s="1054"/>
      <c r="D17" s="2584"/>
      <c r="E17" s="2584"/>
      <c r="F17" s="2584"/>
    </row>
    <row r="18" spans="1:6" ht="20.65" customHeight="1" x14ac:dyDescent="0.2">
      <c r="A18" s="1052"/>
      <c r="B18" s="1053"/>
      <c r="C18" s="1054"/>
      <c r="D18" s="2584"/>
      <c r="E18" s="2584"/>
      <c r="F18" s="2584"/>
    </row>
    <row r="19" spans="1:6" ht="20.65" customHeight="1" x14ac:dyDescent="0.2">
      <c r="A19" s="1052"/>
      <c r="B19" s="1053"/>
      <c r="C19" s="1054"/>
      <c r="D19" s="2584"/>
      <c r="E19" s="2584"/>
      <c r="F19" s="2584"/>
    </row>
    <row r="20" spans="1:6" ht="20.65" customHeight="1" x14ac:dyDescent="0.2">
      <c r="A20" s="1052"/>
      <c r="B20" s="1053"/>
      <c r="C20" s="1054"/>
      <c r="D20" s="2584"/>
      <c r="E20" s="2584"/>
      <c r="F20" s="2584"/>
    </row>
    <row r="21" spans="1:6" ht="20.65" customHeight="1" x14ac:dyDescent="0.2">
      <c r="A21" s="1052"/>
      <c r="B21" s="1053"/>
      <c r="C21" s="1054"/>
      <c r="D21" s="2584"/>
      <c r="E21" s="2584"/>
      <c r="F21" s="2584"/>
    </row>
    <row r="22" spans="1:6" ht="20.65" customHeight="1" x14ac:dyDescent="0.2">
      <c r="A22" s="1052"/>
      <c r="B22" s="1053"/>
      <c r="C22" s="1054"/>
      <c r="D22" s="2584"/>
      <c r="E22" s="2584"/>
      <c r="F22" s="2584"/>
    </row>
    <row r="23" spans="1:6" ht="20.65" customHeight="1" x14ac:dyDescent="0.2">
      <c r="A23" s="1052"/>
      <c r="B23" s="1053"/>
      <c r="C23" s="1054"/>
      <c r="D23" s="2584"/>
      <c r="E23" s="2584"/>
      <c r="F23" s="2584"/>
    </row>
    <row r="24" spans="1:6" ht="20.65" customHeight="1" x14ac:dyDescent="0.2">
      <c r="A24" s="1052"/>
      <c r="B24" s="1053"/>
      <c r="C24" s="1054"/>
      <c r="D24" s="2584"/>
      <c r="E24" s="2584"/>
      <c r="F24" s="2584"/>
    </row>
    <row r="25" spans="1:6" ht="20.65" customHeight="1" x14ac:dyDescent="0.2">
      <c r="A25" s="1052"/>
      <c r="B25" s="1053"/>
      <c r="C25" s="1054"/>
      <c r="D25" s="2584"/>
      <c r="E25" s="2584"/>
      <c r="F25" s="2584"/>
    </row>
    <row r="26" spans="1:6" ht="20.65" customHeight="1" x14ac:dyDescent="0.2">
      <c r="A26" s="1052"/>
      <c r="B26" s="1053"/>
      <c r="C26" s="1054"/>
      <c r="D26" s="2584"/>
      <c r="E26" s="2584"/>
      <c r="F26" s="2584"/>
    </row>
    <row r="27" spans="1:6" ht="20.65" customHeight="1" x14ac:dyDescent="0.2">
      <c r="A27" s="1052"/>
      <c r="B27" s="1053"/>
      <c r="C27" s="1054"/>
      <c r="D27" s="2584"/>
      <c r="E27" s="2584"/>
      <c r="F27" s="2584"/>
    </row>
    <row r="28" spans="1:6" ht="20.65" customHeight="1" x14ac:dyDescent="0.2">
      <c r="A28" s="1052"/>
      <c r="B28" s="1053"/>
      <c r="C28" s="1054"/>
      <c r="D28" s="2584"/>
      <c r="E28" s="2584"/>
      <c r="F28" s="2584"/>
    </row>
    <row r="29" spans="1:6" ht="20.65" customHeight="1" x14ac:dyDescent="0.2">
      <c r="A29" s="1052"/>
      <c r="B29" s="1053"/>
      <c r="C29" s="1054"/>
      <c r="D29" s="2584"/>
      <c r="E29" s="2584"/>
      <c r="F29" s="2584"/>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8" t="s">
        <v>1706</v>
      </c>
      <c r="B32" s="2588"/>
      <c r="C32" s="2588"/>
      <c r="D32" s="2588"/>
      <c r="E32" s="2588"/>
      <c r="F32" s="2588"/>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9">
        <f>+C33+C34</f>
        <v>0</v>
      </c>
      <c r="F34" s="2590"/>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1" t="s">
        <v>1570</v>
      </c>
      <c r="C49" s="2591"/>
      <c r="D49" s="2591"/>
      <c r="E49" s="1161"/>
    </row>
    <row r="50" spans="1:5" s="1069" customFormat="1" ht="3.75" customHeight="1" x14ac:dyDescent="0.2">
      <c r="A50" s="1068"/>
      <c r="B50" s="1468"/>
      <c r="C50" s="1468"/>
      <c r="D50" s="1468"/>
      <c r="E50" s="1161"/>
    </row>
    <row r="51" spans="1:5" s="1069" customFormat="1" ht="20.25" customHeight="1" x14ac:dyDescent="0.2">
      <c r="A51" s="1070">
        <v>6</v>
      </c>
      <c r="B51" s="2587" t="s">
        <v>1531</v>
      </c>
      <c r="C51" s="2587"/>
      <c r="D51" s="2587"/>
    </row>
    <row r="52" spans="1:5" ht="14.25" customHeight="1" x14ac:dyDescent="0.2">
      <c r="A52" s="1070"/>
      <c r="B52" s="2587"/>
      <c r="C52" s="2587"/>
      <c r="D52" s="258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4" colorId="8" zoomScaleNormal="100" workbookViewId="0">
      <selection activeCell="U56" sqref="U56"/>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1157</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3" t="s">
        <v>1613</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3" t="s">
        <v>310</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2067</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1311</v>
      </c>
      <c r="B70" s="2176"/>
      <c r="C70" s="2176"/>
      <c r="D70" s="2176"/>
      <c r="E70" s="2177"/>
      <c r="F70" s="2177"/>
      <c r="G70" s="2177"/>
      <c r="H70" s="2177"/>
      <c r="I70" s="2177"/>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1308</v>
      </c>
      <c r="B83" s="2178"/>
      <c r="C83" s="2178"/>
      <c r="D83" s="2179"/>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89" t="s">
        <v>1986</v>
      </c>
      <c r="B85" s="2189"/>
      <c r="C85" s="2189"/>
      <c r="D85" s="2190"/>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1" t="s">
        <v>1986</v>
      </c>
      <c r="B88" s="2192"/>
      <c r="C88" s="2192"/>
      <c r="D88" s="2193"/>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2015</v>
      </c>
      <c r="D114" s="2169"/>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1318</v>
      </c>
      <c r="D117" s="2171"/>
      <c r="E117" s="2172"/>
      <c r="F117" s="2172"/>
      <c r="G117" s="2172"/>
      <c r="H117" s="2172"/>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6" t="str">
        <f>'Single Audit Cover'!A7</f>
        <v xml:space="preserve"> Riley CCSD 18</v>
      </c>
      <c r="C1" s="2597"/>
      <c r="D1" s="2597"/>
      <c r="E1" s="2597"/>
      <c r="F1" s="2597"/>
      <c r="G1" s="2597"/>
      <c r="H1" s="2597"/>
      <c r="I1" s="2597"/>
      <c r="J1" s="1171"/>
    </row>
    <row r="2" spans="2:10" s="295" customFormat="1" ht="12.75" customHeight="1" x14ac:dyDescent="0.2">
      <c r="B2" s="2598">
        <f>'Single Audit Cover'!E7</f>
        <v>44063018004</v>
      </c>
      <c r="C2" s="2599"/>
      <c r="D2" s="2599"/>
      <c r="E2" s="2599"/>
      <c r="F2" s="2599"/>
      <c r="G2" s="2599"/>
      <c r="H2" s="2599"/>
      <c r="I2" s="2599"/>
      <c r="J2" s="1171"/>
    </row>
    <row r="3" spans="2:10" s="295" customFormat="1" ht="12.75" customHeight="1" x14ac:dyDescent="0.2">
      <c r="B3" s="2600" t="s">
        <v>1273</v>
      </c>
      <c r="C3" s="2601"/>
      <c r="D3" s="2601"/>
      <c r="E3" s="2601"/>
      <c r="F3" s="2601"/>
      <c r="G3" s="2601"/>
      <c r="H3" s="2601"/>
      <c r="I3" s="2601"/>
      <c r="J3" s="1172"/>
    </row>
    <row r="4" spans="2:10" s="295" customFormat="1" ht="12.75" customHeight="1" x14ac:dyDescent="0.2">
      <c r="B4" s="2600" t="str">
        <f>'Single Audit Cover'!A4</f>
        <v>Year Ending June 30, 2020</v>
      </c>
      <c r="C4" s="2601"/>
      <c r="D4" s="2601"/>
      <c r="E4" s="2601"/>
      <c r="F4" s="2601"/>
      <c r="G4" s="2601"/>
      <c r="H4" s="2601"/>
      <c r="I4" s="2601"/>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0" t="s">
        <v>1272</v>
      </c>
      <c r="C7" s="2601"/>
      <c r="D7" s="2601"/>
      <c r="E7" s="2601"/>
      <c r="F7" s="2601"/>
      <c r="G7" s="2601"/>
      <c r="H7" s="2601"/>
      <c r="I7" s="2601"/>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2"/>
      <c r="D11" s="2602"/>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3"/>
      <c r="E29" s="2603"/>
      <c r="F29" s="2603"/>
      <c r="G29" s="2603"/>
      <c r="H29" s="2603"/>
      <c r="I29" s="2603"/>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4" t="s">
        <v>1725</v>
      </c>
      <c r="D37" s="2605"/>
      <c r="E37" s="2605"/>
      <c r="F37" s="2606"/>
      <c r="G37" s="2604" t="s">
        <v>1572</v>
      </c>
      <c r="H37" s="2605"/>
      <c r="I37" s="2606"/>
    </row>
    <row r="38" spans="2:9" ht="16.5" customHeight="1" x14ac:dyDescent="0.2">
      <c r="B38" s="1193"/>
      <c r="C38" s="2592"/>
      <c r="D38" s="2593"/>
      <c r="E38" s="2593"/>
      <c r="F38" s="2594"/>
      <c r="G38" s="2607"/>
      <c r="H38" s="2608"/>
      <c r="I38" s="2609"/>
    </row>
    <row r="39" spans="2:9" ht="16.5" customHeight="1" x14ac:dyDescent="0.2">
      <c r="B39" s="1193"/>
      <c r="C39" s="2592"/>
      <c r="D39" s="2593"/>
      <c r="E39" s="2593"/>
      <c r="F39" s="2594"/>
      <c r="G39" s="2595"/>
      <c r="H39" s="2595"/>
      <c r="I39" s="2595"/>
    </row>
    <row r="40" spans="2:9" ht="16.5" customHeight="1" x14ac:dyDescent="0.2">
      <c r="B40" s="1193"/>
      <c r="C40" s="2592"/>
      <c r="D40" s="2593"/>
      <c r="E40" s="2593"/>
      <c r="F40" s="2594"/>
      <c r="G40" s="2595"/>
      <c r="H40" s="2595"/>
      <c r="I40" s="2595"/>
    </row>
    <row r="41" spans="2:9" ht="16.5" customHeight="1" x14ac:dyDescent="0.2">
      <c r="B41" s="1193"/>
      <c r="C41" s="2592"/>
      <c r="D41" s="2593"/>
      <c r="E41" s="2593"/>
      <c r="F41" s="2594"/>
      <c r="G41" s="2595"/>
      <c r="H41" s="2595"/>
      <c r="I41" s="2595"/>
    </row>
    <row r="42" spans="2:9" ht="16.5" customHeight="1" x14ac:dyDescent="0.2">
      <c r="B42" s="1193"/>
      <c r="C42" s="2592"/>
      <c r="D42" s="2593"/>
      <c r="E42" s="2593"/>
      <c r="F42" s="2594"/>
      <c r="G42" s="2595"/>
      <c r="H42" s="2595"/>
      <c r="I42" s="2595"/>
    </row>
    <row r="43" spans="2:9" ht="16.5" customHeight="1" x14ac:dyDescent="0.2">
      <c r="B43" s="1193"/>
      <c r="C43" s="2610" t="s">
        <v>1573</v>
      </c>
      <c r="D43" s="2611"/>
      <c r="E43" s="2611"/>
      <c r="F43" s="2612"/>
      <c r="G43" s="2613">
        <f>SUM(G38:I42)</f>
        <v>0</v>
      </c>
      <c r="H43" s="2613"/>
      <c r="I43" s="2613"/>
    </row>
    <row r="44" spans="2:9" ht="12.75" customHeight="1" x14ac:dyDescent="0.2"/>
    <row r="45" spans="2:9" ht="12.75" customHeight="1" x14ac:dyDescent="0.2">
      <c r="B45" s="1903" t="str">
        <f>"Total Federal Expenditures for 7/1/"&amp;MID('AFR20'!E2,3,2)-1&amp;"-6/30/"&amp;MID('AFR20'!E2,3,2)</f>
        <v>Total Federal Expenditures for 7/1/19-6/30/20</v>
      </c>
      <c r="C45" s="1904"/>
      <c r="D45" s="2614">
        <v>0</v>
      </c>
      <c r="E45" s="2615"/>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6"/>
      <c r="F49" s="2616"/>
      <c r="G49" s="2616"/>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6" t="str">
        <f>'Single Audit Cover'!A7</f>
        <v xml:space="preserve"> Riley CCSD 18</v>
      </c>
      <c r="C1" s="2596"/>
      <c r="D1" s="2596"/>
      <c r="E1" s="2596"/>
      <c r="F1" s="2596"/>
      <c r="G1" s="2596"/>
      <c r="H1" s="2596"/>
      <c r="I1" s="2596"/>
      <c r="J1" s="2596"/>
      <c r="K1" s="2596"/>
      <c r="L1" s="1137"/>
      <c r="M1" s="1137"/>
    </row>
    <row r="2" spans="1:13" ht="12" customHeight="1" x14ac:dyDescent="0.2">
      <c r="B2" s="2598">
        <f>'Single Audit Cover'!E7</f>
        <v>44063018004</v>
      </c>
      <c r="C2" s="2598"/>
      <c r="D2" s="2598"/>
      <c r="E2" s="2598"/>
      <c r="F2" s="2598"/>
      <c r="G2" s="2598"/>
      <c r="H2" s="2598"/>
      <c r="I2" s="2598"/>
      <c r="J2" s="2598"/>
      <c r="K2" s="2598"/>
      <c r="L2" s="1138"/>
      <c r="M2" s="1139"/>
    </row>
    <row r="3" spans="1:13" ht="10.35" customHeight="1" x14ac:dyDescent="0.2">
      <c r="B3" s="2619" t="s">
        <v>1273</v>
      </c>
      <c r="C3" s="2619"/>
      <c r="D3" s="2619"/>
      <c r="E3" s="2619"/>
      <c r="F3" s="2619"/>
      <c r="G3" s="2619"/>
      <c r="H3" s="2619"/>
      <c r="I3" s="2619"/>
      <c r="J3" s="2619"/>
      <c r="K3" s="2619"/>
      <c r="L3" s="1140"/>
      <c r="M3" s="1140"/>
    </row>
    <row r="4" spans="1:13" ht="14.25" customHeight="1" x14ac:dyDescent="0.2">
      <c r="B4" s="2620" t="str">
        <f>'Single Audit Cover'!A4</f>
        <v>Year Ending June 30, 2020</v>
      </c>
      <c r="C4" s="2620"/>
      <c r="D4" s="2620"/>
      <c r="E4" s="2620"/>
      <c r="F4" s="2620"/>
      <c r="G4" s="2620"/>
      <c r="H4" s="2620"/>
      <c r="I4" s="2620"/>
      <c r="J4" s="2620"/>
      <c r="K4" s="2620"/>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0" t="s">
        <v>1284</v>
      </c>
      <c r="C7" s="2620"/>
      <c r="D7" s="2621"/>
      <c r="E7" s="2621"/>
      <c r="F7" s="2621"/>
      <c r="G7" s="2621"/>
      <c r="H7" s="2621"/>
      <c r="I7" s="2621"/>
      <c r="J7" s="2621"/>
      <c r="K7" s="2621"/>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5"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18"/>
      <c r="C14" s="2618"/>
      <c r="D14" s="2618"/>
      <c r="E14" s="2618"/>
      <c r="F14" s="2618"/>
      <c r="G14" s="2618"/>
      <c r="H14" s="2618"/>
      <c r="I14" s="2618"/>
      <c r="J14" s="2618"/>
      <c r="K14" s="2618"/>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18"/>
      <c r="C17" s="2618"/>
      <c r="D17" s="2618"/>
      <c r="E17" s="2618"/>
      <c r="F17" s="2618"/>
      <c r="G17" s="2618"/>
      <c r="H17" s="2618"/>
      <c r="I17" s="2618"/>
      <c r="J17" s="2618"/>
      <c r="K17" s="2618"/>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2"/>
      <c r="C20" s="2622"/>
      <c r="D20" s="2618"/>
      <c r="E20" s="2618"/>
      <c r="F20" s="2618"/>
      <c r="G20" s="2618"/>
      <c r="H20" s="2618"/>
      <c r="I20" s="2618"/>
      <c r="J20" s="2618"/>
      <c r="K20" s="2618"/>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18"/>
      <c r="C23" s="2618"/>
      <c r="D23" s="2618"/>
      <c r="E23" s="2618"/>
      <c r="F23" s="2618"/>
      <c r="G23" s="2618"/>
      <c r="H23" s="2618"/>
      <c r="I23" s="2618"/>
      <c r="J23" s="2618"/>
      <c r="K23" s="2618"/>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18"/>
      <c r="C26" s="2618"/>
      <c r="D26" s="2618"/>
      <c r="E26" s="2618"/>
      <c r="F26" s="2618"/>
      <c r="G26" s="2618"/>
      <c r="H26" s="2618"/>
      <c r="I26" s="2618"/>
      <c r="J26" s="2618"/>
      <c r="K26" s="2618"/>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17"/>
      <c r="C29" s="2617"/>
      <c r="D29" s="2618"/>
      <c r="E29" s="2618"/>
      <c r="F29" s="2618"/>
      <c r="G29" s="2618"/>
      <c r="H29" s="2618"/>
      <c r="I29" s="2618"/>
      <c r="J29" s="2618"/>
      <c r="K29" s="2618"/>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17"/>
      <c r="C32" s="2617"/>
      <c r="D32" s="2618"/>
      <c r="E32" s="2618"/>
      <c r="F32" s="2618"/>
      <c r="G32" s="2618"/>
      <c r="H32" s="2618"/>
      <c r="I32" s="2618"/>
      <c r="J32" s="2618"/>
      <c r="K32" s="2618"/>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Riley CCSD 18</v>
      </c>
      <c r="C1" s="2623"/>
      <c r="D1" s="2623"/>
      <c r="E1" s="2623"/>
      <c r="F1" s="2623"/>
      <c r="G1" s="2623"/>
      <c r="H1" s="2623"/>
      <c r="I1" s="2623"/>
      <c r="J1" s="2623"/>
      <c r="K1" s="2623"/>
      <c r="L1" s="1214"/>
    </row>
    <row r="2" spans="1:12" ht="12.75" customHeight="1" x14ac:dyDescent="0.2">
      <c r="B2" s="2624">
        <f>'Single Audit Cover'!E7</f>
        <v>44063018004</v>
      </c>
      <c r="C2" s="2624"/>
      <c r="D2" s="2624"/>
      <c r="E2" s="2624"/>
      <c r="F2" s="2624"/>
      <c r="G2" s="2624"/>
      <c r="H2" s="2624"/>
      <c r="I2" s="2624"/>
      <c r="J2" s="2624"/>
      <c r="K2" s="2624"/>
      <c r="L2" s="1215"/>
    </row>
    <row r="3" spans="1:12" ht="12.75" customHeight="1" x14ac:dyDescent="0.2">
      <c r="B3" s="2619" t="s">
        <v>1273</v>
      </c>
      <c r="C3" s="2619"/>
      <c r="D3" s="2619"/>
      <c r="E3" s="2619"/>
      <c r="F3" s="2619"/>
      <c r="G3" s="2619"/>
      <c r="H3" s="2619"/>
      <c r="I3" s="2619"/>
      <c r="J3" s="2619"/>
      <c r="K3" s="2619"/>
      <c r="L3" s="1140"/>
    </row>
    <row r="4" spans="1:12" ht="12.75" customHeight="1" x14ac:dyDescent="0.2">
      <c r="B4" s="2619" t="str">
        <f>'Single Audit Cover'!A4</f>
        <v>Year Ending June 30, 2020</v>
      </c>
      <c r="C4" s="2619"/>
      <c r="D4" s="2619"/>
      <c r="E4" s="2619"/>
      <c r="F4" s="2619"/>
      <c r="G4" s="2619"/>
      <c r="H4" s="2619"/>
      <c r="I4" s="2619"/>
      <c r="J4" s="2619"/>
      <c r="K4" s="2619"/>
      <c r="L4" s="1140"/>
    </row>
    <row r="5" spans="1:12" ht="5.25" customHeight="1" x14ac:dyDescent="0.2">
      <c r="B5" s="1029" t="s">
        <v>1158</v>
      </c>
      <c r="C5" s="1029"/>
      <c r="L5" s="300"/>
    </row>
    <row r="6" spans="1:12" ht="30.75" customHeight="1" x14ac:dyDescent="0.2">
      <c r="A6" s="300"/>
      <c r="B6" s="2625" t="s">
        <v>1296</v>
      </c>
      <c r="C6" s="2625"/>
      <c r="D6" s="2625"/>
      <c r="E6" s="2625"/>
      <c r="F6" s="2625"/>
      <c r="G6" s="2625"/>
      <c r="H6" s="2625"/>
      <c r="I6" s="2625"/>
      <c r="J6" s="2625"/>
      <c r="K6" s="2625"/>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5"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3"/>
      <c r="G12" s="2603"/>
      <c r="H12" s="2603"/>
      <c r="I12" s="2603"/>
      <c r="J12" s="2603"/>
      <c r="K12" s="2603"/>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6"/>
      <c r="E14" s="2626"/>
      <c r="F14" s="2626"/>
      <c r="H14" s="1223" t="s">
        <v>1291</v>
      </c>
      <c r="I14" s="2627"/>
      <c r="J14" s="2627"/>
      <c r="K14" s="2627"/>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7"/>
      <c r="E16" s="2627"/>
      <c r="F16" s="2627"/>
      <c r="G16" s="2627"/>
      <c r="H16" s="2627"/>
      <c r="I16" s="2627"/>
      <c r="J16" s="2627"/>
      <c r="K16" s="2627"/>
      <c r="L16" s="300"/>
    </row>
    <row r="17" spans="2:12" ht="13.5" customHeight="1" x14ac:dyDescent="0.2">
      <c r="B17" s="1149" t="s">
        <v>1289</v>
      </c>
      <c r="C17" s="1149"/>
      <c r="D17" s="2628"/>
      <c r="E17" s="2628"/>
      <c r="F17" s="2628"/>
      <c r="G17" s="2628"/>
      <c r="H17" s="2628"/>
      <c r="I17" s="2628"/>
      <c r="J17" s="2628"/>
      <c r="K17" s="2628"/>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18"/>
      <c r="C20" s="2618"/>
      <c r="D20" s="2618"/>
      <c r="E20" s="2618"/>
      <c r="F20" s="2618"/>
      <c r="G20" s="2618"/>
      <c r="H20" s="2618"/>
      <c r="I20" s="2618"/>
      <c r="J20" s="2618"/>
      <c r="K20" s="2618"/>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18"/>
      <c r="C23" s="2618"/>
      <c r="D23" s="2618"/>
      <c r="E23" s="2618"/>
      <c r="F23" s="2618"/>
      <c r="G23" s="2618"/>
      <c r="H23" s="2618"/>
      <c r="I23" s="2618"/>
      <c r="J23" s="2618"/>
      <c r="K23" s="2618"/>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18"/>
      <c r="C26" s="2618"/>
      <c r="D26" s="2618"/>
      <c r="E26" s="2618"/>
      <c r="F26" s="2618"/>
      <c r="G26" s="2618"/>
      <c r="H26" s="2618"/>
      <c r="I26" s="2618"/>
      <c r="J26" s="2618"/>
      <c r="K26" s="2618"/>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18"/>
      <c r="C29" s="2618"/>
      <c r="D29" s="2618"/>
      <c r="E29" s="2618"/>
      <c r="F29" s="2618"/>
      <c r="G29" s="2618"/>
      <c r="H29" s="2618"/>
      <c r="I29" s="2618"/>
      <c r="J29" s="2618"/>
      <c r="K29" s="2618"/>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18"/>
      <c r="C32" s="2618"/>
      <c r="D32" s="2618"/>
      <c r="E32" s="2618"/>
      <c r="F32" s="2618"/>
      <c r="G32" s="2618"/>
      <c r="H32" s="2618"/>
      <c r="I32" s="2618"/>
      <c r="J32" s="2618"/>
      <c r="K32" s="2618"/>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18"/>
      <c r="C35" s="2618"/>
      <c r="D35" s="2618"/>
      <c r="E35" s="2618"/>
      <c r="F35" s="2618"/>
      <c r="G35" s="2618"/>
      <c r="H35" s="2618"/>
      <c r="I35" s="2618"/>
      <c r="J35" s="2618"/>
      <c r="K35" s="2618"/>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18"/>
      <c r="C38" s="2618"/>
      <c r="D38" s="2618"/>
      <c r="E38" s="2618"/>
      <c r="F38" s="2618"/>
      <c r="G38" s="2618"/>
      <c r="H38" s="2618"/>
      <c r="I38" s="2618"/>
      <c r="J38" s="2618"/>
      <c r="K38" s="2618"/>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18"/>
      <c r="C41" s="2618"/>
      <c r="D41" s="2618"/>
      <c r="E41" s="2618"/>
      <c r="F41" s="2618"/>
      <c r="G41" s="2618"/>
      <c r="H41" s="2618"/>
      <c r="I41" s="2618"/>
      <c r="J41" s="2618"/>
      <c r="K41" s="2618"/>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6" t="str">
        <f>'Single Audit Cover'!A7</f>
        <v xml:space="preserve"> Riley CCSD 18</v>
      </c>
      <c r="C1" s="2596"/>
      <c r="D1" s="2596"/>
      <c r="E1" s="1233"/>
    </row>
    <row r="2" spans="2:5" s="1051" customFormat="1" ht="12.75" customHeight="1" x14ac:dyDescent="0.2">
      <c r="B2" s="2598">
        <f>'Single Audit Cover'!E7</f>
        <v>44063018004</v>
      </c>
      <c r="C2" s="2598"/>
      <c r="D2" s="2598"/>
      <c r="E2" s="1234"/>
    </row>
    <row r="3" spans="2:5" ht="12.75" customHeight="1" x14ac:dyDescent="0.2">
      <c r="B3" s="2619" t="s">
        <v>1740</v>
      </c>
      <c r="C3" s="2619"/>
      <c r="D3" s="2619"/>
      <c r="E3" s="1043"/>
    </row>
    <row r="4" spans="2:5" s="1051" customFormat="1" ht="12.75" customHeight="1" x14ac:dyDescent="0.2">
      <c r="B4" s="2629" t="str">
        <f>'Single Audit Cover'!A4</f>
        <v>Year Ending June 30, 2020</v>
      </c>
      <c r="C4" s="2629"/>
      <c r="D4" s="2629"/>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383</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117947713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2.6912999999999999E-2</v>
      </c>
      <c r="E10" s="333" t="s">
        <v>997</v>
      </c>
      <c r="F10" s="332">
        <v>5.2900000000000004E-3</v>
      </c>
      <c r="G10" s="333" t="s">
        <v>997</v>
      </c>
      <c r="H10" s="332">
        <v>1.26E-4</v>
      </c>
      <c r="I10" s="333" t="s">
        <v>998</v>
      </c>
      <c r="J10" s="1417">
        <f>ROUND(D10+F10+H10,5)</f>
        <v>3.2329999999999998E-2</v>
      </c>
      <c r="K10" s="217"/>
      <c r="L10" s="332">
        <v>2.1000000000000001E-4</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4737492</v>
      </c>
      <c r="E16" s="1540"/>
      <c r="F16" s="1539">
        <f>SUM('Acct Summary 7-8'!C17,'Acct Summary 7-8'!D17,'Acct Summary 7-8'!F17)</f>
        <v>3707607</v>
      </c>
      <c r="G16" s="1540"/>
      <c r="H16" s="1539">
        <f>SUM(D16-F16)</f>
        <v>1029885</v>
      </c>
      <c r="I16" s="1541"/>
      <c r="J16" s="1539">
        <f>SUM('Acct Summary 7-8'!C81,'Acct Summary 7-8'!D81,'Acct Summary 7-8'!F81,'Acct Summary 7-8'!I81)</f>
        <v>9126599</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2067</v>
      </c>
      <c r="C31" s="344" t="s">
        <v>582</v>
      </c>
      <c r="D31" s="232" t="s">
        <v>1062</v>
      </c>
      <c r="E31" s="217"/>
      <c r="F31" s="217"/>
      <c r="G31" s="340"/>
      <c r="H31" s="1418">
        <f>IF(B31="X",(J7*0.069),IF(B32="X",(J7*0.138),"Enter x in a.or b."))</f>
        <v>8138392.1970000006</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22" zoomScale="110" zoomScaleNormal="110" workbookViewId="0">
      <selection activeCell="T11" sqref="T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552</v>
      </c>
      <c r="B2" s="2213"/>
      <c r="C2" s="2213"/>
      <c r="D2" s="2213"/>
      <c r="E2" s="2213"/>
      <c r="F2" s="2213"/>
      <c r="G2" s="2213"/>
      <c r="H2" s="2213"/>
      <c r="I2" s="2213"/>
      <c r="J2" s="2213"/>
      <c r="K2" s="2213"/>
      <c r="L2" s="2213"/>
      <c r="M2" s="2213"/>
      <c r="N2" s="2213"/>
      <c r="O2" s="2213"/>
      <c r="P2" s="2213"/>
      <c r="Q2" s="2213"/>
      <c r="R2" s="2213"/>
    </row>
    <row r="3" spans="1:18" ht="12.75" x14ac:dyDescent="0.2">
      <c r="A3" s="2214" t="s">
        <v>1393</v>
      </c>
      <c r="B3" s="2214"/>
      <c r="C3" s="2214"/>
      <c r="D3" s="2214"/>
      <c r="E3" s="2214"/>
      <c r="F3" s="2214"/>
      <c r="G3" s="2214"/>
      <c r="H3" s="2214"/>
      <c r="I3" s="2214"/>
      <c r="J3" s="2214"/>
      <c r="K3" s="2214"/>
      <c r="L3" s="2214"/>
      <c r="M3" s="2214"/>
      <c r="N3" s="2214"/>
      <c r="O3" s="2214"/>
      <c r="P3" s="2214"/>
      <c r="Q3" s="2214"/>
      <c r="R3" s="2214"/>
    </row>
    <row r="4" spans="1:18" x14ac:dyDescent="0.2">
      <c r="A4" s="2215" t="s">
        <v>1534</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Riley CCSD 18</v>
      </c>
      <c r="E7" s="368"/>
      <c r="G7" s="247"/>
      <c r="H7" s="364"/>
      <c r="I7" s="364"/>
      <c r="J7" s="364"/>
      <c r="K7" s="364"/>
      <c r="L7" s="307"/>
      <c r="M7" s="307"/>
      <c r="N7" s="307"/>
      <c r="O7" s="307"/>
      <c r="P7" s="307"/>
    </row>
    <row r="8" spans="1:18" ht="12.75" x14ac:dyDescent="0.2">
      <c r="A8" s="307"/>
      <c r="B8" s="307"/>
      <c r="C8" s="366" t="s">
        <v>1114</v>
      </c>
      <c r="D8" s="369">
        <f>COVER!A13</f>
        <v>44063018004</v>
      </c>
      <c r="E8" s="370"/>
      <c r="G8" s="307"/>
      <c r="H8" s="307"/>
      <c r="I8" s="307"/>
      <c r="J8" s="307"/>
      <c r="K8" s="307"/>
      <c r="L8" s="307"/>
      <c r="M8" s="307"/>
      <c r="N8" s="307"/>
      <c r="O8" s="307"/>
      <c r="P8" s="307"/>
    </row>
    <row r="9" spans="1:18" ht="12.75" x14ac:dyDescent="0.2">
      <c r="A9" s="307"/>
      <c r="B9" s="307"/>
      <c r="C9" s="366" t="s">
        <v>707</v>
      </c>
      <c r="D9" s="371" t="str">
        <f>COVER!A15</f>
        <v>MCHENRY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9126599</v>
      </c>
      <c r="I12" s="380"/>
      <c r="J12" s="380"/>
      <c r="K12" s="1552">
        <f>TRUNC((H12/H13*100000),5)/100000</f>
        <v>1.9264621449000001</v>
      </c>
      <c r="L12" s="381"/>
      <c r="M12" s="337" t="s">
        <v>1133</v>
      </c>
      <c r="N12" s="337"/>
      <c r="O12" s="1555">
        <v>0.35</v>
      </c>
      <c r="P12" s="213"/>
      <c r="Q12" s="213"/>
    </row>
    <row r="13" spans="1:18" s="382" customFormat="1" ht="12.75" x14ac:dyDescent="0.2">
      <c r="A13" s="213"/>
      <c r="B13" s="377"/>
      <c r="C13" s="2211" t="s">
        <v>1312</v>
      </c>
      <c r="D13" s="2212"/>
      <c r="E13" s="213"/>
      <c r="F13" s="383" t="s">
        <v>787</v>
      </c>
      <c r="G13" s="378"/>
      <c r="H13" s="1544">
        <f>SUM('Acct Summary 7-8'!C8+'Acct Summary 7-8'!D8+'Acct Summary 7-8'!F8+'Acct Summary 7-8'!I8)+H14</f>
        <v>4737492</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3707607</v>
      </c>
      <c r="I17" s="380"/>
      <c r="J17" s="389"/>
      <c r="K17" s="1552">
        <f>TRUNC((H17/H18*100000),5)/100000</f>
        <v>0.78260965920000003</v>
      </c>
      <c r="L17" s="381"/>
      <c r="M17" s="390" t="s">
        <v>1160</v>
      </c>
      <c r="O17" s="1558" t="str">
        <f>IF(AND(O16="2", J20 &gt; 2),"1",IF(AND(O16 = "1", J20 &gt; 2),"2",IF(AND(O16="1", J20 &gt;1),"1","0")))</f>
        <v>0</v>
      </c>
      <c r="P17" s="213"/>
    </row>
    <row r="18" spans="1:18" s="382" customFormat="1" ht="11.25" x14ac:dyDescent="0.2">
      <c r="A18" s="213"/>
      <c r="B18" s="377"/>
      <c r="C18" s="2211" t="s">
        <v>1305</v>
      </c>
      <c r="D18" s="2212"/>
      <c r="E18" s="213"/>
      <c r="F18" s="391" t="s">
        <v>788</v>
      </c>
      <c r="G18" s="378"/>
      <c r="H18" s="1544">
        <f>SUM('Acct Summary 7-8'!C8+'Acct Summary 7-8'!D8+'Acct Summary 7-8'!F8+'Acct Summary 7-8'!I8)+H19</f>
        <v>4737492</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08" t="s">
        <v>1392</v>
      </c>
      <c r="D24" s="2208"/>
      <c r="E24" s="213"/>
      <c r="F24" s="213" t="s">
        <v>442</v>
      </c>
      <c r="G24" s="378"/>
      <c r="H24" s="1544">
        <f>SUM('Assets-Liab 5-6'!C4+'Assets-Liab 5-6'!D4+'Assets-Liab 5-6'!F4+'Assets-Liab 5-6'!I4+'Assets-Liab 5-6'!C5+'Assets-Liab 5-6'!D5+'Assets-Liab 5-6'!F5+'Assets-Liab 5-6'!I5)</f>
        <v>9126569</v>
      </c>
      <c r="I24" s="394"/>
      <c r="J24" s="394"/>
      <c r="K24" s="1548">
        <f>TRUNC(((H24/H25*100000)/100000),2)</f>
        <v>886.16</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10298.90833</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3241262.1271000002</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4</v>
      </c>
      <c r="P31" s="211"/>
    </row>
    <row r="32" spans="1:18" s="382" customFormat="1" ht="11.25" x14ac:dyDescent="0.2">
      <c r="A32" s="213"/>
      <c r="B32" s="377"/>
      <c r="C32" s="213" t="s">
        <v>841</v>
      </c>
      <c r="D32" s="213"/>
      <c r="E32" s="213"/>
      <c r="F32" s="213"/>
      <c r="G32" s="378"/>
      <c r="H32" s="1544">
        <f>'FP Info 3'!H37</f>
        <v>0</v>
      </c>
      <c r="I32" s="392"/>
      <c r="J32" s="392"/>
      <c r="K32" s="1548">
        <f>TRUNC(100-((((H32/H33*100))*100)/100),2)</f>
        <v>100</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8138392.1970000006</v>
      </c>
      <c r="I33" s="392"/>
      <c r="J33" s="392"/>
      <c r="K33" s="379"/>
      <c r="L33" s="213"/>
      <c r="M33" s="401" t="s">
        <v>1134</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C1" colorId="8" zoomScale="90" zoomScaleNormal="90" workbookViewId="0">
      <pane ySplit="2" topLeftCell="A18" activePane="bottomLeft" state="frozen"/>
      <selection activeCell="K3" sqref="K3"/>
      <selection pane="bottomLeft" activeCell="M40" sqref="M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7"/>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18" t="s">
        <v>966</v>
      </c>
      <c r="B3" s="2219"/>
      <c r="C3" s="1299"/>
      <c r="D3" s="1300"/>
      <c r="E3" s="1300"/>
      <c r="F3" s="1300"/>
      <c r="G3" s="1300"/>
      <c r="H3" s="1300"/>
      <c r="I3" s="1300"/>
      <c r="J3" s="1300"/>
      <c r="K3" s="1300"/>
      <c r="L3" s="1300"/>
      <c r="M3" s="1301"/>
      <c r="N3" s="1302"/>
    </row>
    <row r="4" spans="1:14" ht="13.5" customHeight="1" x14ac:dyDescent="0.2">
      <c r="A4" s="427" t="s">
        <v>1629</v>
      </c>
      <c r="B4" s="428"/>
      <c r="C4" s="1912">
        <v>7896195</v>
      </c>
      <c r="D4" s="1907">
        <v>606243</v>
      </c>
      <c r="E4" s="1907">
        <v>0</v>
      </c>
      <c r="F4" s="1907">
        <v>578995</v>
      </c>
      <c r="G4" s="1907">
        <v>223683</v>
      </c>
      <c r="H4" s="1907">
        <v>1969835</v>
      </c>
      <c r="I4" s="1907">
        <v>45136</v>
      </c>
      <c r="J4" s="1908">
        <v>121761</v>
      </c>
      <c r="K4" s="1913">
        <v>0</v>
      </c>
      <c r="L4" s="1906">
        <v>30751</v>
      </c>
      <c r="M4" s="1567"/>
      <c r="N4" s="1568"/>
    </row>
    <row r="5" spans="1:14" x14ac:dyDescent="0.2">
      <c r="A5" s="427" t="s">
        <v>984</v>
      </c>
      <c r="B5" s="429">
        <v>120</v>
      </c>
      <c r="C5" s="1912">
        <v>0</v>
      </c>
      <c r="D5" s="1907">
        <v>0</v>
      </c>
      <c r="E5" s="1907">
        <v>0</v>
      </c>
      <c r="F5" s="1907">
        <v>0</v>
      </c>
      <c r="G5" s="1907">
        <v>0</v>
      </c>
      <c r="H5" s="1907">
        <v>0</v>
      </c>
      <c r="I5" s="1907">
        <v>0</v>
      </c>
      <c r="J5" s="1908">
        <v>0</v>
      </c>
      <c r="K5" s="1913">
        <v>0</v>
      </c>
      <c r="L5" s="1570"/>
      <c r="M5" s="1567"/>
      <c r="N5" s="1568"/>
    </row>
    <row r="6" spans="1:14" ht="13.5" customHeight="1" x14ac:dyDescent="0.2">
      <c r="A6" s="430" t="s">
        <v>414</v>
      </c>
      <c r="B6" s="429">
        <v>130</v>
      </c>
      <c r="C6" s="1912">
        <v>0</v>
      </c>
      <c r="D6" s="1907">
        <v>0</v>
      </c>
      <c r="E6" s="1907">
        <v>0</v>
      </c>
      <c r="F6" s="1907">
        <v>0</v>
      </c>
      <c r="G6" s="1913">
        <v>0</v>
      </c>
      <c r="H6" s="1913">
        <v>0</v>
      </c>
      <c r="I6" s="1907">
        <v>0</v>
      </c>
      <c r="J6" s="1914">
        <v>0</v>
      </c>
      <c r="K6" s="1913">
        <v>0</v>
      </c>
      <c r="L6" s="1572"/>
      <c r="M6" s="1567"/>
      <c r="N6" s="1568"/>
    </row>
    <row r="7" spans="1:14" ht="13.5" customHeight="1" x14ac:dyDescent="0.2">
      <c r="A7" s="430" t="s">
        <v>415</v>
      </c>
      <c r="B7" s="429">
        <v>140</v>
      </c>
      <c r="C7" s="1915">
        <v>0</v>
      </c>
      <c r="D7" s="1908">
        <v>0</v>
      </c>
      <c r="E7" s="1915">
        <v>0</v>
      </c>
      <c r="F7" s="1908">
        <v>0</v>
      </c>
      <c r="G7" s="1908">
        <v>0</v>
      </c>
      <c r="H7" s="1908">
        <v>0</v>
      </c>
      <c r="I7" s="1908">
        <v>0</v>
      </c>
      <c r="J7" s="1908">
        <v>0</v>
      </c>
      <c r="K7" s="1908">
        <v>0</v>
      </c>
      <c r="L7" s="1573"/>
      <c r="M7" s="1567"/>
      <c r="N7" s="1568"/>
    </row>
    <row r="8" spans="1:14" ht="13.5" customHeight="1" x14ac:dyDescent="0.2">
      <c r="A8" s="430" t="s">
        <v>267</v>
      </c>
      <c r="B8" s="429">
        <v>150</v>
      </c>
      <c r="C8" s="1915">
        <v>0</v>
      </c>
      <c r="D8" s="1908">
        <v>0</v>
      </c>
      <c r="E8" s="1915">
        <v>0</v>
      </c>
      <c r="F8" s="1908">
        <v>0</v>
      </c>
      <c r="G8" s="1909">
        <v>0</v>
      </c>
      <c r="H8" s="1908">
        <v>0</v>
      </c>
      <c r="I8" s="1914">
        <v>0</v>
      </c>
      <c r="J8" s="1914">
        <v>0</v>
      </c>
      <c r="K8" s="1910">
        <v>0</v>
      </c>
      <c r="L8" s="1576"/>
      <c r="M8" s="1567"/>
      <c r="N8" s="1568"/>
    </row>
    <row r="9" spans="1:14" ht="13.5" customHeight="1" x14ac:dyDescent="0.2">
      <c r="A9" s="430" t="s">
        <v>268</v>
      </c>
      <c r="B9" s="429">
        <v>160</v>
      </c>
      <c r="C9" s="1915">
        <v>0</v>
      </c>
      <c r="D9" s="1908">
        <v>0</v>
      </c>
      <c r="E9" s="1915">
        <v>0</v>
      </c>
      <c r="F9" s="1908">
        <v>0</v>
      </c>
      <c r="G9" s="1908">
        <v>0</v>
      </c>
      <c r="H9" s="1909">
        <v>0</v>
      </c>
      <c r="I9" s="1908">
        <v>0</v>
      </c>
      <c r="J9" s="1908">
        <v>0</v>
      </c>
      <c r="K9" s="1908">
        <v>0</v>
      </c>
      <c r="L9" s="1566"/>
      <c r="M9" s="1567"/>
      <c r="N9" s="1568"/>
    </row>
    <row r="10" spans="1:14" ht="13.5" customHeight="1" x14ac:dyDescent="0.2">
      <c r="A10" s="430" t="s">
        <v>983</v>
      </c>
      <c r="B10" s="429">
        <v>170</v>
      </c>
      <c r="C10" s="1912">
        <v>0</v>
      </c>
      <c r="D10" s="1907">
        <v>0</v>
      </c>
      <c r="E10" s="1908">
        <v>0</v>
      </c>
      <c r="F10" s="1907">
        <v>0</v>
      </c>
      <c r="G10" s="1909">
        <v>0</v>
      </c>
      <c r="H10" s="1911">
        <v>0</v>
      </c>
      <c r="I10" s="1908">
        <v>0</v>
      </c>
      <c r="J10" s="1908">
        <v>0</v>
      </c>
      <c r="K10" s="1911">
        <v>0</v>
      </c>
      <c r="L10" s="1577"/>
      <c r="M10" s="1568"/>
      <c r="N10" s="1568"/>
    </row>
    <row r="11" spans="1:14" ht="13.5" customHeight="1" x14ac:dyDescent="0.2">
      <c r="A11" s="430" t="s">
        <v>269</v>
      </c>
      <c r="B11" s="429">
        <v>180</v>
      </c>
      <c r="C11" s="1915">
        <v>0</v>
      </c>
      <c r="D11" s="1908">
        <v>0</v>
      </c>
      <c r="E11" s="1908">
        <v>0</v>
      </c>
      <c r="F11" s="1908">
        <v>0</v>
      </c>
      <c r="G11" s="1908">
        <v>0</v>
      </c>
      <c r="H11" s="1908">
        <v>0</v>
      </c>
      <c r="I11" s="1909">
        <v>0</v>
      </c>
      <c r="J11" s="1909">
        <v>0</v>
      </c>
      <c r="K11" s="1908">
        <v>0</v>
      </c>
      <c r="L11" s="1566"/>
      <c r="M11" s="1568"/>
      <c r="N11" s="1568"/>
    </row>
    <row r="12" spans="1:14" ht="13.5" customHeight="1" x14ac:dyDescent="0.2">
      <c r="A12" s="430" t="s">
        <v>416</v>
      </c>
      <c r="B12" s="429">
        <v>190</v>
      </c>
      <c r="C12" s="1912">
        <v>30</v>
      </c>
      <c r="D12" s="1907">
        <v>0</v>
      </c>
      <c r="E12" s="1907">
        <v>0</v>
      </c>
      <c r="F12" s="1907">
        <v>0</v>
      </c>
      <c r="G12" s="1907">
        <v>0</v>
      </c>
      <c r="H12" s="1907">
        <v>0</v>
      </c>
      <c r="I12" s="1907">
        <v>0</v>
      </c>
      <c r="J12" s="1908">
        <v>0</v>
      </c>
      <c r="K12" s="1907">
        <v>0</v>
      </c>
      <c r="L12" s="1565"/>
      <c r="M12" s="1568"/>
      <c r="N12" s="1568"/>
    </row>
    <row r="13" spans="1:14" ht="13.5" customHeight="1" thickBot="1" x14ac:dyDescent="0.25">
      <c r="A13" s="1419" t="s">
        <v>639</v>
      </c>
      <c r="B13" s="1400"/>
      <c r="C13" s="1578">
        <f>SUM(C4:C12)</f>
        <v>7896225</v>
      </c>
      <c r="D13" s="1578">
        <f t="shared" ref="D13:L13" si="0">SUM(D4:D12)</f>
        <v>606243</v>
      </c>
      <c r="E13" s="1578">
        <f t="shared" si="0"/>
        <v>0</v>
      </c>
      <c r="F13" s="1578">
        <f t="shared" si="0"/>
        <v>578995</v>
      </c>
      <c r="G13" s="1578">
        <f t="shared" si="0"/>
        <v>223683</v>
      </c>
      <c r="H13" s="1578">
        <f t="shared" si="0"/>
        <v>1969835</v>
      </c>
      <c r="I13" s="1578">
        <f t="shared" si="0"/>
        <v>45136</v>
      </c>
      <c r="J13" s="1578">
        <f t="shared" si="0"/>
        <v>121761</v>
      </c>
      <c r="K13" s="1578">
        <f t="shared" si="0"/>
        <v>0</v>
      </c>
      <c r="L13" s="1578">
        <f t="shared" si="0"/>
        <v>30751</v>
      </c>
      <c r="M13" s="1567"/>
      <c r="N13" s="1568"/>
    </row>
    <row r="14" spans="1:14" ht="18" customHeight="1" thickTop="1" x14ac:dyDescent="0.2">
      <c r="A14" s="2220" t="s">
        <v>146</v>
      </c>
      <c r="B14" s="2221"/>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25000</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3802617</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225937</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1427405</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554178</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6035137</v>
      </c>
      <c r="N23" s="1585">
        <f>SUM(N21:N22)</f>
        <v>0</v>
      </c>
    </row>
    <row r="24" spans="1:14" ht="18" customHeight="1" thickTop="1" x14ac:dyDescent="0.2">
      <c r="A24" s="2222" t="s">
        <v>594</v>
      </c>
      <c r="B24" s="2223"/>
      <c r="C24" s="1586"/>
      <c r="D24" s="1581"/>
      <c r="E24" s="1581"/>
      <c r="F24" s="1581"/>
      <c r="G24" s="1581"/>
      <c r="H24" s="1581"/>
      <c r="I24" s="1581"/>
      <c r="J24" s="1581"/>
      <c r="K24" s="1581"/>
      <c r="L24" s="1581"/>
      <c r="M24" s="1580"/>
      <c r="N24" s="1587"/>
    </row>
    <row r="25" spans="1:14" x14ac:dyDescent="0.2">
      <c r="A25" s="430" t="s">
        <v>640</v>
      </c>
      <c r="B25" s="429">
        <v>410</v>
      </c>
      <c r="C25" s="1909">
        <v>0</v>
      </c>
      <c r="D25" s="1909">
        <v>0</v>
      </c>
      <c r="E25" s="1909">
        <v>0</v>
      </c>
      <c r="F25" s="1909">
        <v>0</v>
      </c>
      <c r="G25" s="1909">
        <v>0</v>
      </c>
      <c r="H25" s="1910">
        <v>0</v>
      </c>
      <c r="I25" s="1567"/>
      <c r="J25" s="1574">
        <v>0</v>
      </c>
      <c r="K25" s="1574">
        <v>0</v>
      </c>
      <c r="L25" s="1567"/>
      <c r="M25" s="1567"/>
      <c r="N25" s="1567"/>
    </row>
    <row r="26" spans="1:14" x14ac:dyDescent="0.2">
      <c r="A26" s="430" t="s">
        <v>641</v>
      </c>
      <c r="B26" s="429">
        <v>420</v>
      </c>
      <c r="C26" s="1908">
        <v>0</v>
      </c>
      <c r="D26" s="1908">
        <v>0</v>
      </c>
      <c r="E26" s="1908">
        <v>0</v>
      </c>
      <c r="F26" s="1908">
        <v>0</v>
      </c>
      <c r="G26" s="1908">
        <v>0</v>
      </c>
      <c r="H26" s="1908">
        <v>0</v>
      </c>
      <c r="I26" s="1919">
        <v>0</v>
      </c>
      <c r="J26" s="1922">
        <v>0</v>
      </c>
      <c r="K26" s="1919">
        <v>0</v>
      </c>
      <c r="L26" s="1567"/>
      <c r="M26" s="1567"/>
      <c r="N26" s="1567"/>
    </row>
    <row r="27" spans="1:14" ht="13.5" customHeight="1" x14ac:dyDescent="0.2">
      <c r="A27" s="430" t="s">
        <v>642</v>
      </c>
      <c r="B27" s="429">
        <v>430</v>
      </c>
      <c r="C27" s="1908">
        <v>0</v>
      </c>
      <c r="D27" s="1908">
        <v>0</v>
      </c>
      <c r="E27" s="1908">
        <v>0</v>
      </c>
      <c r="F27" s="1908">
        <v>0</v>
      </c>
      <c r="G27" s="1908">
        <v>0</v>
      </c>
      <c r="H27" s="1908">
        <v>0</v>
      </c>
      <c r="I27" s="1919">
        <v>0</v>
      </c>
      <c r="J27" s="1919">
        <v>0</v>
      </c>
      <c r="K27" s="1919">
        <v>0</v>
      </c>
      <c r="L27" s="1567"/>
      <c r="M27" s="1567"/>
      <c r="N27" s="1567"/>
    </row>
    <row r="28" spans="1:14" ht="13.5" customHeight="1" x14ac:dyDescent="0.2">
      <c r="A28" s="430" t="s">
        <v>643</v>
      </c>
      <c r="B28" s="429">
        <v>440</v>
      </c>
      <c r="C28" s="1908">
        <v>0</v>
      </c>
      <c r="D28" s="1908">
        <v>0</v>
      </c>
      <c r="E28" s="1914">
        <v>0</v>
      </c>
      <c r="F28" s="1908">
        <v>0</v>
      </c>
      <c r="G28" s="1914">
        <v>0</v>
      </c>
      <c r="H28" s="1914">
        <v>0</v>
      </c>
      <c r="I28" s="1919">
        <v>0</v>
      </c>
      <c r="J28" s="1919">
        <v>0</v>
      </c>
      <c r="K28" s="1921">
        <v>0</v>
      </c>
      <c r="L28" s="1567"/>
      <c r="M28" s="1567"/>
      <c r="N28" s="1567"/>
    </row>
    <row r="29" spans="1:14" ht="13.5" customHeight="1" x14ac:dyDescent="0.2">
      <c r="A29" s="430" t="s">
        <v>644</v>
      </c>
      <c r="B29" s="429">
        <v>460</v>
      </c>
      <c r="C29" s="1916">
        <v>0</v>
      </c>
      <c r="D29" s="1917">
        <v>0</v>
      </c>
      <c r="E29" s="1914">
        <v>0</v>
      </c>
      <c r="F29" s="1908">
        <v>0</v>
      </c>
      <c r="G29" s="1914">
        <v>0</v>
      </c>
      <c r="H29" s="1914">
        <v>0</v>
      </c>
      <c r="I29" s="1922">
        <v>0</v>
      </c>
      <c r="J29" s="1922">
        <v>0</v>
      </c>
      <c r="K29" s="1919">
        <v>0</v>
      </c>
      <c r="L29" s="1567"/>
      <c r="M29" s="1567"/>
      <c r="N29" s="1567"/>
    </row>
    <row r="30" spans="1:14" ht="13.5" customHeight="1" x14ac:dyDescent="0.2">
      <c r="A30" s="430" t="s">
        <v>645</v>
      </c>
      <c r="B30" s="429">
        <v>470</v>
      </c>
      <c r="C30" s="1908">
        <v>0</v>
      </c>
      <c r="D30" s="1914">
        <v>0</v>
      </c>
      <c r="E30" s="1908">
        <v>0</v>
      </c>
      <c r="F30" s="1908">
        <v>0</v>
      </c>
      <c r="G30" s="1908">
        <v>0</v>
      </c>
      <c r="H30" s="1908">
        <v>0</v>
      </c>
      <c r="I30" s="1919">
        <v>0</v>
      </c>
      <c r="J30" s="1919">
        <v>0</v>
      </c>
      <c r="K30" s="1920">
        <v>0</v>
      </c>
      <c r="L30" s="1567"/>
      <c r="M30" s="1567"/>
      <c r="N30" s="1567"/>
    </row>
    <row r="31" spans="1:14" ht="13.5" customHeight="1" x14ac:dyDescent="0.2">
      <c r="A31" s="430" t="s">
        <v>646</v>
      </c>
      <c r="B31" s="429">
        <v>480</v>
      </c>
      <c r="C31" s="1907">
        <v>0</v>
      </c>
      <c r="D31" s="1908">
        <v>0</v>
      </c>
      <c r="E31" s="1908">
        <v>0</v>
      </c>
      <c r="F31" s="1907">
        <v>0</v>
      </c>
      <c r="G31" s="1908">
        <v>0</v>
      </c>
      <c r="H31" s="1908">
        <v>0</v>
      </c>
      <c r="I31" s="1919">
        <v>0</v>
      </c>
      <c r="J31" s="1919">
        <v>0</v>
      </c>
      <c r="K31" s="1919">
        <v>0</v>
      </c>
      <c r="L31" s="1567"/>
      <c r="M31" s="1567"/>
      <c r="N31" s="1567"/>
    </row>
    <row r="32" spans="1:14" ht="13.5" customHeight="1" x14ac:dyDescent="0.2">
      <c r="A32" s="434" t="s">
        <v>647</v>
      </c>
      <c r="B32" s="435">
        <v>490</v>
      </c>
      <c r="C32" s="1918">
        <v>0</v>
      </c>
      <c r="D32" s="1918">
        <v>0</v>
      </c>
      <c r="E32" s="1914">
        <v>0</v>
      </c>
      <c r="F32" s="1914">
        <v>0</v>
      </c>
      <c r="G32" s="1914">
        <v>0</v>
      </c>
      <c r="H32" s="1914">
        <v>0</v>
      </c>
      <c r="I32" s="1922">
        <v>0</v>
      </c>
      <c r="J32" s="1922">
        <v>0</v>
      </c>
      <c r="K32" s="1921">
        <v>0</v>
      </c>
      <c r="L32" s="1567"/>
      <c r="M32" s="1567"/>
      <c r="N32" s="1567"/>
    </row>
    <row r="33" spans="1:14" ht="13.5" customHeight="1" x14ac:dyDescent="0.2">
      <c r="A33" s="436" t="s">
        <v>300</v>
      </c>
      <c r="B33" s="435">
        <v>493</v>
      </c>
      <c r="C33" s="1908">
        <v>0</v>
      </c>
      <c r="D33" s="1908">
        <v>0</v>
      </c>
      <c r="E33" s="1908">
        <v>0</v>
      </c>
      <c r="F33" s="1908">
        <v>0</v>
      </c>
      <c r="G33" s="1908">
        <v>0</v>
      </c>
      <c r="H33" s="1908">
        <v>0</v>
      </c>
      <c r="I33" s="1919">
        <v>0</v>
      </c>
      <c r="J33" s="1919">
        <v>0</v>
      </c>
      <c r="K33" s="1919">
        <v>0</v>
      </c>
      <c r="L33" s="1923">
        <v>30751</v>
      </c>
      <c r="M33" s="1567"/>
      <c r="N33" s="1568"/>
    </row>
    <row r="34" spans="1:14" ht="13.5" customHeight="1" thickBot="1" x14ac:dyDescent="0.25">
      <c r="A34" s="1420" t="s">
        <v>649</v>
      </c>
      <c r="B34" s="1421"/>
      <c r="C34" s="1590">
        <f>SUM(C25:C33)</f>
        <v>0</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30751</v>
      </c>
      <c r="M34" s="1567"/>
      <c r="N34" s="1576"/>
    </row>
    <row r="35" spans="1:14" ht="18" customHeight="1" thickTop="1" x14ac:dyDescent="0.2">
      <c r="A35" s="2224" t="s">
        <v>526</v>
      </c>
      <c r="B35" s="2225"/>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0</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7896225</v>
      </c>
      <c r="D39" s="1565">
        <v>606243</v>
      </c>
      <c r="E39" s="1565">
        <v>0</v>
      </c>
      <c r="F39" s="1565">
        <v>578995</v>
      </c>
      <c r="G39" s="1565">
        <v>223683</v>
      </c>
      <c r="H39" s="1565">
        <v>1969835</v>
      </c>
      <c r="I39" s="1565">
        <v>45136</v>
      </c>
      <c r="J39" s="1566">
        <v>121761</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6035137</v>
      </c>
      <c r="N40" s="1594"/>
    </row>
    <row r="41" spans="1:14" ht="13.5" customHeight="1" thickBot="1" x14ac:dyDescent="0.25">
      <c r="A41" s="1419" t="s">
        <v>650</v>
      </c>
      <c r="B41" s="1398"/>
      <c r="C41" s="1585">
        <f>(SUM(C34,C37,C38,C39))</f>
        <v>7896225</v>
      </c>
      <c r="D41" s="1585">
        <f t="shared" ref="D41:L41" si="2">SUM(D34,D37,D38:D39)</f>
        <v>606243</v>
      </c>
      <c r="E41" s="1585">
        <f t="shared" si="2"/>
        <v>0</v>
      </c>
      <c r="F41" s="1585">
        <f t="shared" si="2"/>
        <v>578995</v>
      </c>
      <c r="G41" s="1585">
        <f t="shared" si="2"/>
        <v>223683</v>
      </c>
      <c r="H41" s="1585">
        <f t="shared" si="2"/>
        <v>1969835</v>
      </c>
      <c r="I41" s="1585">
        <f t="shared" si="2"/>
        <v>45136</v>
      </c>
      <c r="J41" s="1585">
        <f t="shared" si="2"/>
        <v>121761</v>
      </c>
      <c r="K41" s="1585">
        <f t="shared" si="2"/>
        <v>0</v>
      </c>
      <c r="L41" s="1585">
        <f t="shared" si="2"/>
        <v>30751</v>
      </c>
      <c r="M41" s="1585">
        <f>SUM(M40)</f>
        <v>6035137</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Normal="100" zoomScaleSheetLayoutView="100" workbookViewId="0">
      <pane ySplit="2" topLeftCell="A114" activePane="bottomLeft" state="frozen"/>
      <selection activeCell="C44" sqref="C44"/>
      <selection pane="bottomLeft" activeCell="C73" sqref="C7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5"/>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6" t="s">
        <v>1164</v>
      </c>
      <c r="B3" s="2247"/>
      <c r="C3" s="1304"/>
      <c r="D3" s="1305"/>
      <c r="E3" s="1305"/>
      <c r="F3" s="1305"/>
      <c r="G3" s="1305"/>
      <c r="H3" s="1305"/>
      <c r="I3" s="1305"/>
      <c r="J3" s="1305"/>
      <c r="K3" s="1306"/>
      <c r="L3" s="446"/>
    </row>
    <row r="4" spans="1:13" ht="15.75" customHeight="1" x14ac:dyDescent="0.2">
      <c r="A4" s="1530" t="s">
        <v>1479</v>
      </c>
      <c r="B4" s="1531">
        <v>1000</v>
      </c>
      <c r="C4" s="1596">
        <f>'Revenues 9-14'!C109</f>
        <v>3338031</v>
      </c>
      <c r="D4" s="1596">
        <f>'Revenues 9-14'!D109</f>
        <v>587862</v>
      </c>
      <c r="E4" s="1596">
        <f>'Revenues 9-14'!E109</f>
        <v>0</v>
      </c>
      <c r="F4" s="1596">
        <f>'Revenues 9-14'!F109</f>
        <v>37693</v>
      </c>
      <c r="G4" s="1596">
        <f>'Revenues 9-14'!G109</f>
        <v>151304</v>
      </c>
      <c r="H4" s="1596">
        <f>'Revenues 9-14'!H109</f>
        <v>1722</v>
      </c>
      <c r="I4" s="1596">
        <f>'Revenues 9-14'!I109</f>
        <v>22049</v>
      </c>
      <c r="J4" s="1596">
        <f>'Revenues 9-14'!J109</f>
        <v>42683</v>
      </c>
      <c r="K4" s="1596">
        <f>'Revenues 9-14'!K109</f>
        <v>0</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250458</v>
      </c>
      <c r="D6" s="1597">
        <f>'Revenues 9-14'!D170</f>
        <v>50000</v>
      </c>
      <c r="E6" s="1597">
        <f>'Revenues 9-14'!E170</f>
        <v>0</v>
      </c>
      <c r="F6" s="1597">
        <f>'Revenues 9-14'!F170</f>
        <v>187334</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264065</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3852554</v>
      </c>
      <c r="D8" s="1585">
        <f t="shared" ref="D8:K8" si="0">SUM(D4:D7)</f>
        <v>637862</v>
      </c>
      <c r="E8" s="1585">
        <f t="shared" si="0"/>
        <v>0</v>
      </c>
      <c r="F8" s="1585">
        <f t="shared" si="0"/>
        <v>225027</v>
      </c>
      <c r="G8" s="1585">
        <f t="shared" si="0"/>
        <v>151304</v>
      </c>
      <c r="H8" s="1585">
        <f t="shared" si="0"/>
        <v>1722</v>
      </c>
      <c r="I8" s="1585">
        <f t="shared" si="0"/>
        <v>22049</v>
      </c>
      <c r="J8" s="1585">
        <f t="shared" si="0"/>
        <v>42683</v>
      </c>
      <c r="K8" s="1585">
        <f t="shared" si="0"/>
        <v>0</v>
      </c>
      <c r="L8" s="325"/>
    </row>
    <row r="9" spans="1:13" ht="15.75" thickTop="1" x14ac:dyDescent="0.2">
      <c r="A9" s="449" t="s">
        <v>1631</v>
      </c>
      <c r="B9" s="450">
        <v>3998</v>
      </c>
      <c r="C9" s="1577">
        <v>1652687</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5505241</v>
      </c>
      <c r="D10" s="1585">
        <f t="shared" ref="D10:K10" si="1">SUM(D8:D9)</f>
        <v>637862</v>
      </c>
      <c r="E10" s="1585">
        <f t="shared" si="1"/>
        <v>0</v>
      </c>
      <c r="F10" s="1585">
        <f t="shared" si="1"/>
        <v>225027</v>
      </c>
      <c r="G10" s="1585">
        <f t="shared" si="1"/>
        <v>151304</v>
      </c>
      <c r="H10" s="1585">
        <f t="shared" si="1"/>
        <v>1722</v>
      </c>
      <c r="I10" s="1585">
        <f t="shared" si="1"/>
        <v>22049</v>
      </c>
      <c r="J10" s="1585">
        <f t="shared" si="1"/>
        <v>42683</v>
      </c>
      <c r="K10" s="1585">
        <f t="shared" si="1"/>
        <v>0</v>
      </c>
      <c r="L10" s="451"/>
    </row>
    <row r="11" spans="1:13" s="452" customFormat="1" ht="16.7" customHeight="1" thickTop="1" x14ac:dyDescent="0.2">
      <c r="A11" s="2220" t="s">
        <v>1165</v>
      </c>
      <c r="B11" s="2221"/>
      <c r="C11" s="1592"/>
      <c r="D11" s="1593"/>
      <c r="E11" s="1593"/>
      <c r="F11" s="1593"/>
      <c r="G11" s="1593"/>
      <c r="H11" s="1593"/>
      <c r="I11" s="1593"/>
      <c r="J11" s="1593"/>
      <c r="K11" s="1605"/>
      <c r="L11" s="451"/>
    </row>
    <row r="12" spans="1:13" ht="15.75" customHeight="1" x14ac:dyDescent="0.2">
      <c r="A12" s="1307" t="s">
        <v>453</v>
      </c>
      <c r="B12" s="1309">
        <v>1000</v>
      </c>
      <c r="C12" s="1596">
        <f>'Expenditures 15-22'!K33</f>
        <v>2338975</v>
      </c>
      <c r="D12" s="1606" t="s">
        <v>1158</v>
      </c>
      <c r="E12" s="1567" t="s">
        <v>1158</v>
      </c>
      <c r="F12" s="1567" t="s">
        <v>1158</v>
      </c>
      <c r="G12" s="1596">
        <f>'Expenditures 15-22'!K229</f>
        <v>49949</v>
      </c>
      <c r="H12" s="1607"/>
      <c r="I12" s="1567" t="s">
        <v>1158</v>
      </c>
      <c r="J12" s="1567" t="s">
        <v>1158</v>
      </c>
      <c r="K12" s="1607" t="s">
        <v>1158</v>
      </c>
      <c r="L12" s="325"/>
    </row>
    <row r="13" spans="1:13" ht="15.75" customHeight="1" x14ac:dyDescent="0.2">
      <c r="A13" s="1307" t="s">
        <v>454</v>
      </c>
      <c r="B13" s="1309">
        <v>2000</v>
      </c>
      <c r="C13" s="1597">
        <f>'Expenditures 15-22'!K74</f>
        <v>597996</v>
      </c>
      <c r="D13" s="1597">
        <f>'Expenditures 15-22'!K129</f>
        <v>217556</v>
      </c>
      <c r="E13" s="1568" t="s">
        <v>1158</v>
      </c>
      <c r="F13" s="1597">
        <f>'Expenditures 15-22'!K184</f>
        <v>240650</v>
      </c>
      <c r="G13" s="1597">
        <f>'Expenditures 15-22'!K279</f>
        <v>65170</v>
      </c>
      <c r="H13" s="1597">
        <f>'Expenditures 15-22'!K303</f>
        <v>555060</v>
      </c>
      <c r="I13" s="1567" t="s">
        <v>1158</v>
      </c>
      <c r="J13" s="1597">
        <f>'Expenditures 15-22'!K330</f>
        <v>50404</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312430</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3249401</v>
      </c>
      <c r="D17" s="1585">
        <f t="shared" si="2"/>
        <v>217556</v>
      </c>
      <c r="E17" s="1585">
        <f t="shared" si="2"/>
        <v>0</v>
      </c>
      <c r="F17" s="1585">
        <f t="shared" si="2"/>
        <v>240650</v>
      </c>
      <c r="G17" s="1585">
        <f t="shared" si="2"/>
        <v>115119</v>
      </c>
      <c r="H17" s="1585">
        <f t="shared" si="2"/>
        <v>555060</v>
      </c>
      <c r="I17" s="1567"/>
      <c r="J17" s="1585">
        <f>SUM(J12:J16)</f>
        <v>50404</v>
      </c>
      <c r="K17" s="1585">
        <f>SUM(K12:K16)</f>
        <v>0</v>
      </c>
      <c r="L17" s="325"/>
    </row>
    <row r="18" spans="1:12" ht="15" customHeight="1" thickTop="1" x14ac:dyDescent="0.2">
      <c r="A18" s="1423" t="s">
        <v>1632</v>
      </c>
      <c r="B18" s="1424">
        <v>4180</v>
      </c>
      <c r="C18" s="1596">
        <f t="shared" ref="C18:H18" si="3">C9</f>
        <v>1652687</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4902088</v>
      </c>
      <c r="D19" s="1585">
        <f t="shared" si="4"/>
        <v>217556</v>
      </c>
      <c r="E19" s="1585">
        <f t="shared" si="4"/>
        <v>0</v>
      </c>
      <c r="F19" s="1585">
        <f t="shared" si="4"/>
        <v>240650</v>
      </c>
      <c r="G19" s="1585">
        <f t="shared" si="4"/>
        <v>115119</v>
      </c>
      <c r="H19" s="1585">
        <f t="shared" si="4"/>
        <v>555060</v>
      </c>
      <c r="I19" s="1567"/>
      <c r="J19" s="1585">
        <f>SUM(J17:J18)</f>
        <v>50404</v>
      </c>
      <c r="K19" s="1585">
        <f>SUM(K17:K18)</f>
        <v>0</v>
      </c>
      <c r="L19" s="325"/>
    </row>
    <row r="20" spans="1:12" ht="16.5" thickTop="1" thickBot="1" x14ac:dyDescent="0.25">
      <c r="A20" s="2236" t="s">
        <v>1633</v>
      </c>
      <c r="B20" s="2237"/>
      <c r="C20" s="1612">
        <f>C8-C17</f>
        <v>603153</v>
      </c>
      <c r="D20" s="1612">
        <f t="shared" ref="D20:K20" si="5">D8-D17</f>
        <v>420306</v>
      </c>
      <c r="E20" s="1612">
        <f t="shared" si="5"/>
        <v>0</v>
      </c>
      <c r="F20" s="1612">
        <f t="shared" si="5"/>
        <v>-15623</v>
      </c>
      <c r="G20" s="1612">
        <f t="shared" si="5"/>
        <v>36185</v>
      </c>
      <c r="H20" s="1612">
        <f t="shared" si="5"/>
        <v>-553338</v>
      </c>
      <c r="I20" s="1612">
        <f t="shared" si="5"/>
        <v>22049</v>
      </c>
      <c r="J20" s="1612">
        <f t="shared" si="5"/>
        <v>-7721</v>
      </c>
      <c r="K20" s="1612">
        <f t="shared" si="5"/>
        <v>0</v>
      </c>
      <c r="L20" s="325"/>
    </row>
    <row r="21" spans="1:12" ht="16.7" customHeight="1" thickTop="1" x14ac:dyDescent="0.2">
      <c r="A21" s="2248" t="s">
        <v>591</v>
      </c>
      <c r="B21" s="2249"/>
      <c r="C21" s="1592"/>
      <c r="D21" s="1593"/>
      <c r="E21" s="1593"/>
      <c r="F21" s="1593"/>
      <c r="G21" s="1593"/>
      <c r="H21" s="1593"/>
      <c r="I21" s="1593"/>
      <c r="J21" s="1593"/>
      <c r="K21" s="1605"/>
      <c r="L21" s="453"/>
    </row>
    <row r="22" spans="1:12" ht="15.75" customHeight="1" collapsed="1" x14ac:dyDescent="0.2">
      <c r="A22" s="2244" t="s">
        <v>592</v>
      </c>
      <c r="B22" s="2245"/>
      <c r="C22" s="1573"/>
      <c r="D22" s="1573"/>
      <c r="E22" s="1573"/>
      <c r="F22" s="1573"/>
      <c r="G22" s="1573"/>
      <c r="H22" s="1573"/>
      <c r="I22" s="1573"/>
      <c r="J22" s="1573"/>
      <c r="K22" s="1573"/>
      <c r="L22" s="325"/>
    </row>
    <row r="23" spans="1:12" s="433" customFormat="1" ht="15.75" customHeight="1" x14ac:dyDescent="0.2">
      <c r="A23" s="2240" t="s">
        <v>290</v>
      </c>
      <c r="B23" s="2241"/>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1000000</v>
      </c>
      <c r="E27" s="1613"/>
      <c r="F27" s="1566">
        <v>0</v>
      </c>
      <c r="G27" s="1576"/>
      <c r="H27" s="1576"/>
      <c r="I27" s="1576"/>
      <c r="J27" s="1576"/>
      <c r="K27" s="1576"/>
      <c r="L27" s="453"/>
    </row>
    <row r="28" spans="1:12" s="433" customFormat="1" ht="13.5" customHeight="1" x14ac:dyDescent="0.2">
      <c r="A28" s="1253" t="s">
        <v>1378</v>
      </c>
      <c r="B28" s="432">
        <v>7140</v>
      </c>
      <c r="C28" s="1566">
        <v>0</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2" t="s">
        <v>973</v>
      </c>
      <c r="B32" s="2243"/>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2200000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0</v>
      </c>
      <c r="F43" s="1566">
        <v>0</v>
      </c>
      <c r="G43" s="1566">
        <v>0</v>
      </c>
      <c r="H43" s="1566">
        <v>0</v>
      </c>
      <c r="I43" s="1566">
        <v>0</v>
      </c>
      <c r="J43" s="1566">
        <v>0</v>
      </c>
      <c r="K43" s="1566">
        <v>0</v>
      </c>
      <c r="L43" s="453"/>
    </row>
    <row r="44" spans="1:12" s="433" customFormat="1" ht="13.5" customHeight="1" thickBot="1" x14ac:dyDescent="0.25">
      <c r="A44" s="2250" t="s">
        <v>371</v>
      </c>
      <c r="B44" s="2251"/>
      <c r="C44" s="1614">
        <f>SUM(C24:C43)</f>
        <v>0</v>
      </c>
      <c r="D44" s="1614">
        <f t="shared" ref="D44:K44" si="6">SUM(D24:D43)</f>
        <v>1000000</v>
      </c>
      <c r="E44" s="1614">
        <f t="shared" si="6"/>
        <v>0</v>
      </c>
      <c r="F44" s="1614">
        <f t="shared" si="6"/>
        <v>0</v>
      </c>
      <c r="G44" s="1614">
        <f t="shared" si="6"/>
        <v>0</v>
      </c>
      <c r="H44" s="1614">
        <f t="shared" si="6"/>
        <v>2200000</v>
      </c>
      <c r="I44" s="1614">
        <f t="shared" si="6"/>
        <v>0</v>
      </c>
      <c r="J44" s="1614">
        <f t="shared" si="6"/>
        <v>0</v>
      </c>
      <c r="K44" s="1614">
        <f t="shared" si="6"/>
        <v>0</v>
      </c>
      <c r="L44" s="453"/>
    </row>
    <row r="45" spans="1:12" ht="15.75" customHeight="1" thickTop="1" x14ac:dyDescent="0.2">
      <c r="A45" s="2244" t="s">
        <v>108</v>
      </c>
      <c r="B45" s="2245"/>
      <c r="C45" s="1615"/>
      <c r="D45" s="1615"/>
      <c r="E45" s="1615"/>
      <c r="F45" s="1615"/>
      <c r="G45" s="1615"/>
      <c r="H45" s="1615"/>
      <c r="I45" s="1615"/>
      <c r="J45" s="1615"/>
      <c r="K45" s="1615"/>
      <c r="L45" s="325"/>
    </row>
    <row r="46" spans="1:12" s="433" customFormat="1" ht="15.75" customHeight="1" x14ac:dyDescent="0.2">
      <c r="A46" s="2252" t="s">
        <v>109</v>
      </c>
      <c r="B46" s="2253"/>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800000</v>
      </c>
      <c r="D49" s="1566">
        <v>0</v>
      </c>
      <c r="E49" s="1576"/>
      <c r="F49" s="1566">
        <v>200000</v>
      </c>
      <c r="G49" s="1576"/>
      <c r="H49" s="1576"/>
      <c r="I49" s="1573"/>
      <c r="J49" s="1576"/>
      <c r="K49" s="1573"/>
      <c r="L49" s="453"/>
    </row>
    <row r="50" spans="1:12" s="433" customFormat="1" x14ac:dyDescent="0.2">
      <c r="A50" s="1254" t="s">
        <v>1378</v>
      </c>
      <c r="B50" s="432">
        <v>8140</v>
      </c>
      <c r="C50" s="1566">
        <v>0</v>
      </c>
      <c r="D50" s="1566">
        <v>0</v>
      </c>
      <c r="E50" s="1566">
        <v>0</v>
      </c>
      <c r="F50" s="1566">
        <v>0</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0</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0</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2200000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0</v>
      </c>
      <c r="D75" s="1617">
        <v>0</v>
      </c>
      <c r="E75" s="1616">
        <v>0</v>
      </c>
      <c r="F75" s="1618">
        <v>0</v>
      </c>
      <c r="G75" s="1618">
        <v>0</v>
      </c>
      <c r="H75" s="1618">
        <v>0</v>
      </c>
      <c r="I75" s="1616">
        <v>0</v>
      </c>
      <c r="J75" s="1616">
        <v>0</v>
      </c>
      <c r="K75" s="1618">
        <v>0</v>
      </c>
      <c r="L75" s="453"/>
    </row>
    <row r="76" spans="1:12" s="433" customFormat="1" ht="14.25" thickTop="1" thickBot="1" x14ac:dyDescent="0.25">
      <c r="A76" s="2226" t="s">
        <v>437</v>
      </c>
      <c r="B76" s="2227"/>
      <c r="C76" s="1614">
        <f t="shared" ref="C76:K76" si="7">SUM(C47:C75)</f>
        <v>800000</v>
      </c>
      <c r="D76" s="1614">
        <f t="shared" si="7"/>
        <v>2200000</v>
      </c>
      <c r="E76" s="1614">
        <f t="shared" si="7"/>
        <v>0</v>
      </c>
      <c r="F76" s="1614">
        <f t="shared" si="7"/>
        <v>200000</v>
      </c>
      <c r="G76" s="1614">
        <f t="shared" si="7"/>
        <v>0</v>
      </c>
      <c r="H76" s="1614">
        <f t="shared" si="7"/>
        <v>0</v>
      </c>
      <c r="I76" s="1614">
        <f t="shared" si="7"/>
        <v>0</v>
      </c>
      <c r="J76" s="1614">
        <f t="shared" si="7"/>
        <v>0</v>
      </c>
      <c r="K76" s="1614">
        <f t="shared" si="7"/>
        <v>0</v>
      </c>
      <c r="L76" s="453"/>
    </row>
    <row r="77" spans="1:12" ht="14.25" thickTop="1" thickBot="1" x14ac:dyDescent="0.25">
      <c r="A77" s="2228" t="s">
        <v>1166</v>
      </c>
      <c r="B77" s="2229"/>
      <c r="C77" s="1614">
        <f t="shared" ref="C77:K77" si="8">C44-C76</f>
        <v>-800000</v>
      </c>
      <c r="D77" s="1614">
        <f t="shared" si="8"/>
        <v>-1200000</v>
      </c>
      <c r="E77" s="1614">
        <f t="shared" si="8"/>
        <v>0</v>
      </c>
      <c r="F77" s="1614">
        <f t="shared" si="8"/>
        <v>-200000</v>
      </c>
      <c r="G77" s="1614">
        <f t="shared" si="8"/>
        <v>0</v>
      </c>
      <c r="H77" s="1614">
        <f t="shared" si="8"/>
        <v>2200000</v>
      </c>
      <c r="I77" s="1614">
        <f t="shared" si="8"/>
        <v>0</v>
      </c>
      <c r="J77" s="1614">
        <f t="shared" si="8"/>
        <v>0</v>
      </c>
      <c r="K77" s="1614">
        <f t="shared" si="8"/>
        <v>0</v>
      </c>
      <c r="L77" s="325"/>
    </row>
    <row r="78" spans="1:12" ht="21.75" customHeight="1" thickTop="1" thickBot="1" x14ac:dyDescent="0.25">
      <c r="A78" s="2232" t="s">
        <v>593</v>
      </c>
      <c r="B78" s="2233"/>
      <c r="C78" s="1619">
        <f t="shared" ref="C78:K78" si="9">C20+C77</f>
        <v>-196847</v>
      </c>
      <c r="D78" s="1619">
        <f t="shared" si="9"/>
        <v>-779694</v>
      </c>
      <c r="E78" s="1619">
        <f t="shared" si="9"/>
        <v>0</v>
      </c>
      <c r="F78" s="1619">
        <f t="shared" si="9"/>
        <v>-215623</v>
      </c>
      <c r="G78" s="1619">
        <f t="shared" si="9"/>
        <v>36185</v>
      </c>
      <c r="H78" s="1619">
        <f t="shared" si="9"/>
        <v>1646662</v>
      </c>
      <c r="I78" s="1619">
        <f t="shared" si="9"/>
        <v>22049</v>
      </c>
      <c r="J78" s="1619">
        <f t="shared" si="9"/>
        <v>-7721</v>
      </c>
      <c r="K78" s="1619">
        <f t="shared" si="9"/>
        <v>0</v>
      </c>
      <c r="L78" s="457"/>
    </row>
    <row r="79" spans="1:12" ht="13.5" thickTop="1" x14ac:dyDescent="0.2">
      <c r="A79" s="1833" t="str">
        <f>"Fund Balances - July 1, "&amp;'AFR20'!E2-1</f>
        <v>Fund Balances - July 1, 2019</v>
      </c>
      <c r="B79" s="458"/>
      <c r="C79" s="1574">
        <v>8093072</v>
      </c>
      <c r="D79" s="1620">
        <v>1385937</v>
      </c>
      <c r="E79" s="1620">
        <v>0</v>
      </c>
      <c r="F79" s="1620">
        <v>794618</v>
      </c>
      <c r="G79" s="1620">
        <v>187498</v>
      </c>
      <c r="H79" s="1620">
        <v>323173</v>
      </c>
      <c r="I79" s="1620">
        <v>23087</v>
      </c>
      <c r="J79" s="1620">
        <v>129482</v>
      </c>
      <c r="K79" s="1620"/>
      <c r="L79" s="325"/>
    </row>
    <row r="80" spans="1:12" x14ac:dyDescent="0.2">
      <c r="A80" s="2238" t="s">
        <v>1769</v>
      </c>
      <c r="B80" s="2239"/>
      <c r="C80" s="1566"/>
      <c r="D80" s="1566"/>
      <c r="E80" s="1566"/>
      <c r="F80" s="1566"/>
      <c r="G80" s="1566"/>
      <c r="H80" s="1566"/>
      <c r="I80" s="1566"/>
      <c r="J80" s="1566"/>
      <c r="K80" s="1566"/>
      <c r="L80" s="325"/>
    </row>
    <row r="81" spans="1:12" ht="13.5" thickBot="1" x14ac:dyDescent="0.25">
      <c r="A81" s="2230" t="str">
        <f>"Fund Balances - June 30, "&amp;'AFR20'!E2</f>
        <v>Fund Balances - June 30, 2020</v>
      </c>
      <c r="B81" s="2231"/>
      <c r="C81" s="1585">
        <f>(SUM(C78:C80))</f>
        <v>7896225</v>
      </c>
      <c r="D81" s="1585">
        <f>SUM(D78:D80)</f>
        <v>606243</v>
      </c>
      <c r="E81" s="1585">
        <f t="shared" ref="E81:K81" si="10">SUM(E78:E80)</f>
        <v>0</v>
      </c>
      <c r="F81" s="1585">
        <f t="shared" si="10"/>
        <v>578995</v>
      </c>
      <c r="G81" s="1585">
        <f t="shared" si="10"/>
        <v>223683</v>
      </c>
      <c r="H81" s="1585">
        <f t="shared" si="10"/>
        <v>1969835</v>
      </c>
      <c r="I81" s="1585">
        <f t="shared" si="10"/>
        <v>45136</v>
      </c>
      <c r="J81" s="1585">
        <f t="shared" si="10"/>
        <v>121761</v>
      </c>
      <c r="K81" s="1585">
        <f t="shared" si="10"/>
        <v>0</v>
      </c>
      <c r="L81" s="325"/>
    </row>
    <row r="82" spans="1:12" ht="0.75" customHeight="1" thickTop="1" thickBot="1" x14ac:dyDescent="0.25">
      <c r="A82" s="459" t="s">
        <v>340</v>
      </c>
      <c r="B82" s="460"/>
      <c r="C82" s="461">
        <f>(C81-C79)</f>
        <v>-196847</v>
      </c>
      <c r="D82" s="461">
        <f t="shared" ref="D82:K82" si="11">(D81-D79)</f>
        <v>-779694</v>
      </c>
      <c r="E82" s="461">
        <f t="shared" si="11"/>
        <v>0</v>
      </c>
      <c r="F82" s="461">
        <f t="shared" si="11"/>
        <v>-215623</v>
      </c>
      <c r="G82" s="461">
        <f t="shared" si="11"/>
        <v>36185</v>
      </c>
      <c r="H82" s="461">
        <f t="shared" si="11"/>
        <v>1646662</v>
      </c>
      <c r="I82" s="461">
        <f t="shared" si="11"/>
        <v>22049</v>
      </c>
      <c r="J82" s="461">
        <f t="shared" si="11"/>
        <v>-7721</v>
      </c>
      <c r="K82" s="461">
        <f t="shared" si="11"/>
        <v>0</v>
      </c>
    </row>
    <row r="83" spans="1:12" ht="14.25" hidden="1" thickTop="1" thickBot="1" x14ac:dyDescent="0.25">
      <c r="A83" s="462" t="s">
        <v>341</v>
      </c>
      <c r="B83" s="428"/>
      <c r="C83" s="463">
        <f>C82/C81</f>
        <v>-2.4929254168922492E-2</v>
      </c>
      <c r="D83" s="463">
        <f t="shared" ref="D83:K83" si="12">D82/D81</f>
        <v>-1.2861080457836214</v>
      </c>
      <c r="E83" s="463" t="e">
        <f t="shared" si="12"/>
        <v>#DIV/0!</v>
      </c>
      <c r="F83" s="463">
        <f t="shared" si="12"/>
        <v>-0.37240908816138307</v>
      </c>
      <c r="G83" s="463">
        <f t="shared" si="12"/>
        <v>0.1617691107504817</v>
      </c>
      <c r="H83" s="463">
        <f t="shared" si="12"/>
        <v>0.8359390507326756</v>
      </c>
      <c r="I83" s="463">
        <f t="shared" si="12"/>
        <v>0.48850141793690183</v>
      </c>
      <c r="J83" s="463">
        <f t="shared" si="12"/>
        <v>-6.3411108647268011E-2</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246" activePane="bottomLeft" state="frozen"/>
      <selection activeCell="C44" sqref="C44"/>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1776</v>
      </c>
      <c r="B1" s="416"/>
      <c r="C1" s="417" t="s">
        <v>422</v>
      </c>
      <c r="D1" s="417" t="s">
        <v>423</v>
      </c>
      <c r="E1" s="417" t="s">
        <v>424</v>
      </c>
      <c r="F1" s="417" t="s">
        <v>425</v>
      </c>
      <c r="G1" s="417" t="s">
        <v>426</v>
      </c>
      <c r="H1" s="417" t="s">
        <v>427</v>
      </c>
      <c r="I1" s="417" t="s">
        <v>428</v>
      </c>
      <c r="J1" s="417" t="s">
        <v>429</v>
      </c>
      <c r="K1" s="417" t="s">
        <v>750</v>
      </c>
    </row>
    <row r="2" spans="1:12" ht="36" x14ac:dyDescent="0.2">
      <c r="A2" s="2235"/>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2946089</v>
      </c>
      <c r="D5" s="1577">
        <v>582172</v>
      </c>
      <c r="E5" s="1565">
        <v>0</v>
      </c>
      <c r="F5" s="1621">
        <v>10726</v>
      </c>
      <c r="G5" s="1565">
        <v>96619</v>
      </c>
      <c r="H5" s="1565">
        <v>0</v>
      </c>
      <c r="I5" s="1565">
        <v>21848</v>
      </c>
      <c r="J5" s="1566">
        <v>42271</v>
      </c>
      <c r="K5" s="1565">
        <v>0</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234576</v>
      </c>
      <c r="D7" s="1565">
        <v>0</v>
      </c>
      <c r="E7" s="1567"/>
      <c r="F7" s="1566">
        <v>0</v>
      </c>
      <c r="G7" s="1566">
        <v>0</v>
      </c>
      <c r="H7" s="1566">
        <v>0</v>
      </c>
      <c r="I7" s="1567"/>
      <c r="J7" s="1567"/>
      <c r="K7" s="1567"/>
    </row>
    <row r="8" spans="1:12" x14ac:dyDescent="0.2">
      <c r="A8" s="427" t="s">
        <v>410</v>
      </c>
      <c r="B8" s="429">
        <v>1150</v>
      </c>
      <c r="C8" s="1572"/>
      <c r="D8" s="1572"/>
      <c r="E8" s="1573"/>
      <c r="F8" s="1573"/>
      <c r="G8" s="1577">
        <v>48773</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3180665</v>
      </c>
      <c r="D12" s="1623">
        <f t="shared" si="0"/>
        <v>582172</v>
      </c>
      <c r="E12" s="1623">
        <f t="shared" si="0"/>
        <v>0</v>
      </c>
      <c r="F12" s="1623">
        <f t="shared" si="0"/>
        <v>10726</v>
      </c>
      <c r="G12" s="1623">
        <f t="shared" si="0"/>
        <v>145392</v>
      </c>
      <c r="H12" s="1623">
        <f t="shared" si="0"/>
        <v>0</v>
      </c>
      <c r="I12" s="1623">
        <f t="shared" si="0"/>
        <v>21848</v>
      </c>
      <c r="J12" s="1623">
        <f t="shared" si="0"/>
        <v>42271</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26722</v>
      </c>
      <c r="G16" s="1565">
        <v>4495</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26722</v>
      </c>
      <c r="G18" s="1625">
        <f t="shared" si="1"/>
        <v>4495</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0</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0</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30919</v>
      </c>
      <c r="D65" s="1565">
        <v>5690</v>
      </c>
      <c r="E65" s="1565">
        <v>0</v>
      </c>
      <c r="F65" s="1566">
        <v>73</v>
      </c>
      <c r="G65" s="1565">
        <v>1417</v>
      </c>
      <c r="H65" s="1565">
        <v>0</v>
      </c>
      <c r="I65" s="1565">
        <v>201</v>
      </c>
      <c r="J65" s="1566">
        <v>412</v>
      </c>
      <c r="K65" s="1565">
        <v>0</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30919</v>
      </c>
      <c r="D67" s="1585">
        <f t="shared" ref="D67:K67" si="2">SUM(D65:D66)</f>
        <v>5690</v>
      </c>
      <c r="E67" s="1585">
        <f t="shared" si="2"/>
        <v>0</v>
      </c>
      <c r="F67" s="1585">
        <f t="shared" si="2"/>
        <v>73</v>
      </c>
      <c r="G67" s="1585">
        <f t="shared" si="2"/>
        <v>1417</v>
      </c>
      <c r="H67" s="1585">
        <f t="shared" si="2"/>
        <v>0</v>
      </c>
      <c r="I67" s="1585">
        <f t="shared" si="2"/>
        <v>201</v>
      </c>
      <c r="J67" s="1585">
        <f t="shared" si="2"/>
        <v>412</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38441</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0</v>
      </c>
      <c r="D71" s="1567"/>
      <c r="E71" s="1567"/>
      <c r="F71" s="1567"/>
      <c r="G71" s="1567"/>
      <c r="H71" s="1567"/>
      <c r="I71" s="1567"/>
      <c r="J71" s="1567"/>
      <c r="K71" s="1567"/>
    </row>
    <row r="72" spans="1:11" ht="12.75" customHeight="1" x14ac:dyDescent="0.2">
      <c r="A72" s="427" t="s">
        <v>24</v>
      </c>
      <c r="B72" s="429">
        <v>1614</v>
      </c>
      <c r="C72" s="1622">
        <v>0</v>
      </c>
      <c r="D72" s="1567"/>
      <c r="E72" s="1567"/>
      <c r="F72" s="1567"/>
      <c r="G72" s="1567"/>
      <c r="H72" s="1567"/>
      <c r="I72" s="1567"/>
      <c r="J72" s="1567"/>
      <c r="K72" s="1567"/>
    </row>
    <row r="73" spans="1:11" ht="12.75" customHeight="1" x14ac:dyDescent="0.2">
      <c r="A73" s="427" t="s">
        <v>990</v>
      </c>
      <c r="B73" s="429">
        <v>1620</v>
      </c>
      <c r="C73" s="1622">
        <v>357</v>
      </c>
      <c r="D73" s="1567"/>
      <c r="E73" s="1567"/>
      <c r="F73" s="1567"/>
      <c r="G73" s="1567"/>
      <c r="H73" s="1567"/>
      <c r="I73" s="1567"/>
      <c r="J73" s="1567"/>
      <c r="K73" s="1567"/>
    </row>
    <row r="74" spans="1:11" ht="12.75" customHeight="1" x14ac:dyDescent="0.2">
      <c r="A74" s="427" t="s">
        <v>25</v>
      </c>
      <c r="B74" s="429">
        <v>1690</v>
      </c>
      <c r="C74" s="1622">
        <v>44</v>
      </c>
      <c r="D74" s="1567"/>
      <c r="E74" s="1567"/>
      <c r="F74" s="1567"/>
      <c r="G74" s="1567"/>
      <c r="H74" s="1567"/>
      <c r="I74" s="1567"/>
      <c r="J74" s="1567"/>
      <c r="K74" s="1567"/>
    </row>
    <row r="75" spans="1:11" ht="12.75" customHeight="1" thickBot="1" x14ac:dyDescent="0.25">
      <c r="A75" s="1399" t="s">
        <v>544</v>
      </c>
      <c r="B75" s="1400"/>
      <c r="C75" s="1585">
        <f>SUM(C69:C74)</f>
        <v>38842</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1266</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12720</v>
      </c>
      <c r="D79" s="1565">
        <v>0</v>
      </c>
      <c r="E79" s="1567"/>
      <c r="F79" s="1567"/>
      <c r="G79" s="1567"/>
      <c r="H79" s="1567"/>
      <c r="I79" s="1567"/>
      <c r="J79" s="1567"/>
      <c r="K79" s="1567"/>
    </row>
    <row r="80" spans="1:11" ht="12.75" customHeight="1" x14ac:dyDescent="0.2">
      <c r="A80" s="427" t="s">
        <v>547</v>
      </c>
      <c r="B80" s="429">
        <v>1730</v>
      </c>
      <c r="C80" s="1622">
        <v>0</v>
      </c>
      <c r="D80" s="1565">
        <v>0</v>
      </c>
      <c r="E80" s="1567"/>
      <c r="F80" s="1567"/>
      <c r="G80" s="1567"/>
      <c r="H80" s="1567"/>
      <c r="I80" s="1567"/>
      <c r="J80" s="1567"/>
      <c r="K80" s="1567"/>
    </row>
    <row r="81" spans="1:11" ht="12.75" customHeight="1" x14ac:dyDescent="0.2">
      <c r="A81" s="427" t="s">
        <v>26</v>
      </c>
      <c r="B81" s="429">
        <v>1790</v>
      </c>
      <c r="C81" s="1622">
        <v>4368</v>
      </c>
      <c r="D81" s="1565">
        <v>0</v>
      </c>
      <c r="E81" s="1567"/>
      <c r="F81" s="1567"/>
      <c r="G81" s="1567"/>
      <c r="H81" s="1567"/>
      <c r="I81" s="1567"/>
      <c r="J81" s="1567"/>
      <c r="K81" s="1567"/>
    </row>
    <row r="82" spans="1:11" ht="12.75" customHeight="1" thickBot="1" x14ac:dyDescent="0.25">
      <c r="A82" s="1399" t="s">
        <v>239</v>
      </c>
      <c r="B82" s="1400"/>
      <c r="C82" s="1623">
        <f>SUM(C77:C81)</f>
        <v>18354</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20856</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0</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20856</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0</v>
      </c>
      <c r="E95" s="1607"/>
      <c r="F95" s="1607"/>
      <c r="G95" s="1607"/>
      <c r="H95" s="1607"/>
      <c r="I95" s="1607"/>
      <c r="J95" s="1607"/>
      <c r="K95" s="1607"/>
    </row>
    <row r="96" spans="1:11" ht="12.75" customHeight="1" x14ac:dyDescent="0.2">
      <c r="A96" s="427" t="s">
        <v>388</v>
      </c>
      <c r="B96" s="429">
        <v>1920</v>
      </c>
      <c r="C96" s="1622">
        <v>5818</v>
      </c>
      <c r="D96" s="1622">
        <v>0</v>
      </c>
      <c r="E96" s="1575">
        <v>0</v>
      </c>
      <c r="F96" s="1574">
        <v>0</v>
      </c>
      <c r="G96" s="1574">
        <v>0</v>
      </c>
      <c r="H96" s="1574">
        <v>1722</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42577</v>
      </c>
      <c r="D106" s="1588">
        <v>0</v>
      </c>
      <c r="E106" s="1566">
        <v>0</v>
      </c>
      <c r="F106" s="1566">
        <v>0</v>
      </c>
      <c r="G106" s="1566">
        <v>0</v>
      </c>
      <c r="H106" s="1566">
        <v>0</v>
      </c>
      <c r="I106" s="1607"/>
      <c r="J106" s="1566">
        <v>0</v>
      </c>
      <c r="K106" s="1566">
        <v>0</v>
      </c>
    </row>
    <row r="107" spans="1:12" ht="12.75" customHeight="1" x14ac:dyDescent="0.2">
      <c r="A107" s="427" t="s">
        <v>78</v>
      </c>
      <c r="B107" s="429">
        <v>1999</v>
      </c>
      <c r="C107" s="1622">
        <v>0</v>
      </c>
      <c r="D107" s="1565">
        <v>0</v>
      </c>
      <c r="E107" s="1565">
        <v>0</v>
      </c>
      <c r="F107" s="1565">
        <v>172</v>
      </c>
      <c r="G107" s="1565">
        <v>0</v>
      </c>
      <c r="H107" s="1565">
        <v>0</v>
      </c>
      <c r="I107" s="1565">
        <v>0</v>
      </c>
      <c r="J107" s="1566">
        <v>0</v>
      </c>
      <c r="K107" s="1565">
        <v>0</v>
      </c>
    </row>
    <row r="108" spans="1:12" ht="12.75" customHeight="1" thickBot="1" x14ac:dyDescent="0.25">
      <c r="A108" s="1399" t="s">
        <v>484</v>
      </c>
      <c r="B108" s="1401"/>
      <c r="C108" s="1623">
        <f>SUM(C95:C107)</f>
        <v>48395</v>
      </c>
      <c r="D108" s="1623">
        <f t="shared" ref="D108:K108" si="3">SUM(D95:D107)</f>
        <v>0</v>
      </c>
      <c r="E108" s="1623">
        <f t="shared" si="3"/>
        <v>0</v>
      </c>
      <c r="F108" s="1623">
        <f t="shared" si="3"/>
        <v>172</v>
      </c>
      <c r="G108" s="1623">
        <f t="shared" si="3"/>
        <v>0</v>
      </c>
      <c r="H108" s="1623">
        <f t="shared" si="3"/>
        <v>1722</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3338031</v>
      </c>
      <c r="D109" s="1631">
        <f t="shared" si="4"/>
        <v>587862</v>
      </c>
      <c r="E109" s="1631">
        <f t="shared" si="4"/>
        <v>0</v>
      </c>
      <c r="F109" s="1631">
        <f t="shared" si="4"/>
        <v>37693</v>
      </c>
      <c r="G109" s="1631">
        <f t="shared" si="4"/>
        <v>151304</v>
      </c>
      <c r="H109" s="1631">
        <f t="shared" si="4"/>
        <v>1722</v>
      </c>
      <c r="I109" s="1631">
        <f t="shared" si="4"/>
        <v>22049</v>
      </c>
      <c r="J109" s="1631">
        <f t="shared" si="4"/>
        <v>42683</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239651</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239651</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0</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10522</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10522</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285</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166552</v>
      </c>
      <c r="G152" s="1566">
        <v>0</v>
      </c>
      <c r="H152" s="1567"/>
      <c r="I152" s="1567"/>
      <c r="J152" s="1567"/>
      <c r="K152" s="1567"/>
    </row>
    <row r="153" spans="1:11" ht="12.75" customHeight="1" x14ac:dyDescent="0.2">
      <c r="A153" s="427" t="s">
        <v>1047</v>
      </c>
      <c r="B153" s="478">
        <v>3510</v>
      </c>
      <c r="C153" s="1622">
        <v>0</v>
      </c>
      <c r="D153" s="1565">
        <v>0</v>
      </c>
      <c r="E153" s="1630"/>
      <c r="F153" s="1565">
        <v>20782</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187334</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0</v>
      </c>
      <c r="I167" s="1567"/>
      <c r="J167" s="1567"/>
      <c r="K167" s="1616">
        <v>0</v>
      </c>
    </row>
    <row r="168" spans="1:11" ht="14.25" thickTop="1" thickBot="1" x14ac:dyDescent="0.25">
      <c r="A168" s="1263" t="s">
        <v>70</v>
      </c>
      <c r="B168" s="484">
        <v>3999</v>
      </c>
      <c r="C168" s="1644">
        <v>0</v>
      </c>
      <c r="D168" s="1645">
        <v>50000</v>
      </c>
      <c r="E168" s="1645">
        <v>0</v>
      </c>
      <c r="F168" s="1645">
        <v>0</v>
      </c>
      <c r="G168" s="1646">
        <v>0</v>
      </c>
      <c r="H168" s="1647">
        <v>0</v>
      </c>
      <c r="I168" s="1646">
        <v>0</v>
      </c>
      <c r="J168" s="1646">
        <v>0</v>
      </c>
      <c r="K168" s="1647">
        <v>0</v>
      </c>
    </row>
    <row r="169" spans="1:11" ht="12.75" customHeight="1" thickTop="1" thickBot="1" x14ac:dyDescent="0.25">
      <c r="A169" s="2254" t="s">
        <v>395</v>
      </c>
      <c r="B169" s="2255"/>
      <c r="C169" s="1648">
        <f t="shared" ref="C169:K169" si="6">SUM(C132,C141,C145,C146:C150,C155,C156:C167,C168)</f>
        <v>10807</v>
      </c>
      <c r="D169" s="1648">
        <f t="shared" si="6"/>
        <v>50000</v>
      </c>
      <c r="E169" s="1648">
        <f t="shared" si="6"/>
        <v>0</v>
      </c>
      <c r="F169" s="1648">
        <f t="shared" si="6"/>
        <v>187334</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250458</v>
      </c>
      <c r="D170" s="1631">
        <f t="shared" si="7"/>
        <v>50000</v>
      </c>
      <c r="E170" s="1631">
        <f t="shared" si="7"/>
        <v>0</v>
      </c>
      <c r="F170" s="1631">
        <f t="shared" si="7"/>
        <v>187334</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6" t="s">
        <v>1472</v>
      </c>
      <c r="B172" s="2257"/>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0" t="s">
        <v>1643</v>
      </c>
      <c r="B175" s="2261"/>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4" t="s">
        <v>1642</v>
      </c>
      <c r="B176" s="2265"/>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23588</v>
      </c>
      <c r="D180" s="1565">
        <v>0</v>
      </c>
      <c r="E180" s="1567"/>
      <c r="F180" s="1565">
        <v>0</v>
      </c>
      <c r="G180" s="1565">
        <v>0</v>
      </c>
      <c r="H180" s="1565">
        <v>0</v>
      </c>
      <c r="I180" s="1567"/>
      <c r="J180" s="1567"/>
      <c r="K180" s="1565">
        <v>0</v>
      </c>
    </row>
    <row r="181" spans="1:11" ht="13.5" thickBot="1" x14ac:dyDescent="0.25">
      <c r="A181" s="2262" t="s">
        <v>779</v>
      </c>
      <c r="B181" s="2263"/>
      <c r="C181" s="1623">
        <f>SUM(C177:C180)</f>
        <v>23588</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58" t="s">
        <v>1777</v>
      </c>
      <c r="B182" s="2259"/>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25546</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18675</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44221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85977</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85977</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4969</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4969</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1327</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78408</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79735</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14866</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2534</v>
      </c>
      <c r="D263" s="1641">
        <v>0</v>
      </c>
      <c r="E263" s="1567"/>
      <c r="F263" s="1641">
        <v>0</v>
      </c>
      <c r="G263" s="1641">
        <v>0</v>
      </c>
      <c r="H263" s="1567"/>
      <c r="I263" s="1567"/>
      <c r="J263" s="1567"/>
      <c r="K263" s="1567"/>
    </row>
    <row r="264" spans="1:11" ht="12.75" customHeight="1" thickTop="1" thickBot="1" x14ac:dyDescent="0.25">
      <c r="A264" s="427" t="s">
        <v>374</v>
      </c>
      <c r="B264" s="429">
        <v>4992</v>
      </c>
      <c r="C264" s="1640">
        <v>8175</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240477</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264065</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3852554</v>
      </c>
      <c r="D268" s="1631">
        <f t="shared" si="12"/>
        <v>637862</v>
      </c>
      <c r="E268" s="1631">
        <f t="shared" si="12"/>
        <v>0</v>
      </c>
      <c r="F268" s="1631">
        <f t="shared" si="12"/>
        <v>225027</v>
      </c>
      <c r="G268" s="1631">
        <f t="shared" si="12"/>
        <v>151304</v>
      </c>
      <c r="H268" s="1631">
        <f t="shared" si="12"/>
        <v>1722</v>
      </c>
      <c r="I268" s="1631">
        <f t="shared" si="12"/>
        <v>22049</v>
      </c>
      <c r="J268" s="1631">
        <f t="shared" si="12"/>
        <v>42683</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Normal="100" zoomScaleSheetLayoutView="70" workbookViewId="0">
      <pane ySplit="2" topLeftCell="A366" activePane="bottomLeft" state="frozen"/>
      <selection activeCell="C44" sqref="C44"/>
      <selection pane="bottomLeft" activeCell="L366" sqref="L36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8"/>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4" t="s">
        <v>294</v>
      </c>
      <c r="B3" s="2275"/>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1422340</v>
      </c>
      <c r="D5" s="1565">
        <v>365645</v>
      </c>
      <c r="E5" s="1565">
        <v>37249</v>
      </c>
      <c r="F5" s="1565">
        <v>155275</v>
      </c>
      <c r="G5" s="1565">
        <v>4177</v>
      </c>
      <c r="H5" s="1565">
        <v>433</v>
      </c>
      <c r="I5" s="1566">
        <v>0</v>
      </c>
      <c r="J5" s="1566">
        <v>0</v>
      </c>
      <c r="K5" s="1662">
        <f>SUM(C5:J5)</f>
        <v>1985119</v>
      </c>
      <c r="L5" s="1565">
        <v>2419713</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0</v>
      </c>
    </row>
    <row r="8" spans="1:14" x14ac:dyDescent="0.2">
      <c r="A8" s="1267" t="s">
        <v>163</v>
      </c>
      <c r="B8" s="503">
        <v>1200</v>
      </c>
      <c r="C8" s="1565">
        <v>218816</v>
      </c>
      <c r="D8" s="1565">
        <v>27177</v>
      </c>
      <c r="E8" s="1565">
        <v>0</v>
      </c>
      <c r="F8" s="1565">
        <v>0</v>
      </c>
      <c r="G8" s="1565">
        <v>0</v>
      </c>
      <c r="H8" s="1565">
        <v>0</v>
      </c>
      <c r="I8" s="1566">
        <v>0</v>
      </c>
      <c r="J8" s="1566">
        <v>0</v>
      </c>
      <c r="K8" s="1662">
        <f t="shared" si="0"/>
        <v>245993</v>
      </c>
      <c r="L8" s="1565">
        <v>225300</v>
      </c>
    </row>
    <row r="9" spans="1:14" x14ac:dyDescent="0.2">
      <c r="A9" s="1267" t="s">
        <v>715</v>
      </c>
      <c r="B9" s="503" t="s">
        <v>961</v>
      </c>
      <c r="C9" s="1566">
        <v>0</v>
      </c>
      <c r="D9" s="1566">
        <v>0</v>
      </c>
      <c r="E9" s="1566">
        <v>0</v>
      </c>
      <c r="F9" s="1566">
        <v>0</v>
      </c>
      <c r="G9" s="1566">
        <v>0</v>
      </c>
      <c r="H9" s="1566">
        <v>0</v>
      </c>
      <c r="I9" s="1566">
        <v>0</v>
      </c>
      <c r="J9" s="1566">
        <v>0</v>
      </c>
      <c r="K9" s="1662">
        <f t="shared" si="0"/>
        <v>0</v>
      </c>
      <c r="L9" s="1565">
        <v>0</v>
      </c>
    </row>
    <row r="10" spans="1:14" x14ac:dyDescent="0.2">
      <c r="A10" s="1267" t="s">
        <v>716</v>
      </c>
      <c r="B10" s="503">
        <v>1250</v>
      </c>
      <c r="C10" s="1565">
        <v>62873</v>
      </c>
      <c r="D10" s="1565">
        <v>13115</v>
      </c>
      <c r="E10" s="1565">
        <v>0</v>
      </c>
      <c r="F10" s="1565">
        <v>0</v>
      </c>
      <c r="G10" s="1565">
        <v>0</v>
      </c>
      <c r="H10" s="1565">
        <v>0</v>
      </c>
      <c r="I10" s="1566">
        <v>0</v>
      </c>
      <c r="J10" s="1566">
        <v>0</v>
      </c>
      <c r="K10" s="1662">
        <f t="shared" si="0"/>
        <v>75988</v>
      </c>
      <c r="L10" s="1565">
        <v>74550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24225</v>
      </c>
      <c r="D14" s="1565">
        <v>2227</v>
      </c>
      <c r="E14" s="1565">
        <v>0</v>
      </c>
      <c r="F14" s="1565">
        <v>1628</v>
      </c>
      <c r="G14" s="1565">
        <v>0</v>
      </c>
      <c r="H14" s="1565">
        <v>3795</v>
      </c>
      <c r="I14" s="1566">
        <v>0</v>
      </c>
      <c r="J14" s="1566">
        <v>0</v>
      </c>
      <c r="K14" s="1662">
        <f t="shared" si="0"/>
        <v>31875</v>
      </c>
      <c r="L14" s="1565">
        <v>31425</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0</v>
      </c>
      <c r="D16" s="1565">
        <v>0</v>
      </c>
      <c r="E16" s="1565">
        <v>0</v>
      </c>
      <c r="F16" s="1565">
        <v>0</v>
      </c>
      <c r="G16" s="1565">
        <v>0</v>
      </c>
      <c r="H16" s="1565">
        <v>0</v>
      </c>
      <c r="I16" s="1566">
        <v>0</v>
      </c>
      <c r="J16" s="1566">
        <v>0</v>
      </c>
      <c r="K16" s="1662">
        <f t="shared" si="0"/>
        <v>0</v>
      </c>
      <c r="L16" s="1565">
        <v>0</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0</v>
      </c>
      <c r="D18" s="1565">
        <v>0</v>
      </c>
      <c r="E18" s="1565">
        <v>0</v>
      </c>
      <c r="F18" s="1565">
        <v>0</v>
      </c>
      <c r="G18" s="1565">
        <v>0</v>
      </c>
      <c r="H18" s="1565">
        <v>0</v>
      </c>
      <c r="I18" s="1566">
        <v>0</v>
      </c>
      <c r="J18" s="1566">
        <v>0</v>
      </c>
      <c r="K18" s="1662">
        <f t="shared" si="0"/>
        <v>0</v>
      </c>
      <c r="L18" s="1565">
        <v>0</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0</v>
      </c>
      <c r="I22" s="1663"/>
      <c r="J22" s="1573"/>
      <c r="K22" s="1662">
        <f t="shared" si="0"/>
        <v>0</v>
      </c>
      <c r="L22" s="1569">
        <v>50000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1728254</v>
      </c>
      <c r="D33" s="1664">
        <f t="shared" ref="D33:L33" si="1">SUM(D5:D32)</f>
        <v>408164</v>
      </c>
      <c r="E33" s="1664">
        <f t="shared" si="1"/>
        <v>37249</v>
      </c>
      <c r="F33" s="1664">
        <f t="shared" si="1"/>
        <v>156903</v>
      </c>
      <c r="G33" s="1664">
        <f t="shared" si="1"/>
        <v>4177</v>
      </c>
      <c r="H33" s="1664">
        <f t="shared" si="1"/>
        <v>4228</v>
      </c>
      <c r="I33" s="1664">
        <f t="shared" si="1"/>
        <v>0</v>
      </c>
      <c r="J33" s="1664">
        <f t="shared" si="1"/>
        <v>0</v>
      </c>
      <c r="K33" s="1664">
        <f t="shared" si="1"/>
        <v>2338975</v>
      </c>
      <c r="L33" s="1664">
        <f t="shared" si="1"/>
        <v>2800988</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48352</v>
      </c>
      <c r="D36" s="1577">
        <v>5595</v>
      </c>
      <c r="E36" s="1577">
        <v>0</v>
      </c>
      <c r="F36" s="1577">
        <v>0</v>
      </c>
      <c r="G36" s="1577">
        <v>0</v>
      </c>
      <c r="H36" s="1577">
        <v>0</v>
      </c>
      <c r="I36" s="1566">
        <v>0</v>
      </c>
      <c r="J36" s="1566">
        <v>0</v>
      </c>
      <c r="K36" s="1662">
        <f t="shared" ref="K36:K41" si="2">SUM(C36:J36)</f>
        <v>53947</v>
      </c>
      <c r="L36" s="1565">
        <v>54200</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0</v>
      </c>
      <c r="D38" s="1565">
        <v>0</v>
      </c>
      <c r="E38" s="1565">
        <v>15246</v>
      </c>
      <c r="F38" s="1565">
        <v>0</v>
      </c>
      <c r="G38" s="1565">
        <v>0</v>
      </c>
      <c r="H38" s="1565">
        <v>0</v>
      </c>
      <c r="I38" s="1566">
        <v>0</v>
      </c>
      <c r="J38" s="1566">
        <v>0</v>
      </c>
      <c r="K38" s="1662">
        <f t="shared" si="2"/>
        <v>15246</v>
      </c>
      <c r="L38" s="1565">
        <v>20000</v>
      </c>
    </row>
    <row r="39" spans="1:14" x14ac:dyDescent="0.2">
      <c r="A39" s="1267" t="s">
        <v>197</v>
      </c>
      <c r="B39" s="503">
        <v>2140</v>
      </c>
      <c r="C39" s="1565">
        <v>0</v>
      </c>
      <c r="D39" s="1565">
        <v>0</v>
      </c>
      <c r="E39" s="1565">
        <v>0</v>
      </c>
      <c r="F39" s="1565">
        <v>0</v>
      </c>
      <c r="G39" s="1565">
        <v>0</v>
      </c>
      <c r="H39" s="1565">
        <v>0</v>
      </c>
      <c r="I39" s="1566">
        <v>0</v>
      </c>
      <c r="J39" s="1566">
        <v>0</v>
      </c>
      <c r="K39" s="1662">
        <f t="shared" si="2"/>
        <v>0</v>
      </c>
      <c r="L39" s="1565">
        <v>0</v>
      </c>
    </row>
    <row r="40" spans="1:14" x14ac:dyDescent="0.2">
      <c r="A40" s="1267" t="s">
        <v>198</v>
      </c>
      <c r="B40" s="503">
        <v>2150</v>
      </c>
      <c r="C40" s="1565">
        <v>0</v>
      </c>
      <c r="D40" s="1565">
        <v>0</v>
      </c>
      <c r="E40" s="1565">
        <v>0</v>
      </c>
      <c r="F40" s="1565">
        <v>0</v>
      </c>
      <c r="G40" s="1565">
        <v>0</v>
      </c>
      <c r="H40" s="1565">
        <v>0</v>
      </c>
      <c r="I40" s="1566">
        <v>0</v>
      </c>
      <c r="J40" s="1566">
        <v>0</v>
      </c>
      <c r="K40" s="1662">
        <f t="shared" si="2"/>
        <v>0</v>
      </c>
      <c r="L40" s="1565">
        <v>0</v>
      </c>
    </row>
    <row r="41" spans="1:14" x14ac:dyDescent="0.2">
      <c r="A41" s="1267" t="s">
        <v>1647</v>
      </c>
      <c r="B41" s="503">
        <v>2190</v>
      </c>
      <c r="C41" s="1565">
        <v>0</v>
      </c>
      <c r="D41" s="1565">
        <v>0</v>
      </c>
      <c r="E41" s="1565">
        <v>0</v>
      </c>
      <c r="F41" s="1565">
        <v>0</v>
      </c>
      <c r="G41" s="1565">
        <v>0</v>
      </c>
      <c r="H41" s="1565">
        <v>0</v>
      </c>
      <c r="I41" s="1566">
        <v>0</v>
      </c>
      <c r="J41" s="1566">
        <v>0</v>
      </c>
      <c r="K41" s="1662">
        <f t="shared" si="2"/>
        <v>0</v>
      </c>
      <c r="L41" s="1565">
        <v>0</v>
      </c>
    </row>
    <row r="42" spans="1:14" ht="12.75" customHeight="1" thickBot="1" x14ac:dyDescent="0.25">
      <c r="A42" s="1373" t="s">
        <v>556</v>
      </c>
      <c r="B42" s="1374" t="s">
        <v>710</v>
      </c>
      <c r="C42" s="1664">
        <f>SUM(C36:C41)</f>
        <v>48352</v>
      </c>
      <c r="D42" s="1664">
        <f t="shared" ref="D42:L42" si="3">SUM(D36:D41)</f>
        <v>5595</v>
      </c>
      <c r="E42" s="1664">
        <f t="shared" si="3"/>
        <v>15246</v>
      </c>
      <c r="F42" s="1664">
        <f t="shared" si="3"/>
        <v>0</v>
      </c>
      <c r="G42" s="1664">
        <f t="shared" si="3"/>
        <v>0</v>
      </c>
      <c r="H42" s="1664">
        <f t="shared" si="3"/>
        <v>0</v>
      </c>
      <c r="I42" s="1664">
        <f t="shared" si="3"/>
        <v>0</v>
      </c>
      <c r="J42" s="1664">
        <f t="shared" si="3"/>
        <v>0</v>
      </c>
      <c r="K42" s="1664">
        <f t="shared" si="3"/>
        <v>69193</v>
      </c>
      <c r="L42" s="1664">
        <f t="shared" si="3"/>
        <v>74200</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0</v>
      </c>
      <c r="D44" s="1577">
        <v>0</v>
      </c>
      <c r="E44" s="1577">
        <v>4643</v>
      </c>
      <c r="F44" s="1577">
        <v>0</v>
      </c>
      <c r="G44" s="1577">
        <v>0</v>
      </c>
      <c r="H44" s="1577">
        <v>0</v>
      </c>
      <c r="I44" s="1566">
        <v>0</v>
      </c>
      <c r="J44" s="1566">
        <v>0</v>
      </c>
      <c r="K44" s="1668">
        <f>SUM(C44:J44)</f>
        <v>4643</v>
      </c>
      <c r="L44" s="1577">
        <v>3000</v>
      </c>
    </row>
    <row r="45" spans="1:14" x14ac:dyDescent="0.2">
      <c r="A45" s="1267" t="s">
        <v>809</v>
      </c>
      <c r="B45" s="503">
        <v>2220</v>
      </c>
      <c r="C45" s="1565">
        <v>0</v>
      </c>
      <c r="D45" s="1565">
        <v>0</v>
      </c>
      <c r="E45" s="1565">
        <v>744</v>
      </c>
      <c r="F45" s="1565">
        <v>0</v>
      </c>
      <c r="G45" s="1565">
        <v>0</v>
      </c>
      <c r="H45" s="1565">
        <v>0</v>
      </c>
      <c r="I45" s="1566">
        <v>0</v>
      </c>
      <c r="J45" s="1566">
        <v>0</v>
      </c>
      <c r="K45" s="1668">
        <f>SUM(C45:J45)</f>
        <v>744</v>
      </c>
      <c r="L45" s="1565">
        <v>1000</v>
      </c>
    </row>
    <row r="46" spans="1:14" x14ac:dyDescent="0.2">
      <c r="A46" s="1267" t="s">
        <v>810</v>
      </c>
      <c r="B46" s="503">
        <v>2230</v>
      </c>
      <c r="C46" s="1565">
        <v>0</v>
      </c>
      <c r="D46" s="1565">
        <v>0</v>
      </c>
      <c r="E46" s="1565">
        <v>0</v>
      </c>
      <c r="F46" s="1565">
        <v>0</v>
      </c>
      <c r="G46" s="1565">
        <v>0</v>
      </c>
      <c r="H46" s="1565">
        <v>0</v>
      </c>
      <c r="I46" s="1566">
        <v>0</v>
      </c>
      <c r="J46" s="1566">
        <v>0</v>
      </c>
      <c r="K46" s="1668">
        <f>SUM(C46:J46)</f>
        <v>0</v>
      </c>
      <c r="L46" s="1565">
        <v>1000</v>
      </c>
    </row>
    <row r="47" spans="1:14" ht="12.75" customHeight="1" thickBot="1" x14ac:dyDescent="0.25">
      <c r="A47" s="1373" t="s">
        <v>557</v>
      </c>
      <c r="B47" s="1374" t="s">
        <v>32</v>
      </c>
      <c r="C47" s="1664">
        <f>SUM(C44:C46)</f>
        <v>0</v>
      </c>
      <c r="D47" s="1664">
        <f t="shared" ref="D47:K47" si="4">SUM(D44:D46)</f>
        <v>0</v>
      </c>
      <c r="E47" s="1664">
        <f t="shared" si="4"/>
        <v>5387</v>
      </c>
      <c r="F47" s="1664">
        <f t="shared" si="4"/>
        <v>0</v>
      </c>
      <c r="G47" s="1664">
        <f t="shared" si="4"/>
        <v>0</v>
      </c>
      <c r="H47" s="1664">
        <f t="shared" si="4"/>
        <v>0</v>
      </c>
      <c r="I47" s="1664">
        <f t="shared" si="4"/>
        <v>0</v>
      </c>
      <c r="J47" s="1664">
        <f t="shared" si="4"/>
        <v>0</v>
      </c>
      <c r="K47" s="1664">
        <f t="shared" si="4"/>
        <v>5387</v>
      </c>
      <c r="L47" s="1664">
        <f>SUM(L44:L46)</f>
        <v>5000</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6176</v>
      </c>
      <c r="D49" s="1577">
        <v>0</v>
      </c>
      <c r="E49" s="1577">
        <v>41973</v>
      </c>
      <c r="F49" s="1577">
        <v>1010</v>
      </c>
      <c r="G49" s="1577">
        <v>0</v>
      </c>
      <c r="H49" s="1577">
        <v>4036</v>
      </c>
      <c r="I49" s="1566">
        <v>0</v>
      </c>
      <c r="J49" s="1566">
        <v>0</v>
      </c>
      <c r="K49" s="1668">
        <f>SUM(C49:J49)</f>
        <v>53195</v>
      </c>
      <c r="L49" s="1577">
        <v>87200</v>
      </c>
    </row>
    <row r="50" spans="1:14" x14ac:dyDescent="0.2">
      <c r="A50" s="1267" t="s">
        <v>812</v>
      </c>
      <c r="B50" s="503">
        <v>2320</v>
      </c>
      <c r="C50" s="1565">
        <v>158351</v>
      </c>
      <c r="D50" s="1565">
        <v>17629</v>
      </c>
      <c r="E50" s="1565">
        <v>4209</v>
      </c>
      <c r="F50" s="1565">
        <v>3082</v>
      </c>
      <c r="G50" s="1565">
        <v>0</v>
      </c>
      <c r="H50" s="1565">
        <v>13443</v>
      </c>
      <c r="I50" s="1566">
        <v>0</v>
      </c>
      <c r="J50" s="1566">
        <v>0</v>
      </c>
      <c r="K50" s="1668">
        <f>SUM(C50:J50)</f>
        <v>196714</v>
      </c>
      <c r="L50" s="1565">
        <v>179302</v>
      </c>
    </row>
    <row r="51" spans="1:14" x14ac:dyDescent="0.2">
      <c r="A51" s="1267" t="s">
        <v>42</v>
      </c>
      <c r="B51" s="503">
        <v>2330</v>
      </c>
      <c r="C51" s="1565">
        <v>0</v>
      </c>
      <c r="D51" s="1565">
        <v>0</v>
      </c>
      <c r="E51" s="1565">
        <v>0</v>
      </c>
      <c r="F51" s="1565">
        <v>0</v>
      </c>
      <c r="G51" s="1565">
        <v>0</v>
      </c>
      <c r="H51" s="1565">
        <v>0</v>
      </c>
      <c r="I51" s="1566">
        <v>0</v>
      </c>
      <c r="J51" s="1566">
        <v>0</v>
      </c>
      <c r="K51" s="1668">
        <f>SUM(C51:J51)</f>
        <v>0</v>
      </c>
      <c r="L51" s="1565">
        <v>0</v>
      </c>
    </row>
    <row r="52" spans="1:14" ht="22.5" x14ac:dyDescent="0.2">
      <c r="A52" s="1268" t="s">
        <v>295</v>
      </c>
      <c r="B52" s="511" t="s">
        <v>363</v>
      </c>
      <c r="C52" s="1571">
        <v>0</v>
      </c>
      <c r="D52" s="1571">
        <v>0</v>
      </c>
      <c r="E52" s="1571">
        <v>0</v>
      </c>
      <c r="F52" s="1571">
        <v>0</v>
      </c>
      <c r="G52" s="1571">
        <v>0</v>
      </c>
      <c r="H52" s="1571">
        <v>0</v>
      </c>
      <c r="I52" s="1571">
        <v>0</v>
      </c>
      <c r="J52" s="1571">
        <v>0</v>
      </c>
      <c r="K52" s="1668">
        <f>SUM(C52:J52)</f>
        <v>0</v>
      </c>
      <c r="L52" s="1571">
        <v>0</v>
      </c>
    </row>
    <row r="53" spans="1:14" ht="12.75" customHeight="1" thickBot="1" x14ac:dyDescent="0.25">
      <c r="A53" s="1373" t="s">
        <v>711</v>
      </c>
      <c r="B53" s="1374" t="s">
        <v>33</v>
      </c>
      <c r="C53" s="1664">
        <f>SUM(C49:C52)</f>
        <v>164527</v>
      </c>
      <c r="D53" s="1664">
        <f t="shared" ref="D53:L53" si="5">SUM(D49:D52)</f>
        <v>17629</v>
      </c>
      <c r="E53" s="1664">
        <f t="shared" si="5"/>
        <v>46182</v>
      </c>
      <c r="F53" s="1664">
        <f t="shared" si="5"/>
        <v>4092</v>
      </c>
      <c r="G53" s="1664">
        <f t="shared" si="5"/>
        <v>0</v>
      </c>
      <c r="H53" s="1664">
        <f t="shared" si="5"/>
        <v>17479</v>
      </c>
      <c r="I53" s="1664">
        <f t="shared" si="5"/>
        <v>0</v>
      </c>
      <c r="J53" s="1664">
        <f t="shared" si="5"/>
        <v>0</v>
      </c>
      <c r="K53" s="1664">
        <f t="shared" si="5"/>
        <v>249909</v>
      </c>
      <c r="L53" s="1664">
        <f t="shared" si="5"/>
        <v>266502</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108322</v>
      </c>
      <c r="D55" s="1577">
        <v>7846</v>
      </c>
      <c r="E55" s="1577">
        <v>0</v>
      </c>
      <c r="F55" s="1577">
        <v>1876</v>
      </c>
      <c r="G55" s="1577">
        <v>0</v>
      </c>
      <c r="H55" s="1577">
        <v>89</v>
      </c>
      <c r="I55" s="1566">
        <v>0</v>
      </c>
      <c r="J55" s="1566">
        <v>0</v>
      </c>
      <c r="K55" s="1668">
        <f>SUM(C55:J55)</f>
        <v>118133</v>
      </c>
      <c r="L55" s="1577">
        <v>169860</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108322</v>
      </c>
      <c r="D57" s="1669">
        <f t="shared" ref="D57:K57" si="6">SUM(D55:D56)</f>
        <v>7846</v>
      </c>
      <c r="E57" s="1669">
        <f t="shared" si="6"/>
        <v>0</v>
      </c>
      <c r="F57" s="1669">
        <f t="shared" si="6"/>
        <v>1876</v>
      </c>
      <c r="G57" s="1669">
        <f t="shared" si="6"/>
        <v>0</v>
      </c>
      <c r="H57" s="1669">
        <f t="shared" si="6"/>
        <v>89</v>
      </c>
      <c r="I57" s="1669">
        <f t="shared" si="6"/>
        <v>0</v>
      </c>
      <c r="J57" s="1669">
        <f t="shared" si="6"/>
        <v>0</v>
      </c>
      <c r="K57" s="1669">
        <f t="shared" si="6"/>
        <v>118133</v>
      </c>
      <c r="L57" s="1664">
        <f>SUM(L55:L56)</f>
        <v>169860</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0</v>
      </c>
      <c r="D59" s="1577">
        <v>0</v>
      </c>
      <c r="E59" s="1577">
        <v>0</v>
      </c>
      <c r="F59" s="1577">
        <v>0</v>
      </c>
      <c r="G59" s="1577">
        <v>0</v>
      </c>
      <c r="H59" s="1577">
        <v>0</v>
      </c>
      <c r="I59" s="1566">
        <v>0</v>
      </c>
      <c r="J59" s="1566">
        <v>0</v>
      </c>
      <c r="K59" s="1668">
        <f t="shared" ref="K59:K64" si="7">SUM(C59:J59)</f>
        <v>0</v>
      </c>
      <c r="L59" s="1577">
        <v>0</v>
      </c>
      <c r="M59" s="501"/>
      <c r="N59" s="501"/>
    </row>
    <row r="60" spans="1:14" s="321" customFormat="1" x14ac:dyDescent="0.2">
      <c r="A60" s="1267" t="s">
        <v>460</v>
      </c>
      <c r="B60" s="503">
        <v>2520</v>
      </c>
      <c r="C60" s="1565">
        <v>61460</v>
      </c>
      <c r="D60" s="1565">
        <v>0</v>
      </c>
      <c r="E60" s="1565">
        <v>25804</v>
      </c>
      <c r="F60" s="1565">
        <v>0</v>
      </c>
      <c r="G60" s="1565">
        <v>0</v>
      </c>
      <c r="H60" s="1565">
        <v>1524</v>
      </c>
      <c r="I60" s="1566">
        <v>0</v>
      </c>
      <c r="J60" s="1566">
        <v>0</v>
      </c>
      <c r="K60" s="1668">
        <f t="shared" si="7"/>
        <v>88788</v>
      </c>
      <c r="L60" s="1565">
        <v>82200</v>
      </c>
      <c r="M60" s="501"/>
      <c r="N60" s="501"/>
    </row>
    <row r="61" spans="1:14" s="321" customFormat="1" x14ac:dyDescent="0.2">
      <c r="A61" s="1267" t="s">
        <v>195</v>
      </c>
      <c r="B61" s="503">
        <v>2540</v>
      </c>
      <c r="C61" s="1565">
        <v>0</v>
      </c>
      <c r="D61" s="1565">
        <v>0</v>
      </c>
      <c r="E61" s="1565">
        <v>0</v>
      </c>
      <c r="F61" s="1565">
        <v>0</v>
      </c>
      <c r="G61" s="1565">
        <v>0</v>
      </c>
      <c r="H61" s="1565">
        <v>0</v>
      </c>
      <c r="I61" s="1566">
        <v>0</v>
      </c>
      <c r="J61" s="1566">
        <v>0</v>
      </c>
      <c r="K61" s="1668">
        <f t="shared" si="7"/>
        <v>0</v>
      </c>
      <c r="L61" s="1565">
        <v>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32287</v>
      </c>
      <c r="D63" s="1565">
        <v>0</v>
      </c>
      <c r="E63" s="1565">
        <v>278</v>
      </c>
      <c r="F63" s="1565">
        <v>33284</v>
      </c>
      <c r="G63" s="1565">
        <v>0</v>
      </c>
      <c r="H63" s="1565">
        <v>737</v>
      </c>
      <c r="I63" s="1566">
        <v>0</v>
      </c>
      <c r="J63" s="1566">
        <v>0</v>
      </c>
      <c r="K63" s="1668">
        <f t="shared" si="7"/>
        <v>66586</v>
      </c>
      <c r="L63" s="1565">
        <v>100100</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93747</v>
      </c>
      <c r="D65" s="1664">
        <f t="shared" ref="D65:L65" si="8">SUM(D59:D64)</f>
        <v>0</v>
      </c>
      <c r="E65" s="1664">
        <f t="shared" si="8"/>
        <v>26082</v>
      </c>
      <c r="F65" s="1664">
        <f t="shared" si="8"/>
        <v>33284</v>
      </c>
      <c r="G65" s="1664">
        <f t="shared" si="8"/>
        <v>0</v>
      </c>
      <c r="H65" s="1664">
        <f t="shared" si="8"/>
        <v>2261</v>
      </c>
      <c r="I65" s="1664">
        <f t="shared" si="8"/>
        <v>0</v>
      </c>
      <c r="J65" s="1664">
        <f t="shared" si="8"/>
        <v>0</v>
      </c>
      <c r="K65" s="1664">
        <f t="shared" si="8"/>
        <v>155374</v>
      </c>
      <c r="L65" s="1664">
        <f t="shared" si="8"/>
        <v>182300</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0</v>
      </c>
      <c r="M70" s="501"/>
      <c r="N70" s="501"/>
    </row>
    <row r="71" spans="1:14" s="321" customFormat="1" x14ac:dyDescent="0.2">
      <c r="A71" s="1267" t="s">
        <v>401</v>
      </c>
      <c r="B71" s="503">
        <v>2660</v>
      </c>
      <c r="C71" s="1565">
        <v>0</v>
      </c>
      <c r="D71" s="1565">
        <v>0</v>
      </c>
      <c r="E71" s="1565">
        <v>0</v>
      </c>
      <c r="F71" s="1565">
        <v>0</v>
      </c>
      <c r="G71" s="1565">
        <v>0</v>
      </c>
      <c r="H71" s="1565">
        <v>0</v>
      </c>
      <c r="I71" s="1566">
        <v>0</v>
      </c>
      <c r="J71" s="1566">
        <v>0</v>
      </c>
      <c r="K71" s="1668">
        <f>SUM(C71:J71)</f>
        <v>0</v>
      </c>
      <c r="L71" s="1565">
        <v>0</v>
      </c>
      <c r="M71" s="501"/>
      <c r="N71" s="501"/>
    </row>
    <row r="72" spans="1:14" s="321" customFormat="1" ht="12.75" customHeight="1" thickBot="1" x14ac:dyDescent="0.25">
      <c r="A72" s="1373" t="s">
        <v>37</v>
      </c>
      <c r="B72" s="1376"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414948</v>
      </c>
      <c r="D74" s="1671">
        <f t="shared" ref="D74:K74" si="10">SUM(D42,D47,D53,D57,D65,D72,D73)</f>
        <v>31070</v>
      </c>
      <c r="E74" s="1671">
        <f t="shared" si="10"/>
        <v>92897</v>
      </c>
      <c r="F74" s="1671">
        <f t="shared" si="10"/>
        <v>39252</v>
      </c>
      <c r="G74" s="1671">
        <f t="shared" si="10"/>
        <v>0</v>
      </c>
      <c r="H74" s="1671">
        <f t="shared" si="10"/>
        <v>19829</v>
      </c>
      <c r="I74" s="1671">
        <f t="shared" si="10"/>
        <v>0</v>
      </c>
      <c r="J74" s="1671">
        <f t="shared" si="10"/>
        <v>0</v>
      </c>
      <c r="K74" s="1671">
        <f t="shared" si="10"/>
        <v>597996</v>
      </c>
      <c r="L74" s="1671">
        <f>SUM(L42,L47,L53,L57,L65,L72,L73)</f>
        <v>697862</v>
      </c>
    </row>
    <row r="75" spans="1:14" s="254" customFormat="1" ht="15.75" customHeight="1" thickTop="1" thickBot="1" x14ac:dyDescent="0.25">
      <c r="A75" s="1341" t="s">
        <v>47</v>
      </c>
      <c r="B75" s="1342" t="s">
        <v>571</v>
      </c>
      <c r="C75" s="1639">
        <v>0</v>
      </c>
      <c r="D75" s="1639">
        <v>0</v>
      </c>
      <c r="E75" s="1639">
        <v>0</v>
      </c>
      <c r="F75" s="1639">
        <v>0</v>
      </c>
      <c r="G75" s="1639">
        <v>0</v>
      </c>
      <c r="H75" s="1639">
        <v>0</v>
      </c>
      <c r="I75" s="1617">
        <v>0</v>
      </c>
      <c r="J75" s="1617">
        <v>0</v>
      </c>
      <c r="K75" s="1664">
        <f>SUM(C75:J75)</f>
        <v>0</v>
      </c>
      <c r="L75" s="1641">
        <v>0</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21303</v>
      </c>
      <c r="F79" s="1663"/>
      <c r="G79" s="1663"/>
      <c r="H79" s="1565">
        <v>0</v>
      </c>
      <c r="I79" s="1573"/>
      <c r="J79" s="1573"/>
      <c r="K79" s="1662">
        <f t="shared" si="11"/>
        <v>21303</v>
      </c>
      <c r="L79" s="1565">
        <v>35000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21303</v>
      </c>
      <c r="F84" s="1663"/>
      <c r="G84" s="1663"/>
      <c r="H84" s="1664">
        <f>SUM(H78:H83)</f>
        <v>0</v>
      </c>
      <c r="I84" s="1573"/>
      <c r="J84" s="1573"/>
      <c r="K84" s="1664">
        <f>SUM(K78:K83)</f>
        <v>21303</v>
      </c>
      <c r="L84" s="1664">
        <f>SUM(L78:L83)</f>
        <v>35000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291127</v>
      </c>
      <c r="I86" s="1573"/>
      <c r="J86" s="1573"/>
      <c r="K86" s="1671">
        <f t="shared" ref="K86:K98" si="12">H86</f>
        <v>291127</v>
      </c>
      <c r="L86" s="1616">
        <v>400000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291127</v>
      </c>
      <c r="I92" s="1573"/>
      <c r="J92" s="1573"/>
      <c r="K92" s="1671">
        <f t="shared" si="12"/>
        <v>291127</v>
      </c>
      <c r="L92" s="1664">
        <f>SUM(L85:L91)</f>
        <v>400000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21303</v>
      </c>
      <c r="F102" s="1663"/>
      <c r="G102" s="1663"/>
      <c r="H102" s="1671">
        <f>SUM(H84,H92,H100,H101)</f>
        <v>291127</v>
      </c>
      <c r="I102" s="1573"/>
      <c r="J102" s="1573"/>
      <c r="K102" s="1671">
        <f>SUM(K84,K92,K100,K101)</f>
        <v>312430</v>
      </c>
      <c r="L102" s="1671">
        <f>SUM(L84,L92,L100,L101)</f>
        <v>435000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2143202</v>
      </c>
      <c r="D114" s="1664">
        <f t="shared" ref="D114:K114" si="13">SUM(D33,D74,D75,D102,D112,D113)</f>
        <v>439234</v>
      </c>
      <c r="E114" s="1664">
        <f t="shared" si="13"/>
        <v>151449</v>
      </c>
      <c r="F114" s="1664">
        <f t="shared" si="13"/>
        <v>196155</v>
      </c>
      <c r="G114" s="1664">
        <f t="shared" si="13"/>
        <v>4177</v>
      </c>
      <c r="H114" s="1664">
        <f>SUM(H33,H74,H75,H102,H112,H113)</f>
        <v>315184</v>
      </c>
      <c r="I114" s="1664">
        <f t="shared" si="13"/>
        <v>0</v>
      </c>
      <c r="J114" s="1664">
        <f t="shared" si="13"/>
        <v>0</v>
      </c>
      <c r="K114" s="1664">
        <f t="shared" si="13"/>
        <v>3249401</v>
      </c>
      <c r="L114" s="1664">
        <f>SUM(L33,L74,L75,L102,L112,L113)</f>
        <v>3933850</v>
      </c>
    </row>
    <row r="115" spans="1:14" ht="13.5" thickTop="1" x14ac:dyDescent="0.2">
      <c r="A115" s="2266" t="s">
        <v>988</v>
      </c>
      <c r="B115" s="2267"/>
      <c r="C115" s="1665"/>
      <c r="D115" s="1665"/>
      <c r="E115" s="1665"/>
      <c r="F115" s="1665"/>
      <c r="G115" s="1665"/>
      <c r="H115" s="1665"/>
      <c r="I115" s="1665"/>
      <c r="J115" s="1665"/>
      <c r="K115" s="1679">
        <f>'Revenues 9-14'!C268-'Expenditures 15-22'!K114</f>
        <v>603153</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1" t="s">
        <v>293</v>
      </c>
      <c r="B117" s="2272"/>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0</v>
      </c>
    </row>
    <row r="124" spans="1:14" ht="14.25" thickTop="1" thickBot="1" x14ac:dyDescent="0.25">
      <c r="A124" s="1267" t="s">
        <v>195</v>
      </c>
      <c r="B124" s="503">
        <v>2540</v>
      </c>
      <c r="C124" s="1565">
        <v>117378</v>
      </c>
      <c r="D124" s="1565">
        <v>0</v>
      </c>
      <c r="E124" s="1565">
        <v>23262</v>
      </c>
      <c r="F124" s="1565">
        <v>66402</v>
      </c>
      <c r="G124" s="1565">
        <v>7295</v>
      </c>
      <c r="H124" s="1565">
        <v>3219</v>
      </c>
      <c r="I124" s="1566">
        <v>0</v>
      </c>
      <c r="J124" s="1566">
        <v>0</v>
      </c>
      <c r="K124" s="1664">
        <f>SUM(C124:J124)</f>
        <v>217556</v>
      </c>
      <c r="L124" s="1565">
        <v>290700</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117378</v>
      </c>
      <c r="D127" s="1664">
        <f t="shared" ref="D127:L127" si="14">SUM(D122:D126)</f>
        <v>0</v>
      </c>
      <c r="E127" s="1664">
        <f t="shared" si="14"/>
        <v>23262</v>
      </c>
      <c r="F127" s="1664">
        <f t="shared" si="14"/>
        <v>66402</v>
      </c>
      <c r="G127" s="1664">
        <f t="shared" si="14"/>
        <v>7295</v>
      </c>
      <c r="H127" s="1664">
        <f t="shared" si="14"/>
        <v>3219</v>
      </c>
      <c r="I127" s="1664">
        <f t="shared" si="14"/>
        <v>0</v>
      </c>
      <c r="J127" s="1664">
        <f t="shared" si="14"/>
        <v>0</v>
      </c>
      <c r="K127" s="1664">
        <f t="shared" si="14"/>
        <v>217556</v>
      </c>
      <c r="L127" s="1664">
        <f t="shared" si="14"/>
        <v>290700</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117378</v>
      </c>
      <c r="D129" s="1671">
        <f t="shared" ref="D129:L129" si="15">SUM(D120,D127,D128)</f>
        <v>0</v>
      </c>
      <c r="E129" s="1671">
        <f t="shared" si="15"/>
        <v>23262</v>
      </c>
      <c r="F129" s="1671">
        <f t="shared" si="15"/>
        <v>66402</v>
      </c>
      <c r="G129" s="1671">
        <f t="shared" si="15"/>
        <v>7295</v>
      </c>
      <c r="H129" s="1671">
        <f t="shared" si="15"/>
        <v>3219</v>
      </c>
      <c r="I129" s="1671">
        <f t="shared" si="15"/>
        <v>0</v>
      </c>
      <c r="J129" s="1671">
        <f t="shared" si="15"/>
        <v>0</v>
      </c>
      <c r="K129" s="1671">
        <f t="shared" si="15"/>
        <v>217556</v>
      </c>
      <c r="L129" s="1671">
        <f t="shared" si="15"/>
        <v>290700</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0</v>
      </c>
      <c r="I134" s="1573"/>
      <c r="J134" s="1663"/>
      <c r="K134" s="1668">
        <f>SUM(E134,H134)</f>
        <v>0</v>
      </c>
      <c r="L134" s="1577">
        <v>0</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3" t="s">
        <v>616</v>
      </c>
      <c r="B151" s="2263"/>
      <c r="C151" s="1664">
        <f>SUM(C129,C130,C139,C149,C150)</f>
        <v>117378</v>
      </c>
      <c r="D151" s="1664">
        <f t="shared" ref="D151:K151" si="16">SUM(D129,D130,D139,D149,D150)</f>
        <v>0</v>
      </c>
      <c r="E151" s="1664">
        <f t="shared" si="16"/>
        <v>23262</v>
      </c>
      <c r="F151" s="1664">
        <f t="shared" si="16"/>
        <v>66402</v>
      </c>
      <c r="G151" s="1664">
        <f t="shared" si="16"/>
        <v>7295</v>
      </c>
      <c r="H151" s="1664">
        <f t="shared" si="16"/>
        <v>3219</v>
      </c>
      <c r="I151" s="1664">
        <f t="shared" si="16"/>
        <v>0</v>
      </c>
      <c r="J151" s="1664">
        <f t="shared" si="16"/>
        <v>0</v>
      </c>
      <c r="K151" s="1664">
        <f t="shared" si="16"/>
        <v>217556</v>
      </c>
      <c r="L151" s="1664">
        <f>SUM(L129,L130,L139,L149,L150)</f>
        <v>290700</v>
      </c>
    </row>
    <row r="152" spans="1:14" ht="12.75" customHeight="1" thickTop="1" x14ac:dyDescent="0.2">
      <c r="A152" s="2286" t="s">
        <v>1167</v>
      </c>
      <c r="B152" s="2287"/>
      <c r="C152" s="1665"/>
      <c r="D152" s="1665"/>
      <c r="E152" s="1665"/>
      <c r="F152" s="1665"/>
      <c r="G152" s="1665"/>
      <c r="H152" s="1665"/>
      <c r="I152" s="1665"/>
      <c r="J152" s="1663"/>
      <c r="K152" s="1679">
        <f>'Revenues 9-14'!D268-'Expenditures 15-22'!K151</f>
        <v>420306</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1" t="s">
        <v>617</v>
      </c>
      <c r="B154" s="2273"/>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66" t="s">
        <v>988</v>
      </c>
      <c r="B175" s="2267"/>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122559</v>
      </c>
      <c r="D182" s="1565">
        <v>1047</v>
      </c>
      <c r="E182" s="1565">
        <v>57069</v>
      </c>
      <c r="F182" s="1565">
        <v>35065</v>
      </c>
      <c r="G182" s="1565">
        <v>23429</v>
      </c>
      <c r="H182" s="1565">
        <v>1481</v>
      </c>
      <c r="I182" s="1566">
        <v>0</v>
      </c>
      <c r="J182" s="1566">
        <v>0</v>
      </c>
      <c r="K182" s="1662">
        <f>SUM(C182:J182)</f>
        <v>240650</v>
      </c>
      <c r="L182" s="1565">
        <v>350900</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122559</v>
      </c>
      <c r="D184" s="1671">
        <f t="shared" ref="D184:J184" si="17">SUM(D180,D182,D183)</f>
        <v>1047</v>
      </c>
      <c r="E184" s="1671">
        <f t="shared" si="17"/>
        <v>57069</v>
      </c>
      <c r="F184" s="1671">
        <f t="shared" si="17"/>
        <v>35065</v>
      </c>
      <c r="G184" s="1671">
        <f t="shared" si="17"/>
        <v>23429</v>
      </c>
      <c r="H184" s="1671">
        <f t="shared" si="17"/>
        <v>1481</v>
      </c>
      <c r="I184" s="1671">
        <f t="shared" si="17"/>
        <v>0</v>
      </c>
      <c r="J184" s="1671">
        <f t="shared" si="17"/>
        <v>0</v>
      </c>
      <c r="K184" s="1671">
        <f>SUM(K180,K182,K183)</f>
        <v>240650</v>
      </c>
      <c r="L184" s="1671">
        <f>SUM(L180, L182:L183)</f>
        <v>350900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122559</v>
      </c>
      <c r="D210" s="1664">
        <f>SUM(D184,D185)</f>
        <v>1047</v>
      </c>
      <c r="E210" s="1664">
        <f>SUM(E184,E185,E196)</f>
        <v>57069</v>
      </c>
      <c r="F210" s="1664">
        <f>SUM(F184,F185)</f>
        <v>35065</v>
      </c>
      <c r="G210" s="1664">
        <f>SUM(G184,G185)</f>
        <v>23429</v>
      </c>
      <c r="H210" s="1664">
        <f>SUM(H184,H185,H196,H208,H209)</f>
        <v>1481</v>
      </c>
      <c r="I210" s="1664">
        <f>SUM(I184,I185)</f>
        <v>0</v>
      </c>
      <c r="J210" s="1664">
        <f>SUM(J184,J185)</f>
        <v>0</v>
      </c>
      <c r="K210" s="1662">
        <f>SUM(K184,K185,K196,K208,K209)</f>
        <v>240650</v>
      </c>
      <c r="L210" s="1664">
        <f>SUM(L184,L185,L196,L208,L209)</f>
        <v>350900</v>
      </c>
    </row>
    <row r="211" spans="1:14" ht="13.5" thickTop="1" x14ac:dyDescent="0.2">
      <c r="A211" s="2266" t="s">
        <v>988</v>
      </c>
      <c r="B211" s="2267"/>
      <c r="C211" s="1665"/>
      <c r="D211" s="1665"/>
      <c r="E211" s="1665"/>
      <c r="F211" s="1665"/>
      <c r="G211" s="1665"/>
      <c r="H211" s="1665"/>
      <c r="I211" s="1663"/>
      <c r="J211" s="1663"/>
      <c r="K211" s="1679">
        <f>'Revenues 9-14'!F268-'Expenditures 15-22'!K210</f>
        <v>-15623</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88" t="s">
        <v>958</v>
      </c>
      <c r="B213" s="2289"/>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45148</v>
      </c>
      <c r="E215" s="1663"/>
      <c r="F215" s="1663"/>
      <c r="G215" s="1663"/>
      <c r="H215" s="1663"/>
      <c r="I215" s="1663"/>
      <c r="J215" s="1663"/>
      <c r="K215" s="1662">
        <f>D215</f>
        <v>45148</v>
      </c>
      <c r="L215" s="1565">
        <v>56400</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3173</v>
      </c>
      <c r="E217" s="1663"/>
      <c r="F217" s="1663"/>
      <c r="G217" s="1663"/>
      <c r="H217" s="1663"/>
      <c r="I217" s="1663"/>
      <c r="J217" s="1663"/>
      <c r="K217" s="1662">
        <f t="shared" si="19"/>
        <v>3173</v>
      </c>
      <c r="L217" s="1565">
        <v>3200</v>
      </c>
    </row>
    <row r="218" spans="1:14" x14ac:dyDescent="0.2">
      <c r="A218" s="1267" t="s">
        <v>276</v>
      </c>
      <c r="B218" s="503" t="s">
        <v>961</v>
      </c>
      <c r="C218" s="1663"/>
      <c r="D218" s="1566">
        <v>0</v>
      </c>
      <c r="E218" s="1663"/>
      <c r="F218" s="1663"/>
      <c r="G218" s="1663"/>
      <c r="H218" s="1663"/>
      <c r="I218" s="1663"/>
      <c r="J218" s="1663"/>
      <c r="K218" s="1662">
        <f t="shared" si="19"/>
        <v>0</v>
      </c>
      <c r="L218" s="1565">
        <v>0</v>
      </c>
    </row>
    <row r="219" spans="1:14" x14ac:dyDescent="0.2">
      <c r="A219" s="1267" t="s">
        <v>277</v>
      </c>
      <c r="B219" s="503">
        <v>1250</v>
      </c>
      <c r="C219" s="1663"/>
      <c r="D219" s="1565">
        <v>912</v>
      </c>
      <c r="E219" s="1663"/>
      <c r="F219" s="1663"/>
      <c r="G219" s="1663"/>
      <c r="H219" s="1663"/>
      <c r="I219" s="1663"/>
      <c r="J219" s="1663"/>
      <c r="K219" s="1662">
        <f t="shared" si="19"/>
        <v>912</v>
      </c>
      <c r="L219" s="1565">
        <v>950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716</v>
      </c>
      <c r="E223" s="1663"/>
      <c r="F223" s="1663"/>
      <c r="G223" s="1663"/>
      <c r="H223" s="1663"/>
      <c r="I223" s="1663"/>
      <c r="J223" s="1663"/>
      <c r="K223" s="1662">
        <f t="shared" si="19"/>
        <v>716</v>
      </c>
      <c r="L223" s="1565">
        <v>1332</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0</v>
      </c>
      <c r="E225" s="1663"/>
      <c r="F225" s="1663"/>
      <c r="G225" s="1663"/>
      <c r="H225" s="1663"/>
      <c r="I225" s="1663"/>
      <c r="J225" s="1663"/>
      <c r="K225" s="1662">
        <f t="shared" si="19"/>
        <v>0</v>
      </c>
      <c r="L225" s="1565">
        <v>0</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0</v>
      </c>
      <c r="E227" s="1663"/>
      <c r="F227" s="1663"/>
      <c r="G227" s="1663"/>
      <c r="H227" s="1663"/>
      <c r="I227" s="1663"/>
      <c r="J227" s="1663"/>
      <c r="K227" s="1662">
        <f t="shared" si="19"/>
        <v>0</v>
      </c>
      <c r="L227" s="1565">
        <v>0</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49949</v>
      </c>
      <c r="E229" s="1663"/>
      <c r="F229" s="1663"/>
      <c r="G229" s="1663"/>
      <c r="H229" s="1663"/>
      <c r="I229" s="1663"/>
      <c r="J229" s="1663"/>
      <c r="K229" s="1664">
        <f>SUM(K215:K228)</f>
        <v>49949</v>
      </c>
      <c r="L229" s="1664">
        <f>SUM(L215:L228)</f>
        <v>61882</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701</v>
      </c>
      <c r="E232" s="1663"/>
      <c r="F232" s="1663"/>
      <c r="G232" s="1663"/>
      <c r="H232" s="1663"/>
      <c r="I232" s="1663"/>
      <c r="J232" s="1663"/>
      <c r="K232" s="1662">
        <f t="shared" ref="K232:K237" si="20">D232</f>
        <v>701</v>
      </c>
      <c r="L232" s="1565">
        <v>750</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0</v>
      </c>
      <c r="E234" s="1663"/>
      <c r="F234" s="1663"/>
      <c r="G234" s="1663"/>
      <c r="H234" s="1663"/>
      <c r="I234" s="1663"/>
      <c r="J234" s="1663"/>
      <c r="K234" s="1662">
        <f t="shared" si="20"/>
        <v>0</v>
      </c>
      <c r="L234" s="1565">
        <v>0</v>
      </c>
    </row>
    <row r="235" spans="1:12" x14ac:dyDescent="0.2">
      <c r="A235" s="1267" t="s">
        <v>197</v>
      </c>
      <c r="B235" s="503">
        <v>2140</v>
      </c>
      <c r="C235" s="1663"/>
      <c r="D235" s="1565">
        <v>0</v>
      </c>
      <c r="E235" s="1663"/>
      <c r="F235" s="1663"/>
      <c r="G235" s="1663"/>
      <c r="H235" s="1663"/>
      <c r="I235" s="1663"/>
      <c r="J235" s="1663"/>
      <c r="K235" s="1662">
        <f t="shared" si="20"/>
        <v>0</v>
      </c>
      <c r="L235" s="1565">
        <v>0</v>
      </c>
    </row>
    <row r="236" spans="1:12" x14ac:dyDescent="0.2">
      <c r="A236" s="1267" t="s">
        <v>198</v>
      </c>
      <c r="B236" s="503">
        <v>2150</v>
      </c>
      <c r="C236" s="1663"/>
      <c r="D236" s="1565">
        <v>0</v>
      </c>
      <c r="E236" s="1663"/>
      <c r="F236" s="1663"/>
      <c r="G236" s="1663"/>
      <c r="H236" s="1663"/>
      <c r="I236" s="1663"/>
      <c r="J236" s="1663"/>
      <c r="K236" s="1662">
        <f t="shared" si="20"/>
        <v>0</v>
      </c>
      <c r="L236" s="1565">
        <v>0</v>
      </c>
    </row>
    <row r="237" spans="1:12" x14ac:dyDescent="0.2">
      <c r="A237" s="1267" t="s">
        <v>164</v>
      </c>
      <c r="B237" s="503">
        <v>2190</v>
      </c>
      <c r="C237" s="1663"/>
      <c r="D237" s="1565">
        <v>0</v>
      </c>
      <c r="E237" s="1663"/>
      <c r="F237" s="1663"/>
      <c r="G237" s="1663"/>
      <c r="H237" s="1663"/>
      <c r="I237" s="1663"/>
      <c r="J237" s="1663"/>
      <c r="K237" s="1662">
        <f t="shared" si="20"/>
        <v>0</v>
      </c>
      <c r="L237" s="1565">
        <v>0</v>
      </c>
    </row>
    <row r="238" spans="1:12" ht="12.75" customHeight="1" thickBot="1" x14ac:dyDescent="0.25">
      <c r="A238" s="1373" t="s">
        <v>556</v>
      </c>
      <c r="B238" s="1376" t="s">
        <v>710</v>
      </c>
      <c r="C238" s="1663"/>
      <c r="D238" s="1664">
        <f>SUM(D232:D237)</f>
        <v>701</v>
      </c>
      <c r="E238" s="1663"/>
      <c r="F238" s="1663"/>
      <c r="G238" s="1663"/>
      <c r="H238" s="1663"/>
      <c r="I238" s="1663"/>
      <c r="J238" s="1663"/>
      <c r="K238" s="1664">
        <f>SUM(K232:K237)</f>
        <v>701</v>
      </c>
      <c r="L238" s="1664">
        <f>SUM(L232:L237)</f>
        <v>750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0</v>
      </c>
      <c r="E240" s="1663"/>
      <c r="F240" s="1663"/>
      <c r="G240" s="1663"/>
      <c r="H240" s="1663"/>
      <c r="I240" s="1663"/>
      <c r="J240" s="1663"/>
      <c r="K240" s="1668">
        <f>D240</f>
        <v>0</v>
      </c>
      <c r="L240" s="1577">
        <v>0</v>
      </c>
    </row>
    <row r="241" spans="1:12" x14ac:dyDescent="0.2">
      <c r="A241" s="1267" t="s">
        <v>809</v>
      </c>
      <c r="B241" s="503">
        <v>2220</v>
      </c>
      <c r="C241" s="1663"/>
      <c r="D241" s="1565">
        <v>0</v>
      </c>
      <c r="E241" s="1663"/>
      <c r="F241" s="1663"/>
      <c r="G241" s="1663"/>
      <c r="H241" s="1663"/>
      <c r="I241" s="1663"/>
      <c r="J241" s="1663"/>
      <c r="K241" s="1668">
        <f>D241</f>
        <v>0</v>
      </c>
      <c r="L241" s="1565">
        <v>0</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0</v>
      </c>
      <c r="E243" s="1663"/>
      <c r="F243" s="1663"/>
      <c r="G243" s="1663"/>
      <c r="H243" s="1663"/>
      <c r="I243" s="1663"/>
      <c r="J243" s="1663"/>
      <c r="K243" s="1664">
        <f>SUM(K240:K242)</f>
        <v>0</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472</v>
      </c>
      <c r="E245" s="1663"/>
      <c r="F245" s="1663"/>
      <c r="G245" s="1663"/>
      <c r="H245" s="1663"/>
      <c r="I245" s="1663"/>
      <c r="J245" s="1663"/>
      <c r="K245" s="1668">
        <f>D245</f>
        <v>472</v>
      </c>
      <c r="L245" s="1577">
        <v>520</v>
      </c>
    </row>
    <row r="246" spans="1:12" x14ac:dyDescent="0.2">
      <c r="A246" s="1267" t="s">
        <v>812</v>
      </c>
      <c r="B246" s="503">
        <v>2320</v>
      </c>
      <c r="C246" s="1663"/>
      <c r="D246" s="1565">
        <v>3203</v>
      </c>
      <c r="E246" s="1663"/>
      <c r="F246" s="1663"/>
      <c r="G246" s="1663"/>
      <c r="H246" s="1663"/>
      <c r="I246" s="1663"/>
      <c r="J246" s="1663"/>
      <c r="K246" s="1668">
        <f t="shared" ref="K246:K256" si="21">D246</f>
        <v>3203</v>
      </c>
      <c r="L246" s="1565">
        <v>3000</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3675</v>
      </c>
      <c r="E257" s="1663"/>
      <c r="F257" s="1663"/>
      <c r="G257" s="1663"/>
      <c r="H257" s="1663"/>
      <c r="I257" s="1663"/>
      <c r="J257" s="1663"/>
      <c r="K257" s="1664">
        <f>SUM(K245:K256)</f>
        <v>3675</v>
      </c>
      <c r="L257" s="1664">
        <f>SUM(L245:L256)</f>
        <v>3520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8317</v>
      </c>
      <c r="E259" s="1663"/>
      <c r="F259" s="1663"/>
      <c r="G259" s="1663"/>
      <c r="H259" s="1663"/>
      <c r="I259" s="1663"/>
      <c r="J259" s="1663"/>
      <c r="K259" s="1668">
        <f>D259</f>
        <v>8317</v>
      </c>
      <c r="L259" s="1577">
        <v>14700</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8317</v>
      </c>
      <c r="E261" s="1663"/>
      <c r="F261" s="1663"/>
      <c r="G261" s="1663"/>
      <c r="H261" s="1663"/>
      <c r="I261" s="1663"/>
      <c r="J261" s="1663"/>
      <c r="K261" s="1664">
        <f>SUM(K259:K260)</f>
        <v>8317</v>
      </c>
      <c r="L261" s="1664">
        <f>SUM(L259:L260)</f>
        <v>14700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0</v>
      </c>
      <c r="E263" s="1663"/>
      <c r="F263" s="1663"/>
      <c r="G263" s="1663"/>
      <c r="H263" s="1663"/>
      <c r="I263" s="1663"/>
      <c r="J263" s="1663"/>
      <c r="K263" s="1668">
        <f>D263</f>
        <v>0</v>
      </c>
      <c r="L263" s="1577">
        <v>0</v>
      </c>
    </row>
    <row r="264" spans="1:14" x14ac:dyDescent="0.2">
      <c r="A264" s="1267" t="s">
        <v>460</v>
      </c>
      <c r="B264" s="559">
        <v>2520</v>
      </c>
      <c r="C264" s="1663"/>
      <c r="D264" s="1565">
        <v>11133</v>
      </c>
      <c r="E264" s="1663"/>
      <c r="F264" s="1663"/>
      <c r="G264" s="1663"/>
      <c r="H264" s="1663"/>
      <c r="I264" s="1663"/>
      <c r="J264" s="1663"/>
      <c r="K264" s="1668">
        <f t="shared" ref="K264:K269" si="22">D264</f>
        <v>11133</v>
      </c>
      <c r="L264" s="1565">
        <v>11900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17150</v>
      </c>
      <c r="E266" s="1663"/>
      <c r="F266" s="1663"/>
      <c r="G266" s="1663"/>
      <c r="H266" s="1663"/>
      <c r="I266" s="1663"/>
      <c r="J266" s="1663"/>
      <c r="K266" s="1668">
        <f t="shared" si="22"/>
        <v>17150</v>
      </c>
      <c r="L266" s="1565">
        <v>17600</v>
      </c>
    </row>
    <row r="267" spans="1:14" x14ac:dyDescent="0.2">
      <c r="A267" s="1267" t="s">
        <v>946</v>
      </c>
      <c r="B267" s="503">
        <v>2550</v>
      </c>
      <c r="C267" s="1663"/>
      <c r="D267" s="1565">
        <v>18321</v>
      </c>
      <c r="E267" s="1663"/>
      <c r="F267" s="1663"/>
      <c r="G267" s="1663"/>
      <c r="H267" s="1663"/>
      <c r="I267" s="1663"/>
      <c r="J267" s="1663"/>
      <c r="K267" s="1668">
        <f t="shared" si="22"/>
        <v>18321</v>
      </c>
      <c r="L267" s="1565">
        <v>22500</v>
      </c>
    </row>
    <row r="268" spans="1:14" x14ac:dyDescent="0.2">
      <c r="A268" s="1267" t="s">
        <v>100</v>
      </c>
      <c r="B268" s="503">
        <v>2560</v>
      </c>
      <c r="C268" s="1663"/>
      <c r="D268" s="1565">
        <v>5873</v>
      </c>
      <c r="E268" s="1663"/>
      <c r="F268" s="1663"/>
      <c r="G268" s="1663"/>
      <c r="H268" s="1663"/>
      <c r="I268" s="1663"/>
      <c r="J268" s="1663"/>
      <c r="K268" s="1668">
        <f t="shared" si="22"/>
        <v>5873</v>
      </c>
      <c r="L268" s="1565">
        <v>7200</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52477</v>
      </c>
      <c r="E270" s="1663"/>
      <c r="F270" s="1663"/>
      <c r="G270" s="1663"/>
      <c r="H270" s="1663"/>
      <c r="I270" s="1663"/>
      <c r="J270" s="1663"/>
      <c r="K270" s="1664">
        <f>SUM(K263:K269)</f>
        <v>52477</v>
      </c>
      <c r="L270" s="1664">
        <f>SUM(L263:L269)</f>
        <v>59200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65170</v>
      </c>
      <c r="E279" s="1663"/>
      <c r="F279" s="1663"/>
      <c r="G279" s="1663"/>
      <c r="H279" s="1663"/>
      <c r="I279" s="1663"/>
      <c r="J279" s="1663"/>
      <c r="K279" s="1671">
        <f>SUM(K238,K243,K257,K261,K270,K277,K278)</f>
        <v>65170</v>
      </c>
      <c r="L279" s="1671">
        <f>SUM(L238,L243,L257,L261,L270,L277,L278)</f>
        <v>78170</v>
      </c>
    </row>
    <row r="280" spans="1:12" ht="15.75" customHeight="1" thickTop="1" thickBot="1" x14ac:dyDescent="0.25">
      <c r="A280" s="1355" t="s">
        <v>869</v>
      </c>
      <c r="B280" s="1344">
        <v>3000</v>
      </c>
      <c r="C280" s="1663"/>
      <c r="D280" s="1641">
        <v>0</v>
      </c>
      <c r="E280" s="1663"/>
      <c r="F280" s="1663"/>
      <c r="G280" s="1663"/>
      <c r="H280" s="1663"/>
      <c r="I280" s="1663"/>
      <c r="J280" s="1663"/>
      <c r="K280" s="1677">
        <f>D280</f>
        <v>0</v>
      </c>
      <c r="L280" s="1641">
        <v>0</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0</v>
      </c>
      <c r="E283" s="1663"/>
      <c r="F283" s="1663"/>
      <c r="G283" s="1663"/>
      <c r="H283" s="1663"/>
      <c r="I283" s="1663"/>
      <c r="J283" s="1663"/>
      <c r="K283" s="1662">
        <f>D283</f>
        <v>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4" t="s">
        <v>502</v>
      </c>
      <c r="B295" s="2285"/>
      <c r="C295" s="1663"/>
      <c r="D295" s="1664">
        <f>SUM(D229,D279,D280,D285)</f>
        <v>115119</v>
      </c>
      <c r="E295" s="1663"/>
      <c r="F295" s="1663"/>
      <c r="G295" s="1663"/>
      <c r="H295" s="1664">
        <f>H293</f>
        <v>0</v>
      </c>
      <c r="I295" s="1663"/>
      <c r="J295" s="1663"/>
      <c r="K295" s="1664">
        <f>SUM(K229,K279,K280,K285,K293,K294)</f>
        <v>115119</v>
      </c>
      <c r="L295" s="1664">
        <f>SUM(L229,L279,L280,L285,L293,L294)</f>
        <v>140052</v>
      </c>
    </row>
    <row r="296" spans="1:14" ht="13.5" thickTop="1" x14ac:dyDescent="0.2">
      <c r="A296" s="2266" t="s">
        <v>988</v>
      </c>
      <c r="B296" s="2267"/>
      <c r="C296" s="1663"/>
      <c r="D296" s="1665"/>
      <c r="E296" s="1663"/>
      <c r="F296" s="1663"/>
      <c r="G296" s="1663"/>
      <c r="H296" s="1697"/>
      <c r="I296" s="1663"/>
      <c r="J296" s="1663"/>
      <c r="K296" s="1679">
        <f>'Revenues 9-14'!G268-'Expenditures 15-22'!K295</f>
        <v>36185</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6" t="s">
        <v>142</v>
      </c>
      <c r="B298" s="2270"/>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300</v>
      </c>
      <c r="F301" s="1565">
        <v>582</v>
      </c>
      <c r="G301" s="1565">
        <v>554178</v>
      </c>
      <c r="H301" s="1565">
        <v>0</v>
      </c>
      <c r="I301" s="1566">
        <v>0</v>
      </c>
      <c r="J301" s="1566">
        <v>0</v>
      </c>
      <c r="K301" s="1662">
        <f>SUM(C301:J301)</f>
        <v>555060</v>
      </c>
      <c r="L301" s="1566">
        <v>622200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300</v>
      </c>
      <c r="F303" s="1671">
        <f t="shared" si="23"/>
        <v>582</v>
      </c>
      <c r="G303" s="1671">
        <f t="shared" si="23"/>
        <v>554178</v>
      </c>
      <c r="H303" s="1671">
        <f t="shared" si="23"/>
        <v>0</v>
      </c>
      <c r="I303" s="1671">
        <f t="shared" si="23"/>
        <v>0</v>
      </c>
      <c r="J303" s="1671">
        <f t="shared" si="23"/>
        <v>0</v>
      </c>
      <c r="K303" s="1671">
        <f t="shared" si="23"/>
        <v>555060</v>
      </c>
      <c r="L303" s="1671">
        <f t="shared" si="23"/>
        <v>622200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1" t="s">
        <v>275</v>
      </c>
      <c r="B312" s="2282"/>
      <c r="C312" s="1664">
        <f>SUM(C303)</f>
        <v>0</v>
      </c>
      <c r="D312" s="1664">
        <f>SUM(D303)</f>
        <v>0</v>
      </c>
      <c r="E312" s="1664">
        <f>SUM(E303,E310)</f>
        <v>300</v>
      </c>
      <c r="F312" s="1664">
        <f>SUM(F303)</f>
        <v>582</v>
      </c>
      <c r="G312" s="1664">
        <f>SUM(G303)</f>
        <v>554178</v>
      </c>
      <c r="H312" s="1664">
        <f>SUM(H303,H310)</f>
        <v>0</v>
      </c>
      <c r="I312" s="1664">
        <f>SUM(I303)</f>
        <v>0</v>
      </c>
      <c r="J312" s="1664">
        <f>SUM(J303)</f>
        <v>0</v>
      </c>
      <c r="K312" s="1664">
        <f>SUM(K303,K310,K311)</f>
        <v>555060</v>
      </c>
      <c r="L312" s="1664">
        <f>SUM(L303,L310,L311)</f>
        <v>622200</v>
      </c>
      <c r="M312" s="539"/>
      <c r="N312" s="539"/>
    </row>
    <row r="313" spans="1:14" ht="13.5" thickTop="1" x14ac:dyDescent="0.2">
      <c r="A313" s="2277" t="s">
        <v>988</v>
      </c>
      <c r="B313" s="2278"/>
      <c r="C313" s="1667"/>
      <c r="D313" s="1667"/>
      <c r="E313" s="1667"/>
      <c r="F313" s="1667"/>
      <c r="G313" s="1667"/>
      <c r="H313" s="1667"/>
      <c r="I313" s="1667"/>
      <c r="J313" s="1667"/>
      <c r="K313" s="1686">
        <f>'Revenues 9-14'!H268-'Expenditures 15-22'!K312</f>
        <v>-553338</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0" t="s">
        <v>148</v>
      </c>
      <c r="B315" s="2291"/>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2" t="s">
        <v>891</v>
      </c>
      <c r="B317" s="2291"/>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0</v>
      </c>
      <c r="F320" s="1566">
        <v>0</v>
      </c>
      <c r="G320" s="1566">
        <v>0</v>
      </c>
      <c r="H320" s="1566">
        <v>0</v>
      </c>
      <c r="I320" s="1566">
        <v>0</v>
      </c>
      <c r="J320" s="1566">
        <v>0</v>
      </c>
      <c r="K320" s="1662">
        <f t="shared" ref="K320:K327" si="24">SUM(C320:J320)</f>
        <v>0</v>
      </c>
      <c r="L320" s="1566">
        <v>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50404</v>
      </c>
      <c r="F322" s="1566">
        <v>0</v>
      </c>
      <c r="G322" s="1566">
        <v>0</v>
      </c>
      <c r="H322" s="1566">
        <v>0</v>
      </c>
      <c r="I322" s="1566">
        <v>0</v>
      </c>
      <c r="J322" s="1566">
        <v>0</v>
      </c>
      <c r="K322" s="1662">
        <f t="shared" si="24"/>
        <v>50404</v>
      </c>
      <c r="L322" s="1566">
        <v>52500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0</v>
      </c>
      <c r="F327" s="1566">
        <v>0</v>
      </c>
      <c r="G327" s="1566">
        <v>0</v>
      </c>
      <c r="H327" s="1566">
        <v>0</v>
      </c>
      <c r="I327" s="1566">
        <v>0</v>
      </c>
      <c r="J327" s="1566">
        <v>0</v>
      </c>
      <c r="K327" s="1662">
        <f t="shared" si="24"/>
        <v>0</v>
      </c>
      <c r="L327" s="1566">
        <v>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50404</v>
      </c>
      <c r="F330" s="1664">
        <f t="shared" si="25"/>
        <v>0</v>
      </c>
      <c r="G330" s="1664">
        <f t="shared" si="25"/>
        <v>0</v>
      </c>
      <c r="H330" s="1664">
        <f t="shared" si="25"/>
        <v>0</v>
      </c>
      <c r="I330" s="1664">
        <f t="shared" si="25"/>
        <v>0</v>
      </c>
      <c r="J330" s="1664">
        <f t="shared" si="25"/>
        <v>0</v>
      </c>
      <c r="K330" s="1664">
        <f>SUM(K319:K329)</f>
        <v>50404</v>
      </c>
      <c r="L330" s="1664">
        <f>SUM(L319:L329)</f>
        <v>52500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50404</v>
      </c>
      <c r="F342" s="1664">
        <f>SUM(F330)</f>
        <v>0</v>
      </c>
      <c r="G342" s="1664">
        <f>SUM(G330)</f>
        <v>0</v>
      </c>
      <c r="H342" s="1664">
        <f>SUM(H330,H334,H340)</f>
        <v>0</v>
      </c>
      <c r="I342" s="1664">
        <f>SUM(I330)</f>
        <v>0</v>
      </c>
      <c r="J342" s="1664">
        <f>SUM(J330)</f>
        <v>0</v>
      </c>
      <c r="K342" s="1664">
        <f>SUM(K330,K334,K340)</f>
        <v>50404</v>
      </c>
      <c r="L342" s="1671">
        <f>SUM(L330,L334,L340,L341)</f>
        <v>52500</v>
      </c>
    </row>
    <row r="343" spans="1:14" ht="12.75" customHeight="1" thickTop="1" x14ac:dyDescent="0.2">
      <c r="A343" s="2279" t="s">
        <v>988</v>
      </c>
      <c r="B343" s="2280"/>
      <c r="C343" s="1663"/>
      <c r="D343" s="1663"/>
      <c r="E343" s="1663"/>
      <c r="F343" s="1663"/>
      <c r="G343" s="1663"/>
      <c r="H343" s="1663"/>
      <c r="I343" s="1663"/>
      <c r="J343" s="1663"/>
      <c r="K343" s="1679">
        <f>'Revenues 9-14'!J268-'Expenditures 15-22'!K342</f>
        <v>-7721</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69" t="s">
        <v>959</v>
      </c>
      <c r="B345" s="2270"/>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0</v>
      </c>
      <c r="H348" s="1565">
        <v>0</v>
      </c>
      <c r="I348" s="1566">
        <v>0</v>
      </c>
      <c r="J348" s="1566">
        <v>0</v>
      </c>
      <c r="K348" s="1662">
        <f>SUM(C348:J348)</f>
        <v>0</v>
      </c>
      <c r="L348" s="1565">
        <v>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6" t="s">
        <v>988</v>
      </c>
      <c r="B368" s="2267"/>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6ce3111e-7420-4802-b50a-75d4e9a0b980"/>
    <ds:schemaRef ds:uri="http://schemas.microsoft.com/office/infopath/2007/PartnerControls"/>
    <ds:schemaRef ds:uri="http://schemas.openxmlformats.org/package/2006/metadata/core-properties"/>
    <ds:schemaRef ds:uri="http://purl.org/dc/dcmitype/"/>
    <ds:schemaRef ds:uri="http://purl.org/dc/terms/"/>
    <ds:schemaRef ds:uri="http://schemas.microsoft.com/office/2006/metadata/properties"/>
    <ds:schemaRef ds:uri="d21dc803-237d-4c68-8692-8d731fd29118"/>
    <ds:schemaRef ds:uri="4d435f69-8686-490b-bd6d-b153bf22ab50"/>
    <ds:schemaRef ds:uri="http://www.w3.org/XML/1998/namespace"/>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2020-08-04T17:27:40Z</cp:lastPrinted>
  <dcterms:created xsi:type="dcterms:W3CDTF">2003-10-29T19:06:34Z</dcterms:created>
  <dcterms:modified xsi:type="dcterms:W3CDTF">2020-10-07T14:55:47Z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2a</vt:lpwstr>
  </property>
</Properties>
</file>