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4DC316D-0409-43B2-A932-C1B31E20D3C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8"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SEFA NOTES" sheetId="173" r:id="rId31"/>
    <sheet name="SF&amp;QC Sec-1" sheetId="174" r:id="rId32"/>
    <sheet name="SF&amp;QC Sec-2" sheetId="186" r:id="rId33"/>
    <sheet name="SF&amp;QC Sec-2 (2)" sheetId="187" r:id="rId34"/>
    <sheet name="SF&amp;QC Sec-3" sheetId="176" r:id="rId35"/>
    <sheet name="SSPAF" sheetId="177" r:id="rId36"/>
  </sheets>
  <definedNames>
    <definedName name="_xlnm._FilterDatabase" localSheetId="23" hidden="1">'AFR20'!$A$1:$F$7884</definedName>
    <definedName name="_xlnm.Print_Area" localSheetId="27">' SEFA'!$B$1:$M$50</definedName>
    <definedName name="_xlnm.Print_Area" localSheetId="28">' SEFA (2)'!$B$1:$M$50</definedName>
    <definedName name="_xlnm.Print_Area" localSheetId="29">' SEFA (3)'!$B$1:$M$49</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8" l="1"/>
  <c r="L53" i="188" s="1"/>
  <c r="J6" i="188"/>
  <c r="L52" i="188" s="1"/>
  <c r="L12" i="188"/>
  <c r="L13" i="188"/>
  <c r="L14" i="188"/>
  <c r="L15" i="188"/>
  <c r="L16" i="188"/>
  <c r="L17" i="188"/>
  <c r="H18" i="188"/>
  <c r="L18" i="188"/>
  <c r="I19" i="188"/>
  <c r="J19" i="188"/>
  <c r="K19" i="188"/>
  <c r="G68" i="188"/>
  <c r="G12" i="188" s="1"/>
  <c r="H68" i="188"/>
  <c r="G13" i="188" s="1"/>
  <c r="I68" i="188"/>
  <c r="G14" i="188" s="1"/>
  <c r="J68" i="188"/>
  <c r="G15" i="188" s="1"/>
  <c r="K68" i="188"/>
  <c r="G16" i="188" s="1"/>
  <c r="L68" i="188"/>
  <c r="G17" i="188" s="1"/>
  <c r="M68" i="188"/>
  <c r="L19" i="188" l="1"/>
  <c r="G19" i="188"/>
  <c r="C10" i="187" l="1"/>
  <c r="C10" i="186"/>
  <c r="E32" i="184" l="1"/>
  <c r="G29" i="184"/>
  <c r="E29" i="184"/>
  <c r="G24" i="185" l="1"/>
  <c r="F24" i="185"/>
  <c r="E24" i="185"/>
  <c r="G15" i="185"/>
  <c r="E15" i="185"/>
  <c r="I32" i="184"/>
  <c r="G32" i="184"/>
  <c r="I29" i="184"/>
  <c r="M23" i="184"/>
  <c r="I23" i="184"/>
  <c r="G23" i="184"/>
  <c r="E23" i="184"/>
  <c r="G20" i="184"/>
  <c r="E20" i="184"/>
  <c r="G25" i="179"/>
  <c r="E25" i="179"/>
  <c r="G21" i="179"/>
  <c r="E21" i="179"/>
  <c r="E24" i="184" l="1"/>
  <c r="G24" i="184"/>
  <c r="G16" i="185" s="1"/>
  <c r="G28" i="179"/>
  <c r="G29" i="179" s="1"/>
  <c r="E28" i="179"/>
  <c r="E29" i="179" s="1"/>
  <c r="I18" i="179"/>
  <c r="E16" i="185" l="1"/>
  <c r="G26" i="185"/>
  <c r="G25" i="185" s="1"/>
  <c r="F26" i="185"/>
  <c r="F25" i="185" s="1"/>
  <c r="E26" i="185"/>
  <c r="E25" i="185" s="1"/>
  <c r="I22" i="185"/>
  <c r="I24" i="185" l="1"/>
  <c r="I26" i="185"/>
  <c r="I25" i="185" s="1"/>
  <c r="G28" i="185"/>
  <c r="E28" i="185"/>
  <c r="I13" i="185" l="1"/>
  <c r="I15" i="185" s="1"/>
  <c r="F13" i="185"/>
  <c r="F15" i="185" s="1"/>
  <c r="F30" i="184"/>
  <c r="F32" i="184" s="1"/>
  <c r="F21" i="184" l="1"/>
  <c r="F23" i="184" s="1"/>
  <c r="F18" i="184" l="1"/>
  <c r="I16" i="184" l="1"/>
  <c r="I20" i="184" s="1"/>
  <c r="I24" i="184" s="1"/>
  <c r="F26" i="184"/>
  <c r="F29" i="184" s="1"/>
  <c r="F14" i="184"/>
  <c r="I24" i="179"/>
  <c r="I23" i="179"/>
  <c r="F23" i="179"/>
  <c r="F25" i="179" s="1"/>
  <c r="I20" i="179"/>
  <c r="I25" i="179" l="1"/>
  <c r="I16" i="185"/>
  <c r="F20" i="184"/>
  <c r="F24" i="184" s="1"/>
  <c r="F16" i="185" s="1"/>
  <c r="I19" i="179"/>
  <c r="I21" i="179" s="1"/>
  <c r="I28" i="179" s="1"/>
  <c r="I29" i="179" s="1"/>
  <c r="F19" i="179"/>
  <c r="L26" i="185"/>
  <c r="L25" i="185" s="1"/>
  <c r="L23" i="185"/>
  <c r="L22" i="185"/>
  <c r="L14" i="185"/>
  <c r="L13" i="185"/>
  <c r="I9" i="185"/>
  <c r="G9" i="185"/>
  <c r="F9" i="185"/>
  <c r="E9" i="185"/>
  <c r="J8" i="185"/>
  <c r="H8" i="185"/>
  <c r="L31" i="184"/>
  <c r="L30" i="184"/>
  <c r="L27" i="184"/>
  <c r="L26" i="184"/>
  <c r="L22" i="184"/>
  <c r="L21" i="184"/>
  <c r="L19" i="184"/>
  <c r="L18" i="184"/>
  <c r="L16" i="184"/>
  <c r="L15" i="184"/>
  <c r="L14" i="184"/>
  <c r="I9" i="184"/>
  <c r="G9" i="184"/>
  <c r="F9" i="184"/>
  <c r="E9" i="184"/>
  <c r="J8" i="184"/>
  <c r="H8" i="184"/>
  <c r="L29" i="184" l="1"/>
  <c r="L24" i="185"/>
  <c r="L15" i="185"/>
  <c r="L32" i="184"/>
  <c r="L23" i="184"/>
  <c r="L20" i="184"/>
  <c r="F21" i="179"/>
  <c r="F28" i="179" s="1"/>
  <c r="F29" i="179" s="1"/>
  <c r="F28" i="185" s="1"/>
  <c r="D35" i="171" s="1"/>
  <c r="I28" i="185"/>
  <c r="L24" i="184" l="1"/>
  <c r="L16" i="185" s="1"/>
  <c r="L28" i="185"/>
  <c r="D45" i="17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6"/>
  <c r="B4" i="185"/>
  <c r="B4" i="184"/>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9" i="179" l="1"/>
  <c r="L26" i="179"/>
  <c r="L24" i="179"/>
  <c r="L23" i="179"/>
  <c r="L20" i="179"/>
  <c r="L19" i="179"/>
  <c r="L18" i="179"/>
  <c r="L25" i="179" l="1"/>
  <c r="L21" i="179"/>
  <c r="D14" i="171"/>
  <c r="A10" i="169"/>
  <c r="A16" i="169"/>
  <c r="A15" i="169"/>
  <c r="A14" i="169"/>
  <c r="K18" i="169"/>
  <c r="G18" i="169"/>
  <c r="G15" i="169"/>
  <c r="I13" i="169"/>
  <c r="G11" i="169"/>
  <c r="G10" i="169"/>
  <c r="G9" i="169"/>
  <c r="G7" i="169"/>
  <c r="E7" i="169"/>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7"/>
  <c r="B2" i="187"/>
  <c r="B2" i="186"/>
  <c r="L28" i="179"/>
  <c r="B1" i="184"/>
  <c r="B1" i="185"/>
  <c r="B2" i="179"/>
  <c r="B2" i="185"/>
  <c r="B2" i="184"/>
  <c r="B2" i="177"/>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B76" i="106"/>
  <c r="D76" i="106" s="1"/>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B763" i="106"/>
  <c r="D763" i="106" s="1"/>
  <c r="D765" i="106"/>
  <c r="D766" i="106"/>
  <c r="D767" i="106"/>
  <c r="D768" i="106"/>
  <c r="D769" i="106"/>
  <c r="B770" i="106"/>
  <c r="D770" i="106" s="1"/>
  <c r="D771" i="106"/>
  <c r="D772" i="106"/>
  <c r="D773" i="106"/>
  <c r="B776" i="106"/>
  <c r="D776" i="106" s="1"/>
  <c r="B779" i="106"/>
  <c r="D779" i="106" s="1"/>
  <c r="B781" i="106"/>
  <c r="D781" i="106" s="1"/>
  <c r="B782" i="106"/>
  <c r="D782" i="106" s="1"/>
  <c r="B783" i="106"/>
  <c r="D783" i="106" s="1"/>
  <c r="B786" i="106"/>
  <c r="D786" i="106" s="1"/>
  <c r="B791" i="106"/>
  <c r="D791" i="106" s="1"/>
  <c r="B793" i="106"/>
  <c r="D793" i="106" s="1"/>
  <c r="B794" i="106"/>
  <c r="D794" i="106" s="1"/>
  <c r="D57" i="29"/>
  <c r="B795" i="106" s="1"/>
  <c r="D795" i="106" s="1"/>
  <c r="B796" i="106"/>
  <c r="D796" i="106" s="1"/>
  <c r="B797" i="106"/>
  <c r="D797" i="106" s="1"/>
  <c r="B798" i="106"/>
  <c r="D798" i="106" s="1"/>
  <c r="B800" i="106"/>
  <c r="D800" i="106" s="1"/>
  <c r="D802" i="106"/>
  <c r="D808" i="106"/>
  <c r="B809" i="106"/>
  <c r="D809" i="106" s="1"/>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6" i="106"/>
  <c r="D3056" i="106" s="1"/>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8" i="106"/>
  <c r="D3368" i="106" s="1"/>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B3411" i="106"/>
  <c r="D3411" i="106" s="1"/>
  <c r="D3412" i="106"/>
  <c r="D3413" i="106"/>
  <c r="D3415" i="106"/>
  <c r="D3416" i="106"/>
  <c r="B3417" i="106"/>
  <c r="D3417" i="106" s="1"/>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14" i="106"/>
  <c r="D5114" i="106" s="1"/>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27" i="106"/>
  <c r="D6127" i="106" s="1"/>
  <c r="B6144" i="106"/>
  <c r="D6144" i="106" s="1"/>
  <c r="B6169" i="106"/>
  <c r="D6169"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4" i="36"/>
  <c r="D36" i="36"/>
  <c r="D39" i="36"/>
  <c r="D42" i="36"/>
  <c r="B62" i="127"/>
  <c r="B63"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D22" i="37"/>
  <c r="L22" i="37"/>
  <c r="D24" i="37" l="1"/>
  <c r="B4270" i="106" s="1"/>
  <c r="D4270" i="106" s="1"/>
  <c r="H28" i="118"/>
  <c r="H33"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K28" i="118" l="1"/>
  <c r="O27" i="118" s="1"/>
  <c r="O29" i="118"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1673" i="106" l="1"/>
  <c r="D1673" i="106" s="1"/>
  <c r="B3589" i="106"/>
  <c r="D3589" i="106" s="1"/>
  <c r="B6264" i="106"/>
  <c r="D6264" i="106" s="1"/>
  <c r="B1631" i="106"/>
  <c r="D1631" i="106" s="1"/>
  <c r="B1645" i="106"/>
  <c r="D1645" i="106" s="1"/>
  <c r="B279" i="106"/>
  <c r="D279" i="106" s="1"/>
  <c r="B2916" i="106"/>
  <c r="D2916" i="106" s="1"/>
  <c r="L41" i="3"/>
  <c r="F24" i="37"/>
  <c r="A7259" i="106"/>
  <c r="H37" i="37"/>
  <c r="B285" i="106"/>
  <c r="D285" i="106" s="1"/>
  <c r="N37" i="3"/>
  <c r="B4113" i="106" l="1"/>
  <c r="D4113" i="106" s="1"/>
  <c r="D78" i="36"/>
  <c r="C18" i="4"/>
  <c r="B4131" i="106" s="1"/>
  <c r="D4131" i="106" s="1"/>
  <c r="B280" i="106"/>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B5330" i="106" l="1"/>
  <c r="D5330" i="106" s="1"/>
  <c r="B6110" i="106"/>
  <c r="D6110" i="106" s="1"/>
  <c r="D65" i="29"/>
  <c r="B803" i="106" s="1"/>
  <c r="D803" i="106" s="1"/>
  <c r="B799" i="106"/>
  <c r="D799" i="106" s="1"/>
  <c r="K26" i="29"/>
  <c r="B6888" i="106"/>
  <c r="D6888" i="106" s="1"/>
  <c r="B7731" i="106"/>
  <c r="D7731" i="106" s="1"/>
  <c r="B5464" i="106"/>
  <c r="D5464" i="106" s="1"/>
  <c r="B1041" i="106"/>
  <c r="D1041" i="106" s="1"/>
  <c r="B6721" i="106"/>
  <c r="D6721" i="106" s="1"/>
  <c r="B7129" i="106"/>
  <c r="D7129" i="106" s="1"/>
  <c r="H34" i="3"/>
  <c r="B211" i="106" s="1"/>
  <c r="D211" i="106" s="1"/>
  <c r="B6130" i="106"/>
  <c r="D6130" i="106" s="1"/>
  <c r="B5586" i="106"/>
  <c r="D5586" i="106" s="1"/>
  <c r="B6237" i="106"/>
  <c r="D6237" i="106" s="1"/>
  <c r="B7638" i="106"/>
  <c r="B6968" i="106"/>
  <c r="D6968" i="106" s="1"/>
  <c r="B6343" i="106"/>
  <c r="D6343" i="106" s="1"/>
  <c r="B833" i="106"/>
  <c r="D833" i="106" s="1"/>
  <c r="B6690" i="106"/>
  <c r="D6690" i="106" s="1"/>
  <c r="F143" i="34"/>
  <c r="J33" i="29"/>
  <c r="B6903" i="106" s="1"/>
  <c r="D6903" i="106" s="1"/>
  <c r="B6845" i="106"/>
  <c r="D6845" i="106" s="1"/>
  <c r="B5514" i="106"/>
  <c r="D5514" i="106" s="1"/>
  <c r="E18" i="5"/>
  <c r="B5518" i="106" s="1"/>
  <c r="D5518" i="106" s="1"/>
  <c r="B7100" i="106"/>
  <c r="D7100" i="106" s="1"/>
  <c r="J303" i="29"/>
  <c r="B618" i="106"/>
  <c r="D618" i="106" s="1"/>
  <c r="F104" i="34"/>
  <c r="B7841" i="106" s="1"/>
  <c r="D7841" i="106" s="1"/>
  <c r="B4761" i="106"/>
  <c r="D4761" i="106" s="1"/>
  <c r="B5139" i="106"/>
  <c r="D5139" i="106" s="1"/>
  <c r="B4327" i="106"/>
  <c r="D4327" i="106" s="1"/>
  <c r="B5515" i="106"/>
  <c r="D5515" i="106" s="1"/>
  <c r="B6114" i="106"/>
  <c r="D6114" i="106" s="1"/>
  <c r="B6345" i="106"/>
  <c r="D6345" i="106" s="1"/>
  <c r="B944" i="106"/>
  <c r="D944" i="106" s="1"/>
  <c r="C42" i="29"/>
  <c r="K36" i="29"/>
  <c r="B721" i="106"/>
  <c r="D721" i="106" s="1"/>
  <c r="B156" i="106"/>
  <c r="D156" i="106" s="1"/>
  <c r="J122" i="5"/>
  <c r="B6353" i="106"/>
  <c r="D6353" i="106" s="1"/>
  <c r="B6760" i="106"/>
  <c r="D6760" i="106" s="1"/>
  <c r="B4359" i="106"/>
  <c r="D4359" i="106" s="1"/>
  <c r="I169" i="5"/>
  <c r="B6372" i="106"/>
  <c r="D6372" i="106" s="1"/>
  <c r="F150" i="34"/>
  <c r="B6769" i="106"/>
  <c r="D6769" i="106" s="1"/>
  <c r="B5014" i="106"/>
  <c r="D5014" i="106" s="1"/>
  <c r="B6679" i="106"/>
  <c r="D6679" i="106" s="1"/>
  <c r="B4884" i="106"/>
  <c r="D4884" i="106" s="1"/>
  <c r="H181" i="5"/>
  <c r="B5908" i="106" s="1"/>
  <c r="D5908" i="106" s="1"/>
  <c r="B5907" i="106"/>
  <c r="D5907" i="106" s="1"/>
  <c r="K52" i="4"/>
  <c r="B3698" i="106"/>
  <c r="D3698" i="106" s="1"/>
  <c r="B6164" i="106"/>
  <c r="D6164" i="106" s="1"/>
  <c r="B4217" i="106"/>
  <c r="D4217" i="106" s="1"/>
  <c r="B6746" i="106"/>
  <c r="D6746" i="106" s="1"/>
  <c r="B6806" i="106"/>
  <c r="D6806" i="106" s="1"/>
  <c r="B6814" i="106"/>
  <c r="D6814" i="106" s="1"/>
  <c r="B6958" i="106"/>
  <c r="D6958" i="106" s="1"/>
  <c r="B5606" i="106"/>
  <c r="D5606" i="106" s="1"/>
  <c r="B6985" i="106"/>
  <c r="D6985" i="106" s="1"/>
  <c r="K87" i="29"/>
  <c r="B6986" i="106" s="1"/>
  <c r="D6986" i="106" s="1"/>
  <c r="B7660" i="106"/>
  <c r="D7660" i="106" s="1"/>
  <c r="B6166" i="106"/>
  <c r="D6166" i="106" s="1"/>
  <c r="B5233" i="106"/>
  <c r="D5233" i="106" s="1"/>
  <c r="C188" i="5"/>
  <c r="B1519" i="106"/>
  <c r="D1519" i="106" s="1"/>
  <c r="C303" i="29"/>
  <c r="K301" i="29"/>
  <c r="B6182" i="106"/>
  <c r="D6182" i="106" s="1"/>
  <c r="B2990" i="106"/>
  <c r="D2990" i="106" s="1"/>
  <c r="K189" i="29"/>
  <c r="B3008" i="106" s="1"/>
  <c r="D3008" i="106" s="1"/>
  <c r="E108" i="5"/>
  <c r="B5526" i="106" s="1"/>
  <c r="D5526" i="106" s="1"/>
  <c r="B5522" i="106"/>
  <c r="D5522" i="106" s="1"/>
  <c r="B1415" i="106"/>
  <c r="D1415" i="106" s="1"/>
  <c r="K236" i="29"/>
  <c r="B1479" i="106" s="1"/>
  <c r="D1479" i="106" s="1"/>
  <c r="B6355" i="106"/>
  <c r="D6355" i="106" s="1"/>
  <c r="B5798" i="106"/>
  <c r="D5798" i="106" s="1"/>
  <c r="E175" i="5"/>
  <c r="B4372" i="106" s="1"/>
  <c r="D4372" i="106" s="1"/>
  <c r="B4364" i="106"/>
  <c r="D4364" i="106" s="1"/>
  <c r="K122" i="29"/>
  <c r="C127" i="29"/>
  <c r="B1223" i="106" s="1"/>
  <c r="D1223" i="106" s="1"/>
  <c r="B1219" i="106"/>
  <c r="D1219" i="106" s="1"/>
  <c r="B6634" i="106"/>
  <c r="D6634" i="106" s="1"/>
  <c r="F136" i="34"/>
  <c r="B6000" i="106"/>
  <c r="D6000" i="106" s="1"/>
  <c r="K122" i="5"/>
  <c r="B1344" i="106"/>
  <c r="D1344" i="106" s="1"/>
  <c r="B6375" i="106"/>
  <c r="D6375" i="106" s="1"/>
  <c r="B4448" i="106"/>
  <c r="D4448" i="106" s="1"/>
  <c r="H24" i="118"/>
  <c r="D13" i="3"/>
  <c r="B109" i="106" s="1"/>
  <c r="D109" i="106" s="1"/>
  <c r="B3414" i="106"/>
  <c r="D3414" i="106" s="1"/>
  <c r="D35" i="36"/>
  <c r="B6782" i="106"/>
  <c r="D6782" i="106" s="1"/>
  <c r="F148" i="34"/>
  <c r="B6753" i="106"/>
  <c r="D6753" i="106" s="1"/>
  <c r="B6316" i="106"/>
  <c r="D6316" i="106" s="1"/>
  <c r="J67" i="5"/>
  <c r="B6318" i="106" s="1"/>
  <c r="D6318" i="106" s="1"/>
  <c r="B3534" i="106"/>
  <c r="D3534" i="106" s="1"/>
  <c r="B951" i="106"/>
  <c r="D951" i="106" s="1"/>
  <c r="B6748" i="106"/>
  <c r="D6748" i="106" s="1"/>
  <c r="B4865" i="106"/>
  <c r="D4865" i="106" s="1"/>
  <c r="B6141" i="106"/>
  <c r="D6141" i="106" s="1"/>
  <c r="B7159" i="106"/>
  <c r="D7159" i="106" s="1"/>
  <c r="K30" i="29"/>
  <c r="B6896" i="106"/>
  <c r="D6896" i="106" s="1"/>
  <c r="B6685" i="106"/>
  <c r="D6685" i="106" s="1"/>
  <c r="B6360" i="106"/>
  <c r="D6360" i="106" s="1"/>
  <c r="B5103" i="106"/>
  <c r="D5103" i="106" s="1"/>
  <c r="F97" i="34"/>
  <c r="C93" i="5"/>
  <c r="B5112" i="106" s="1"/>
  <c r="D5112" i="106" s="1"/>
  <c r="B7814" i="106"/>
  <c r="D7814" i="106" s="1"/>
  <c r="B3530" i="106"/>
  <c r="D3530" i="106" s="1"/>
  <c r="B4881" i="106"/>
  <c r="D4881" i="106" s="1"/>
  <c r="B6379" i="106"/>
  <c r="D6379" i="106" s="1"/>
  <c r="K307" i="29"/>
  <c r="B4099" i="106" s="1"/>
  <c r="D4099" i="106" s="1"/>
  <c r="B7108" i="106"/>
  <c r="D7108" i="106" s="1"/>
  <c r="B6087" i="106"/>
  <c r="D6087" i="106" s="1"/>
  <c r="B6684" i="106"/>
  <c r="D6684" i="106" s="1"/>
  <c r="B6168" i="106"/>
  <c r="D6168" i="106" s="1"/>
  <c r="B4165" i="106"/>
  <c r="D4165" i="106" s="1"/>
  <c r="K284" i="29"/>
  <c r="B4166" i="106" s="1"/>
  <c r="D4166" i="106" s="1"/>
  <c r="B5577" i="106"/>
  <c r="D5577" i="106" s="1"/>
  <c r="F26" i="34"/>
  <c r="B846" i="106"/>
  <c r="D846" i="106" s="1"/>
  <c r="B5696" i="106"/>
  <c r="D5696" i="106" s="1"/>
  <c r="B4346" i="106"/>
  <c r="D4346" i="106" s="1"/>
  <c r="B7801" i="106"/>
  <c r="D7801" i="106" s="1"/>
  <c r="B5395" i="106"/>
  <c r="D5395" i="106" s="1"/>
  <c r="B6305" i="106"/>
  <c r="D6305" i="106" s="1"/>
  <c r="B3492" i="106"/>
  <c r="D3492" i="106" s="1"/>
  <c r="B97" i="106"/>
  <c r="D97" i="106" s="1"/>
  <c r="B6795" i="106"/>
  <c r="D6795" i="106" s="1"/>
  <c r="B5115" i="106"/>
  <c r="D5115" i="106" s="1"/>
  <c r="F103" i="34"/>
  <c r="B7840" i="106" s="1"/>
  <c r="D7840" i="106" s="1"/>
  <c r="B6730" i="106"/>
  <c r="D6730" i="106" s="1"/>
  <c r="L334" i="29"/>
  <c r="L342" i="29" s="1"/>
  <c r="B3085" i="106"/>
  <c r="D3085" i="106" s="1"/>
  <c r="B6091" i="106"/>
  <c r="D6091" i="106" s="1"/>
  <c r="B7264" i="106"/>
  <c r="B6641" i="106"/>
  <c r="D6641" i="106" s="1"/>
  <c r="B7766" i="106"/>
  <c r="D7766" i="106" s="1"/>
  <c r="L110" i="29"/>
  <c r="L112" i="29" s="1"/>
  <c r="B10" i="7"/>
  <c r="I12" i="5"/>
  <c r="B5916" i="106"/>
  <c r="D5916" i="106" s="1"/>
  <c r="C67" i="5"/>
  <c r="B5090" i="106" s="1"/>
  <c r="D5090" i="106" s="1"/>
  <c r="B5089" i="106"/>
  <c r="D5089" i="106" s="1"/>
  <c r="B895" i="106"/>
  <c r="D895" i="106" s="1"/>
  <c r="F42" i="29"/>
  <c r="B2953" i="106"/>
  <c r="D2953" i="106" s="1"/>
  <c r="K82" i="29"/>
  <c r="B2977" i="106" s="1"/>
  <c r="D2977" i="106" s="1"/>
  <c r="B2762" i="106"/>
  <c r="D2762" i="106" s="1"/>
  <c r="B6742" i="106"/>
  <c r="D6742" i="106" s="1"/>
  <c r="B5241" i="106"/>
  <c r="D5241" i="106" s="1"/>
  <c r="B5098" i="106"/>
  <c r="D5098" i="106" s="1"/>
  <c r="B4330" i="106"/>
  <c r="D4330" i="106" s="1"/>
  <c r="B3369" i="106"/>
  <c r="D3369" i="106" s="1"/>
  <c r="B5240" i="106"/>
  <c r="D5240" i="106" s="1"/>
  <c r="B832" i="106"/>
  <c r="D832" i="106" s="1"/>
  <c r="B4360" i="106"/>
  <c r="D4360" i="106" s="1"/>
  <c r="B7186" i="106"/>
  <c r="D7186" i="106" s="1"/>
  <c r="E34" i="3"/>
  <c r="B139" i="106" s="1"/>
  <c r="D139" i="106" s="1"/>
  <c r="B6135" i="106"/>
  <c r="D6135" i="106" s="1"/>
  <c r="B208" i="106"/>
  <c r="D208" i="106" s="1"/>
  <c r="B5350" i="106"/>
  <c r="D5350" i="106" s="1"/>
  <c r="B6119" i="106"/>
  <c r="D6119" i="106" s="1"/>
  <c r="K67" i="5"/>
  <c r="B5995" i="106" s="1"/>
  <c r="D5995" i="106" s="1"/>
  <c r="B5993" i="106"/>
  <c r="D5993" i="106" s="1"/>
  <c r="B5347" i="106"/>
  <c r="D5347" i="106" s="1"/>
  <c r="B6158" i="106"/>
  <c r="D6158" i="106" s="1"/>
  <c r="B7091" i="106"/>
  <c r="D7091" i="106" s="1"/>
  <c r="K253" i="29"/>
  <c r="B7092" i="106" s="1"/>
  <c r="D7092" i="106" s="1"/>
  <c r="B6001" i="106"/>
  <c r="D6001" i="106" s="1"/>
  <c r="C217" i="5"/>
  <c r="B5286" i="106" s="1"/>
  <c r="D5286" i="106" s="1"/>
  <c r="B5274" i="106"/>
  <c r="D5274" i="106" s="1"/>
  <c r="B7191" i="106"/>
  <c r="D7191" i="106" s="1"/>
  <c r="B7149" i="106"/>
  <c r="D7149" i="106" s="1"/>
  <c r="B5601" i="106"/>
  <c r="D5601" i="106" s="1"/>
  <c r="B6711" i="106"/>
  <c r="D6711" i="106" s="1"/>
  <c r="B6868" i="106"/>
  <c r="D6868" i="106" s="1"/>
  <c r="B5994" i="106"/>
  <c r="D5994" i="106" s="1"/>
  <c r="B6704" i="106"/>
  <c r="D6704" i="106" s="1"/>
  <c r="B6618" i="106"/>
  <c r="D6618" i="106" s="1"/>
  <c r="G252" i="5"/>
  <c r="B6837" i="106" s="1"/>
  <c r="D6837" i="106" s="1"/>
  <c r="K306" i="29"/>
  <c r="E310" i="29"/>
  <c r="B7114" i="106" s="1"/>
  <c r="D7114" i="106" s="1"/>
  <c r="B7105" i="106"/>
  <c r="D7105" i="106" s="1"/>
  <c r="B1039" i="106"/>
  <c r="D1039" i="106" s="1"/>
  <c r="B6686" i="106"/>
  <c r="D6686" i="106" s="1"/>
  <c r="B5092" i="106"/>
  <c r="D5092" i="106" s="1"/>
  <c r="B7692" i="106"/>
  <c r="D7692" i="106" s="1"/>
  <c r="B5925" i="106"/>
  <c r="D5925" i="106" s="1"/>
  <c r="B910" i="106"/>
  <c r="D910" i="106" s="1"/>
  <c r="H18" i="4"/>
  <c r="B4134" i="106" s="1"/>
  <c r="D4134" i="106" s="1"/>
  <c r="B4118" i="106"/>
  <c r="D4118" i="106" s="1"/>
  <c r="B6937" i="106"/>
  <c r="D6937" i="106" s="1"/>
  <c r="K226" i="29"/>
  <c r="B7080" i="106" s="1"/>
  <c r="D7080" i="106" s="1"/>
  <c r="B7079" i="106"/>
  <c r="D7079" i="106" s="1"/>
  <c r="B5095" i="106"/>
  <c r="D5095" i="106" s="1"/>
  <c r="B6736" i="106"/>
  <c r="D6736" i="106" s="1"/>
  <c r="B4311" i="106"/>
  <c r="D4311" i="106" s="1"/>
  <c r="B7884" i="106"/>
  <c r="D7884" i="106" s="1"/>
  <c r="I42" i="29"/>
  <c r="B6904" i="106"/>
  <c r="D6904" i="106" s="1"/>
  <c r="G204" i="5"/>
  <c r="B5803" i="106" s="1"/>
  <c r="D5803" i="106" s="1"/>
  <c r="B5790" i="106"/>
  <c r="D5790" i="106" s="1"/>
  <c r="B3295" i="106"/>
  <c r="D3295" i="106" s="1"/>
  <c r="E18" i="4"/>
  <c r="B4175" i="106" s="1"/>
  <c r="D4175" i="106" s="1"/>
  <c r="B4115" i="106"/>
  <c r="D4115" i="106" s="1"/>
  <c r="B7768" i="106"/>
  <c r="D7768" i="106" s="1"/>
  <c r="B6767" i="106"/>
  <c r="D6767" i="106" s="1"/>
  <c r="B923" i="106"/>
  <c r="D923" i="106" s="1"/>
  <c r="B6623" i="106"/>
  <c r="D6623" i="106" s="1"/>
  <c r="B7028" i="106"/>
  <c r="D7028" i="106" s="1"/>
  <c r="B6630" i="106"/>
  <c r="D6630" i="106" s="1"/>
  <c r="B6179" i="106"/>
  <c r="D6179" i="106" s="1"/>
  <c r="L47" i="29"/>
  <c r="B6151" i="106"/>
  <c r="D6151" i="106" s="1"/>
  <c r="B6829" i="106"/>
  <c r="D6829" i="106" s="1"/>
  <c r="B4916" i="106"/>
  <c r="D4916" i="106" s="1"/>
  <c r="B6120" i="106"/>
  <c r="D6120" i="106" s="1"/>
  <c r="B5344" i="106"/>
  <c r="D5344" i="106" s="1"/>
  <c r="B6784" i="106"/>
  <c r="D6784" i="106" s="1"/>
  <c r="F29" i="34"/>
  <c r="B7881" i="106" s="1"/>
  <c r="D7881" i="106" s="1"/>
  <c r="B5387" i="106"/>
  <c r="D5387" i="106" s="1"/>
  <c r="B6828" i="106"/>
  <c r="D6828" i="106" s="1"/>
  <c r="B6374" i="106"/>
  <c r="D6374" i="106" s="1"/>
  <c r="K169" i="5"/>
  <c r="B5000" i="106" s="1"/>
  <c r="D5000" i="106" s="1"/>
  <c r="B7156" i="106"/>
  <c r="D7156" i="106" s="1"/>
  <c r="F163" i="34"/>
  <c r="B7870" i="106" s="1"/>
  <c r="D7870" i="106" s="1"/>
  <c r="B5315" i="106"/>
  <c r="D5315" i="106" s="1"/>
  <c r="B7675" i="106"/>
  <c r="D7675" i="106" s="1"/>
  <c r="B907" i="106"/>
  <c r="D907" i="106" s="1"/>
  <c r="B5401" i="106"/>
  <c r="D5401" i="106" s="1"/>
  <c r="B6697" i="106"/>
  <c r="D6697" i="106" s="1"/>
  <c r="B6314" i="106"/>
  <c r="D6314" i="106" s="1"/>
  <c r="F91" i="34"/>
  <c r="B754" i="106"/>
  <c r="D754" i="106" s="1"/>
  <c r="K73" i="29"/>
  <c r="B6815" i="106"/>
  <c r="D6815" i="106" s="1"/>
  <c r="B5057" i="106"/>
  <c r="D5057" i="106" s="1"/>
  <c r="B5351" i="106"/>
  <c r="D5351" i="106" s="1"/>
  <c r="I303" i="29"/>
  <c r="B7099" i="106"/>
  <c r="D7099" i="106" s="1"/>
  <c r="B7250" i="106"/>
  <c r="D7250" i="106" s="1"/>
  <c r="B5882" i="106"/>
  <c r="D5882" i="106" s="1"/>
  <c r="H108" i="5"/>
  <c r="B5886" i="106" s="1"/>
  <c r="D5886" i="106" s="1"/>
  <c r="B1020" i="106"/>
  <c r="D1020" i="106" s="1"/>
  <c r="B4352" i="106"/>
  <c r="D4352" i="106" s="1"/>
  <c r="K22" i="29"/>
  <c r="B6880" i="106"/>
  <c r="D6880" i="106" s="1"/>
  <c r="B7179" i="106"/>
  <c r="D7179" i="106" s="1"/>
  <c r="B6823" i="106"/>
  <c r="D6823" i="106" s="1"/>
  <c r="B7140" i="106"/>
  <c r="D7140" i="106" s="1"/>
  <c r="B5872" i="106"/>
  <c r="D5872" i="106" s="1"/>
  <c r="B7665" i="106"/>
  <c r="D7665" i="106" s="1"/>
  <c r="B6749" i="106"/>
  <c r="D6749" i="106" s="1"/>
  <c r="B6672" i="106"/>
  <c r="D6672" i="106" s="1"/>
  <c r="B2955" i="106"/>
  <c r="D2955" i="106" s="1"/>
  <c r="H84" i="29"/>
  <c r="F18" i="34"/>
  <c r="B5564" i="106"/>
  <c r="D5564" i="106" s="1"/>
  <c r="B4381" i="106"/>
  <c r="D4381" i="106" s="1"/>
  <c r="B3484" i="106"/>
  <c r="D3484" i="106" s="1"/>
  <c r="B848" i="106"/>
  <c r="D848" i="106" s="1"/>
  <c r="E53" i="29"/>
  <c r="B850" i="106" s="1"/>
  <c r="D850" i="106" s="1"/>
  <c r="B7120" i="106"/>
  <c r="D7120" i="106" s="1"/>
  <c r="E330" i="29"/>
  <c r="B6367" i="106"/>
  <c r="D6367" i="106" s="1"/>
  <c r="B1312" i="106"/>
  <c r="D1312" i="106" s="1"/>
  <c r="K169" i="29"/>
  <c r="B1326" i="106" s="1"/>
  <c r="D1326" i="106" s="1"/>
  <c r="B5757" i="106"/>
  <c r="D5757" i="106" s="1"/>
  <c r="B5196" i="106"/>
  <c r="D5196" i="106" s="1"/>
  <c r="B500" i="106"/>
  <c r="D500" i="106" s="1"/>
  <c r="B5069" i="106"/>
  <c r="D5069" i="106" s="1"/>
  <c r="B4420" i="106"/>
  <c r="D4420" i="106" s="1"/>
  <c r="C221" i="5"/>
  <c r="B5301" i="106"/>
  <c r="D5301" i="106" s="1"/>
  <c r="B6804" i="106"/>
  <c r="D6804" i="106" s="1"/>
  <c r="B6327" i="106"/>
  <c r="D6327" i="106" s="1"/>
  <c r="B6719" i="106"/>
  <c r="D6719" i="106" s="1"/>
  <c r="B5739" i="106"/>
  <c r="D5739" i="106" s="1"/>
  <c r="B7668" i="106"/>
  <c r="D7668" i="106" s="1"/>
  <c r="F157" i="34"/>
  <c r="B6825" i="106"/>
  <c r="D6825" i="106" s="1"/>
  <c r="C209" i="5"/>
  <c r="B5256" i="106"/>
  <c r="D5256" i="106" s="1"/>
  <c r="K123" i="29"/>
  <c r="B1275" i="106" s="1"/>
  <c r="D1275" i="106" s="1"/>
  <c r="B1220" i="106"/>
  <c r="D1220" i="106" s="1"/>
  <c r="B807" i="106"/>
  <c r="D807" i="106" s="1"/>
  <c r="B5731" i="106"/>
  <c r="D5731" i="106" s="1"/>
  <c r="G67" i="5"/>
  <c r="B5733" i="106" s="1"/>
  <c r="D5733" i="106" s="1"/>
  <c r="B5248" i="106"/>
  <c r="D5248" i="106" s="1"/>
  <c r="B870" i="106"/>
  <c r="D870" i="106" s="1"/>
  <c r="B7639" i="106"/>
  <c r="G184" i="29"/>
  <c r="B4085" i="106"/>
  <c r="D4085" i="106" s="1"/>
  <c r="B928" i="106"/>
  <c r="D928" i="106" s="1"/>
  <c r="H137" i="29"/>
  <c r="B7775" i="106"/>
  <c r="D7775" i="106" s="1"/>
  <c r="C18" i="5"/>
  <c r="B5071" i="106" s="1"/>
  <c r="D5071" i="106" s="1"/>
  <c r="B5067" i="106"/>
  <c r="D5067" i="106" s="1"/>
  <c r="B5516" i="106"/>
  <c r="D5516" i="106" s="1"/>
  <c r="B619" i="106"/>
  <c r="D619" i="106" s="1"/>
  <c r="B4876" i="106"/>
  <c r="D4876" i="106" s="1"/>
  <c r="B7185" i="106"/>
  <c r="D7185" i="106" s="1"/>
  <c r="B979" i="106"/>
  <c r="D979" i="106" s="1"/>
  <c r="B4814" i="106"/>
  <c r="D4814" i="106" s="1"/>
  <c r="K325" i="29"/>
  <c r="B7172" i="106"/>
  <c r="D7172" i="106" s="1"/>
  <c r="B6936" i="106"/>
  <c r="D6936" i="106" s="1"/>
  <c r="B6864" i="106"/>
  <c r="D6864" i="106" s="1"/>
  <c r="B6872" i="106"/>
  <c r="D6872" i="106" s="1"/>
  <c r="F132" i="34"/>
  <c r="B7864" i="106" s="1"/>
  <c r="D7864" i="106" s="1"/>
  <c r="B4340" i="106"/>
  <c r="D4340" i="106" s="1"/>
  <c r="B173" i="106"/>
  <c r="D173" i="106" s="1"/>
  <c r="B7187" i="106"/>
  <c r="D7187" i="106" s="1"/>
  <c r="K181" i="5"/>
  <c r="B6016" i="106" s="1"/>
  <c r="D6016" i="106" s="1"/>
  <c r="B4816" i="106"/>
  <c r="D4816" i="106" s="1"/>
  <c r="B6796" i="106"/>
  <c r="D6796" i="106" s="1"/>
  <c r="B3373" i="106"/>
  <c r="D3373" i="106" s="1"/>
  <c r="B4230" i="106"/>
  <c r="D4230" i="106" s="1"/>
  <c r="B6987" i="106"/>
  <c r="D6987" i="106" s="1"/>
  <c r="K88" i="29"/>
  <c r="B6988" i="106" s="1"/>
  <c r="D6988" i="106" s="1"/>
  <c r="B5619" i="106"/>
  <c r="D5619" i="106" s="1"/>
  <c r="B5137" i="106"/>
  <c r="D5137" i="106" s="1"/>
  <c r="B4407" i="106"/>
  <c r="D4407" i="106" s="1"/>
  <c r="B6174" i="106"/>
  <c r="D6174" i="106" s="1"/>
  <c r="B5110" i="106"/>
  <c r="D5110" i="106" s="1"/>
  <c r="F100" i="34"/>
  <c r="K182" i="29"/>
  <c r="B1377" i="106" s="1"/>
  <c r="D1377" i="106" s="1"/>
  <c r="B1335" i="106"/>
  <c r="D1335" i="106" s="1"/>
  <c r="K251" i="29"/>
  <c r="B7088" i="106" s="1"/>
  <c r="D7088" i="106" s="1"/>
  <c r="B7087" i="106"/>
  <c r="D7087" i="106" s="1"/>
  <c r="B6649" i="106"/>
  <c r="D6649" i="106" s="1"/>
  <c r="B5100" i="106"/>
  <c r="D5100" i="106" s="1"/>
  <c r="B3583" i="106"/>
  <c r="D3583" i="106" s="1"/>
  <c r="K321" i="29"/>
  <c r="B7136" i="106"/>
  <c r="D7136" i="106" s="1"/>
  <c r="H72" i="29"/>
  <c r="B1043" i="106" s="1"/>
  <c r="D1043" i="106" s="1"/>
  <c r="B1036" i="106"/>
  <c r="D1036" i="106" s="1"/>
  <c r="E40" i="4"/>
  <c r="B6288" i="106" s="1"/>
  <c r="D6288" i="106" s="1"/>
  <c r="B6248" i="106"/>
  <c r="D6248" i="106" s="1"/>
  <c r="B1419" i="106"/>
  <c r="D1419" i="106" s="1"/>
  <c r="K241" i="29"/>
  <c r="B1483" i="106" s="1"/>
  <c r="D1483" i="106" s="1"/>
  <c r="B4447" i="106"/>
  <c r="D4447" i="106" s="1"/>
  <c r="F33" i="29"/>
  <c r="B894" i="106" s="1"/>
  <c r="D894" i="106" s="1"/>
  <c r="B879" i="106"/>
  <c r="D879" i="106" s="1"/>
  <c r="B2957" i="106"/>
  <c r="D2957" i="106" s="1"/>
  <c r="B5553" i="106"/>
  <c r="D5553" i="106" s="1"/>
  <c r="B7" i="7"/>
  <c r="F12" i="5"/>
  <c r="B5557" i="106" s="1"/>
  <c r="D5557" i="106" s="1"/>
  <c r="E12" i="5"/>
  <c r="B5509" i="106"/>
  <c r="D5509" i="106" s="1"/>
  <c r="B6" i="7"/>
  <c r="B3257" i="106"/>
  <c r="D3257" i="106" s="1"/>
  <c r="F168" i="34"/>
  <c r="B7813" i="106"/>
  <c r="D7813" i="106" s="1"/>
  <c r="B7095" i="106"/>
  <c r="D7095" i="106" s="1"/>
  <c r="K255" i="29"/>
  <c r="B7096" i="106" s="1"/>
  <c r="D7096" i="106" s="1"/>
  <c r="K16" i="29"/>
  <c r="B1094" i="106" s="1"/>
  <c r="D1094" i="106" s="1"/>
  <c r="B706" i="106"/>
  <c r="D706" i="106" s="1"/>
  <c r="B6099" i="106"/>
  <c r="D6099" i="106" s="1"/>
  <c r="B2981" i="106"/>
  <c r="D2981" i="106" s="1"/>
  <c r="B4345" i="106"/>
  <c r="D4345" i="106" s="1"/>
  <c r="B4805" i="106"/>
  <c r="D4805" i="106" s="1"/>
  <c r="B5332" i="106"/>
  <c r="D5332" i="106" s="1"/>
  <c r="B15" i="7"/>
  <c r="B1756" i="106" s="1"/>
  <c r="D1756" i="106" s="1"/>
  <c r="B5177" i="106"/>
  <c r="D5177" i="106" s="1"/>
  <c r="B6161" i="106"/>
  <c r="D6161" i="106" s="1"/>
  <c r="B6259" i="106"/>
  <c r="D6259" i="106" s="1"/>
  <c r="B6696" i="106"/>
  <c r="D6696" i="106" s="1"/>
  <c r="B4366" i="106"/>
  <c r="D4366" i="106" s="1"/>
  <c r="I175" i="5"/>
  <c r="B4418" i="106"/>
  <c r="D4418" i="106" s="1"/>
  <c r="F165" i="34"/>
  <c r="B7872" i="106" s="1"/>
  <c r="D7872" i="106" s="1"/>
  <c r="B6875" i="106"/>
  <c r="D6875" i="106" s="1"/>
  <c r="B6966" i="106"/>
  <c r="D6966" i="106" s="1"/>
  <c r="B6150" i="106"/>
  <c r="D6150" i="106" s="1"/>
  <c r="B6187" i="106"/>
  <c r="D6187" i="106" s="1"/>
  <c r="B1420" i="106"/>
  <c r="D1420" i="106" s="1"/>
  <c r="K242" i="29"/>
  <c r="B1484" i="106" s="1"/>
  <c r="D1484" i="106" s="1"/>
  <c r="B7265" i="106"/>
  <c r="B7700" i="106"/>
  <c r="D7700" i="106" s="1"/>
  <c r="B7764" i="106"/>
  <c r="D7764" i="106" s="1"/>
  <c r="F94" i="34"/>
  <c r="B7262" i="106"/>
  <c r="D7262" i="106" s="1"/>
  <c r="L127" i="29"/>
  <c r="L129" i="29" s="1"/>
  <c r="B6693" i="106"/>
  <c r="D6693" i="106" s="1"/>
  <c r="B6907" i="106"/>
  <c r="D6907" i="106" s="1"/>
  <c r="B5822" i="106"/>
  <c r="D5822" i="106" s="1"/>
  <c r="B5171" i="106"/>
  <c r="D5171" i="106" s="1"/>
  <c r="B957" i="106"/>
  <c r="D957" i="106" s="1"/>
  <c r="B179" i="106"/>
  <c r="D179" i="106" s="1"/>
  <c r="B6826" i="106"/>
  <c r="D6826" i="106" s="1"/>
  <c r="B4799" i="106"/>
  <c r="D4799" i="106" s="1"/>
  <c r="B6694" i="106"/>
  <c r="D6694" i="106" s="1"/>
  <c r="B4878" i="106"/>
  <c r="D4878" i="106" s="1"/>
  <c r="F102" i="34"/>
  <c r="B7839" i="106" s="1"/>
  <c r="D7839" i="106" s="1"/>
  <c r="C108" i="5"/>
  <c r="B5120" i="106" s="1"/>
  <c r="D5120" i="106" s="1"/>
  <c r="B5113" i="106"/>
  <c r="D5113" i="106" s="1"/>
  <c r="B6243" i="106"/>
  <c r="D6243" i="106" s="1"/>
  <c r="E38" i="4"/>
  <c r="B6286" i="106" s="1"/>
  <c r="D6286" i="106" s="1"/>
  <c r="B2840" i="106"/>
  <c r="D2840" i="106" s="1"/>
  <c r="B7251" i="106"/>
  <c r="D7251" i="106" s="1"/>
  <c r="K9" i="29"/>
  <c r="B7165" i="106"/>
  <c r="D7165" i="106" s="1"/>
  <c r="B6092" i="106"/>
  <c r="D6092" i="106" s="1"/>
  <c r="B1245" i="106"/>
  <c r="D1245" i="106" s="1"/>
  <c r="B6308" i="106"/>
  <c r="D6308" i="106" s="1"/>
  <c r="B3653" i="106"/>
  <c r="D3653" i="106" s="1"/>
  <c r="B1253" i="106"/>
  <c r="D1253" i="106" s="1"/>
  <c r="B6950" i="106"/>
  <c r="D6950" i="106" s="1"/>
  <c r="I65" i="29"/>
  <c r="B6961" i="106" s="1"/>
  <c r="D6961" i="106" s="1"/>
  <c r="F115" i="34"/>
  <c r="B7849" i="106" s="1"/>
  <c r="D7849" i="106" s="1"/>
  <c r="B5194" i="106"/>
  <c r="D5194" i="106" s="1"/>
  <c r="B5986" i="106"/>
  <c r="D5986" i="106" s="1"/>
  <c r="B6778" i="106"/>
  <c r="D6778" i="106" s="1"/>
  <c r="B6244" i="106"/>
  <c r="D6244" i="106" s="1"/>
  <c r="B6633" i="106"/>
  <c r="D6633" i="106" s="1"/>
  <c r="B6117" i="106"/>
  <c r="D6117" i="106" s="1"/>
  <c r="B5086" i="106"/>
  <c r="D5086" i="106" s="1"/>
  <c r="G141" i="5"/>
  <c r="B5749" i="106"/>
  <c r="D5749" i="106" s="1"/>
  <c r="F127" i="29"/>
  <c r="B1247" i="106" s="1"/>
  <c r="D1247" i="106" s="1"/>
  <c r="B1243" i="106"/>
  <c r="D1243" i="106" s="1"/>
  <c r="D44" i="4"/>
  <c r="B7749" i="106"/>
  <c r="D7749" i="106" s="1"/>
  <c r="B6668" i="106"/>
  <c r="D6668" i="106" s="1"/>
  <c r="K199" i="29"/>
  <c r="B1371" i="106"/>
  <c r="D1371" i="106" s="1"/>
  <c r="H204" i="29"/>
  <c r="B6822" i="106"/>
  <c r="D6822" i="106" s="1"/>
  <c r="K96" i="29"/>
  <c r="B7003" i="106" s="1"/>
  <c r="D7003" i="106" s="1"/>
  <c r="B7002" i="106"/>
  <c r="D7002" i="106" s="1"/>
  <c r="D42" i="29"/>
  <c r="B780" i="106"/>
  <c r="D780" i="106" s="1"/>
  <c r="K175" i="5"/>
  <c r="B4951" i="106" s="1"/>
  <c r="D4951" i="106" s="1"/>
  <c r="B4368" i="106"/>
  <c r="D4368" i="106" s="1"/>
  <c r="B6744" i="106"/>
  <c r="D6744" i="106" s="1"/>
  <c r="B3634" i="106"/>
  <c r="D3634" i="106" s="1"/>
  <c r="B3627" i="106"/>
  <c r="D3627" i="106" s="1"/>
  <c r="B6645" i="106"/>
  <c r="D6645" i="106" s="1"/>
  <c r="B4180" i="106"/>
  <c r="D4180" i="106" s="1"/>
  <c r="B898" i="106"/>
  <c r="D898" i="106" s="1"/>
  <c r="B974" i="106"/>
  <c r="D974" i="106" s="1"/>
  <c r="B6946" i="106"/>
  <c r="D6946" i="106" s="1"/>
  <c r="B6725" i="106"/>
  <c r="D6725" i="106" s="1"/>
  <c r="K188" i="29"/>
  <c r="B2989" i="106"/>
  <c r="D2989" i="106" s="1"/>
  <c r="E194" i="29"/>
  <c r="B5917" i="106"/>
  <c r="D5917" i="106" s="1"/>
  <c r="L238" i="29"/>
  <c r="B5883" i="106"/>
  <c r="D5883" i="106" s="1"/>
  <c r="B6682" i="106"/>
  <c r="D6682" i="106" s="1"/>
  <c r="F142" i="34"/>
  <c r="B4336" i="106"/>
  <c r="D4336" i="106" s="1"/>
  <c r="B6747" i="106"/>
  <c r="D6747" i="106" s="1"/>
  <c r="B7000" i="106"/>
  <c r="D7000" i="106" s="1"/>
  <c r="K95" i="29"/>
  <c r="B7001" i="106" s="1"/>
  <c r="D7001" i="106" s="1"/>
  <c r="B1026" i="106"/>
  <c r="D1026" i="106" s="1"/>
  <c r="B5239" i="106"/>
  <c r="D5239" i="106" s="1"/>
  <c r="F141" i="34"/>
  <c r="B6674" i="106"/>
  <c r="D6674" i="106" s="1"/>
  <c r="B5585" i="106"/>
  <c r="D5585" i="106" s="1"/>
  <c r="B4344" i="106"/>
  <c r="D4344" i="106" s="1"/>
  <c r="D188" i="5"/>
  <c r="B5426" i="106"/>
  <c r="D5426" i="106" s="1"/>
  <c r="H175" i="5"/>
  <c r="B4950" i="106" s="1"/>
  <c r="D4950" i="106" s="1"/>
  <c r="B4365" i="106"/>
  <c r="D4365" i="106" s="1"/>
  <c r="B6709" i="106"/>
  <c r="D6709" i="106" s="1"/>
  <c r="B5091" i="106"/>
  <c r="D5091" i="106" s="1"/>
  <c r="B7093" i="106"/>
  <c r="D7093" i="106" s="1"/>
  <c r="K254" i="29"/>
  <c r="B7094" i="106" s="1"/>
  <c r="D7094" i="106" s="1"/>
  <c r="B6657" i="106"/>
  <c r="D6657" i="106" s="1"/>
  <c r="B5570" i="106"/>
  <c r="D5570" i="106" s="1"/>
  <c r="F89" i="34"/>
  <c r="B3519" i="106"/>
  <c r="D3519" i="106" s="1"/>
  <c r="H13" i="3"/>
  <c r="B203" i="106" s="1"/>
  <c r="D203" i="106" s="1"/>
  <c r="B3561" i="106"/>
  <c r="D3561" i="106" s="1"/>
  <c r="B6808" i="106"/>
  <c r="D6808" i="106" s="1"/>
  <c r="B4083" i="106"/>
  <c r="D4083" i="106" s="1"/>
  <c r="E184" i="29"/>
  <c r="B1351" i="106" s="1"/>
  <c r="D1351" i="106" s="1"/>
  <c r="B72" i="106"/>
  <c r="D72" i="106" s="1"/>
  <c r="B5059" i="106"/>
  <c r="D5059" i="106" s="1"/>
  <c r="B5853" i="106"/>
  <c r="D5853" i="106" s="1"/>
  <c r="K158" i="29"/>
  <c r="B7780" i="106" s="1"/>
  <c r="D7780" i="106" s="1"/>
  <c r="B7779" i="106"/>
  <c r="D7779" i="106" s="1"/>
  <c r="K125" i="29"/>
  <c r="B3488" i="106" s="1"/>
  <c r="D3488" i="106" s="1"/>
  <c r="B3482" i="106"/>
  <c r="D3482" i="106" s="1"/>
  <c r="C198" i="5"/>
  <c r="B6401" i="106"/>
  <c r="D6401" i="106" s="1"/>
  <c r="B5695" i="106"/>
  <c r="D5695" i="106" s="1"/>
  <c r="B749" i="106"/>
  <c r="D749" i="106" s="1"/>
  <c r="K70" i="29"/>
  <c r="B6695" i="106"/>
  <c r="D6695" i="106" s="1"/>
  <c r="B4215" i="106"/>
  <c r="D4215" i="106" s="1"/>
  <c r="K79" i="29"/>
  <c r="B2974" i="106" s="1"/>
  <c r="D2974" i="106" s="1"/>
  <c r="B2950" i="106"/>
  <c r="D2950" i="106" s="1"/>
  <c r="B6310" i="106"/>
  <c r="D6310" i="106" s="1"/>
  <c r="B5728" i="106"/>
  <c r="D5728" i="106" s="1"/>
  <c r="K18" i="4"/>
  <c r="B4135" i="106" s="1"/>
  <c r="D4135" i="106" s="1"/>
  <c r="B4121" i="106"/>
  <c r="D4121" i="106" s="1"/>
  <c r="B6096" i="106"/>
  <c r="D6096" i="106" s="1"/>
  <c r="B3579" i="106"/>
  <c r="D3579" i="106" s="1"/>
  <c r="B3533" i="106"/>
  <c r="D3533" i="106" s="1"/>
  <c r="B7031" i="106"/>
  <c r="D7031" i="106" s="1"/>
  <c r="B4377" i="106"/>
  <c r="D4377" i="106" s="1"/>
  <c r="B5654" i="106"/>
  <c r="D5654" i="106" s="1"/>
  <c r="F175" i="5"/>
  <c r="B6830" i="106"/>
  <c r="D6830" i="106" s="1"/>
  <c r="B2799" i="106"/>
  <c r="D2799" i="106" s="1"/>
  <c r="B164" i="106"/>
  <c r="D164" i="106" s="1"/>
  <c r="B3578" i="106"/>
  <c r="D3578" i="106" s="1"/>
  <c r="B6646" i="106"/>
  <c r="D6646" i="106" s="1"/>
  <c r="L277" i="29"/>
  <c r="B6300" i="106"/>
  <c r="D6300" i="106" s="1"/>
  <c r="B6777" i="106"/>
  <c r="D6777" i="106" s="1"/>
  <c r="F151" i="34"/>
  <c r="B6170" i="106"/>
  <c r="D6170" i="106" s="1"/>
  <c r="B5617" i="106"/>
  <c r="D5617" i="106" s="1"/>
  <c r="B6812" i="106"/>
  <c r="D6812" i="106" s="1"/>
  <c r="B790" i="106"/>
  <c r="D790" i="106" s="1"/>
  <c r="D53" i="29"/>
  <c r="B792" i="106" s="1"/>
  <c r="D792" i="106" s="1"/>
  <c r="B6098" i="106"/>
  <c r="D6098" i="106" s="1"/>
  <c r="B5124" i="106"/>
  <c r="D5124" i="106" s="1"/>
  <c r="B4077" i="106"/>
  <c r="D4077" i="106" s="1"/>
  <c r="F129" i="29"/>
  <c r="B1249" i="106" s="1"/>
  <c r="D1249" i="106" s="1"/>
  <c r="B5627" i="106"/>
  <c r="D5627" i="106" s="1"/>
  <c r="B3082" i="106"/>
  <c r="D3082" i="106" s="1"/>
  <c r="B653" i="106"/>
  <c r="D653" i="106" s="1"/>
  <c r="B3083" i="106"/>
  <c r="D3083" i="106" s="1"/>
  <c r="K75" i="29"/>
  <c r="B756" i="106"/>
  <c r="D756" i="106" s="1"/>
  <c r="B6252" i="106"/>
  <c r="D6252" i="106" s="1"/>
  <c r="B3387" i="106"/>
  <c r="D3387" i="106" s="1"/>
  <c r="K215" i="29"/>
  <c r="D229" i="29"/>
  <c r="B1410" i="106" s="1"/>
  <c r="D1410" i="106" s="1"/>
  <c r="B6219" i="106"/>
  <c r="D6219" i="106" s="1"/>
  <c r="H65" i="29"/>
  <c r="B1035" i="106" s="1"/>
  <c r="D1035" i="106" s="1"/>
  <c r="B1028" i="106"/>
  <c r="D1028" i="106" s="1"/>
  <c r="B6715" i="106"/>
  <c r="D6715" i="106" s="1"/>
  <c r="B5765" i="106"/>
  <c r="D5765" i="106" s="1"/>
  <c r="B6722" i="106"/>
  <c r="D6722" i="106" s="1"/>
  <c r="B2880" i="106"/>
  <c r="D2880" i="106" s="1"/>
  <c r="B4342" i="106"/>
  <c r="D4342" i="106" s="1"/>
  <c r="B3059" i="106"/>
  <c r="D3059" i="106" s="1"/>
  <c r="B6303" i="106"/>
  <c r="D6303" i="106" s="1"/>
  <c r="B1016" i="106"/>
  <c r="D1016" i="106" s="1"/>
  <c r="B1014" i="106"/>
  <c r="D1014" i="106" s="1"/>
  <c r="B801" i="106"/>
  <c r="D801" i="106" s="1"/>
  <c r="L160" i="29"/>
  <c r="B7023" i="106"/>
  <c r="D7023" i="106" s="1"/>
  <c r="B185" i="106"/>
  <c r="D185" i="106" s="1"/>
  <c r="B958" i="106"/>
  <c r="D958" i="106" s="1"/>
  <c r="K12" i="5"/>
  <c r="B5985" i="106"/>
  <c r="D5985" i="106" s="1"/>
  <c r="B12" i="7"/>
  <c r="B7687" i="106"/>
  <c r="D7687" i="106" s="1"/>
  <c r="B6153" i="106"/>
  <c r="D6153" i="106" s="1"/>
  <c r="F18" i="4"/>
  <c r="B4133" i="106" s="1"/>
  <c r="D4133" i="106" s="1"/>
  <c r="B4116" i="106"/>
  <c r="D4116" i="106" s="1"/>
  <c r="L42" i="29"/>
  <c r="B3078" i="106"/>
  <c r="D3078" i="106" s="1"/>
  <c r="L137" i="29"/>
  <c r="L139" i="29" s="1"/>
  <c r="L243" i="29"/>
  <c r="B5511" i="106"/>
  <c r="D5511" i="106" s="1"/>
  <c r="B6791" i="106"/>
  <c r="D6791" i="106" s="1"/>
  <c r="J175" i="5"/>
  <c r="B6400" i="106" s="1"/>
  <c r="D6400" i="106" s="1"/>
  <c r="B6398" i="106"/>
  <c r="D6398" i="106" s="1"/>
  <c r="C181" i="5"/>
  <c r="B5230" i="106"/>
  <c r="D5230" i="106" s="1"/>
  <c r="F123" i="34"/>
  <c r="F188" i="5"/>
  <c r="B5659" i="106"/>
  <c r="D5659" i="106" s="1"/>
  <c r="B6393" i="106"/>
  <c r="D6393" i="106" s="1"/>
  <c r="K364" i="29"/>
  <c r="B7746" i="106" s="1"/>
  <c r="D7746" i="106" s="1"/>
  <c r="B7745" i="106"/>
  <c r="D7745" i="106" s="1"/>
  <c r="I127" i="29"/>
  <c r="B7033" i="106" s="1"/>
  <c r="D7033" i="106" s="1"/>
  <c r="B7024" i="106"/>
  <c r="D7024" i="106" s="1"/>
  <c r="B5345" i="106"/>
  <c r="D5345" i="106" s="1"/>
  <c r="B960" i="106"/>
  <c r="D960" i="106" s="1"/>
  <c r="G47" i="29"/>
  <c r="B963" i="106" s="1"/>
  <c r="D963" i="106" s="1"/>
  <c r="B5855" i="106"/>
  <c r="D5855" i="106" s="1"/>
  <c r="J18" i="4"/>
  <c r="B6228" i="106" s="1"/>
  <c r="D6228" i="106" s="1"/>
  <c r="B6224" i="106"/>
  <c r="D6224" i="106" s="1"/>
  <c r="B6757" i="106"/>
  <c r="D6757" i="106" s="1"/>
  <c r="F32" i="34"/>
  <c r="B7825" i="106" s="1"/>
  <c r="D7825" i="106" s="1"/>
  <c r="B5459" i="106"/>
  <c r="D5459" i="106" s="1"/>
  <c r="B6231" i="106"/>
  <c r="D6231" i="106" s="1"/>
  <c r="B7212" i="106"/>
  <c r="D7212" i="106" s="1"/>
  <c r="K339" i="29"/>
  <c r="B7213" i="106" s="1"/>
  <c r="D7213" i="106" s="1"/>
  <c r="B835" i="106"/>
  <c r="D835" i="106" s="1"/>
  <c r="B6104" i="106"/>
  <c r="D6104" i="106" s="1"/>
  <c r="B7130" i="106"/>
  <c r="D7130" i="106" s="1"/>
  <c r="G122" i="5"/>
  <c r="B5748" i="106" s="1"/>
  <c r="D5748" i="106" s="1"/>
  <c r="B5742" i="106"/>
  <c r="D5742" i="106" s="1"/>
  <c r="B4354" i="106"/>
  <c r="D4354" i="106" s="1"/>
  <c r="B7240" i="106"/>
  <c r="D7240" i="106" s="1"/>
  <c r="K363" i="29"/>
  <c r="B7241" i="106" s="1"/>
  <c r="D7241" i="106" s="1"/>
  <c r="B980" i="106"/>
  <c r="D980" i="106" s="1"/>
  <c r="B742" i="106"/>
  <c r="D742" i="106" s="1"/>
  <c r="K63" i="29"/>
  <c r="B1023" i="106"/>
  <c r="D1023" i="106" s="1"/>
  <c r="B4334" i="106"/>
  <c r="D4334" i="106" s="1"/>
  <c r="B851" i="106"/>
  <c r="D851" i="106" s="1"/>
  <c r="E57" i="29"/>
  <c r="B853" i="106" s="1"/>
  <c r="D853" i="106" s="1"/>
  <c r="B6255" i="106"/>
  <c r="D6255" i="106" s="1"/>
  <c r="B7182" i="106"/>
  <c r="D7182" i="106" s="1"/>
  <c r="B6178" i="106"/>
  <c r="D6178" i="106" s="1"/>
  <c r="K39" i="29"/>
  <c r="B1112" i="106" s="1"/>
  <c r="D1112" i="106" s="1"/>
  <c r="B724" i="106"/>
  <c r="D724" i="106" s="1"/>
  <c r="B5735" i="106"/>
  <c r="D5735" i="106" s="1"/>
  <c r="F154" i="34"/>
  <c r="B6801" i="106"/>
  <c r="D6801" i="106" s="1"/>
  <c r="J169" i="5"/>
  <c r="B6396" i="106" s="1"/>
  <c r="D6396" i="106" s="1"/>
  <c r="B6373" i="106"/>
  <c r="D6373" i="106" s="1"/>
  <c r="B5152" i="106"/>
  <c r="D5152" i="106" s="1"/>
  <c r="B5231" i="106"/>
  <c r="D5231" i="106" s="1"/>
  <c r="F25" i="34"/>
  <c r="B5576" i="106"/>
  <c r="D5576" i="106" s="1"/>
  <c r="B837" i="106"/>
  <c r="D837" i="106" s="1"/>
  <c r="E42" i="29"/>
  <c r="B6863" i="106"/>
  <c r="D6863" i="106" s="1"/>
  <c r="B6137" i="106"/>
  <c r="D6137" i="106" s="1"/>
  <c r="B5374" i="106"/>
  <c r="D5374" i="106" s="1"/>
  <c r="B6759" i="106"/>
  <c r="D6759" i="106" s="1"/>
  <c r="B5068" i="106"/>
  <c r="D5068" i="106" s="1"/>
  <c r="B5697" i="106"/>
  <c r="D5697" i="106" s="1"/>
  <c r="B6658" i="106"/>
  <c r="D6658" i="106" s="1"/>
  <c r="B6631" i="106"/>
  <c r="D6631" i="106" s="1"/>
  <c r="B968" i="106"/>
  <c r="D968" i="106" s="1"/>
  <c r="B5075" i="106"/>
  <c r="D5075" i="106" s="1"/>
  <c r="K218" i="29"/>
  <c r="B7075" i="106"/>
  <c r="D7075" i="106" s="1"/>
  <c r="K46" i="29"/>
  <c r="B1118" i="106" s="1"/>
  <c r="D1118" i="106" s="1"/>
  <c r="B730" i="106"/>
  <c r="D730" i="106" s="1"/>
  <c r="B6392" i="106"/>
  <c r="D6392" i="106" s="1"/>
  <c r="B5710" i="106"/>
  <c r="D5710" i="106" s="1"/>
  <c r="B7178" i="106"/>
  <c r="D7178" i="106" s="1"/>
  <c r="B839" i="106"/>
  <c r="D839" i="106" s="1"/>
  <c r="B2812" i="106"/>
  <c r="D2812" i="106" s="1"/>
  <c r="K165" i="29"/>
  <c r="B2818" i="106" s="1"/>
  <c r="D2818" i="106" s="1"/>
  <c r="B7008" i="106"/>
  <c r="D7008" i="106" s="1"/>
  <c r="E100" i="29"/>
  <c r="B7011" i="106" s="1"/>
  <c r="D7011" i="106" s="1"/>
  <c r="K99" i="29"/>
  <c r="B7010" i="106" s="1"/>
  <c r="D7010" i="106" s="1"/>
  <c r="B5375" i="106"/>
  <c r="D5375" i="106" s="1"/>
  <c r="B6313" i="106"/>
  <c r="D6313" i="106" s="1"/>
  <c r="F22" i="34"/>
  <c r="B7885" i="106"/>
  <c r="D7885" i="106" s="1"/>
  <c r="B6333" i="106"/>
  <c r="D6333" i="106" s="1"/>
  <c r="B5799" i="106"/>
  <c r="D5799" i="106" s="1"/>
  <c r="G209" i="5"/>
  <c r="B4414" i="106" s="1"/>
  <c r="D4414" i="106" s="1"/>
  <c r="B1431" i="106"/>
  <c r="D1431" i="106" s="1"/>
  <c r="K266" i="29"/>
  <c r="B1495" i="106" s="1"/>
  <c r="D1495" i="106" s="1"/>
  <c r="B4313" i="106"/>
  <c r="D4313" i="106" s="1"/>
  <c r="F30" i="34"/>
  <c r="B7823" i="106" s="1"/>
  <c r="B6926" i="106"/>
  <c r="D6926" i="106" s="1"/>
  <c r="I53" i="29"/>
  <c r="B6942" i="106" s="1"/>
  <c r="D6942" i="106" s="1"/>
  <c r="B119" i="106"/>
  <c r="D119" i="106" s="1"/>
  <c r="F118" i="34"/>
  <c r="B7852" i="106" s="1"/>
  <c r="D7852" i="106" s="1"/>
  <c r="B4915" i="106"/>
  <c r="D4915" i="106" s="1"/>
  <c r="B5593" i="106"/>
  <c r="D5593" i="106" s="1"/>
  <c r="F122" i="5"/>
  <c r="B6159" i="106"/>
  <c r="D6159" i="106" s="1"/>
  <c r="B6700" i="106"/>
  <c r="D6700" i="106" s="1"/>
  <c r="B7035" i="106"/>
  <c r="D7035" i="106" s="1"/>
  <c r="B7166" i="106"/>
  <c r="D7166" i="106" s="1"/>
  <c r="B2722" i="106"/>
  <c r="D2722" i="106" s="1"/>
  <c r="B4948" i="106"/>
  <c r="D4948" i="106" s="1"/>
  <c r="B4078" i="106"/>
  <c r="D4078" i="106" s="1"/>
  <c r="B6653" i="106"/>
  <c r="D6653" i="106" s="1"/>
  <c r="L92" i="29"/>
  <c r="B3549" i="106"/>
  <c r="D3549" i="106" s="1"/>
  <c r="B4944" i="106"/>
  <c r="D4944" i="106" s="1"/>
  <c r="B716" i="106"/>
  <c r="D716" i="106" s="1"/>
  <c r="K12" i="29"/>
  <c r="B6370" i="106"/>
  <c r="D6370" i="106" s="1"/>
  <c r="B6331" i="106"/>
  <c r="D6331" i="106" s="1"/>
  <c r="B7229" i="106"/>
  <c r="D7229" i="106" s="1"/>
  <c r="B6189" i="106"/>
  <c r="D6189" i="106" s="1"/>
  <c r="B6701" i="106"/>
  <c r="D6701" i="106" s="1"/>
  <c r="G108" i="5"/>
  <c r="B5737" i="106" s="1"/>
  <c r="D5737" i="106" s="1"/>
  <c r="B5734" i="106"/>
  <c r="D5734" i="106" s="1"/>
  <c r="B7141" i="106"/>
  <c r="D7141" i="106" s="1"/>
  <c r="B7751" i="106"/>
  <c r="D7751" i="106" s="1"/>
  <c r="F44" i="4"/>
  <c r="C40" i="5"/>
  <c r="B5087" i="106" s="1"/>
  <c r="D5087" i="106" s="1"/>
  <c r="B5072" i="106"/>
  <c r="D5072" i="106" s="1"/>
  <c r="B6913" i="106"/>
  <c r="D6913" i="106" s="1"/>
  <c r="B4341" i="106"/>
  <c r="D4341" i="106" s="1"/>
  <c r="B7706" i="106"/>
  <c r="D7706" i="106" s="1"/>
  <c r="B6257" i="106"/>
  <c r="D6257" i="106" s="1"/>
  <c r="B1012" i="106"/>
  <c r="D1012" i="106" s="1"/>
  <c r="B5573" i="106"/>
  <c r="D5573" i="106" s="1"/>
  <c r="F92" i="34"/>
  <c r="B7137" i="106"/>
  <c r="D7137" i="106" s="1"/>
  <c r="B4190" i="106"/>
  <c r="D4190" i="106" s="1"/>
  <c r="B4813" i="106"/>
  <c r="D4813" i="106" s="1"/>
  <c r="B3374" i="106"/>
  <c r="D3374" i="106" s="1"/>
  <c r="B6960" i="106"/>
  <c r="D6960" i="106" s="1"/>
  <c r="B6665" i="106"/>
  <c r="D6665" i="106" s="1"/>
  <c r="B784" i="106"/>
  <c r="D784" i="106" s="1"/>
  <c r="B6107" i="106"/>
  <c r="D6107" i="106" s="1"/>
  <c r="E39" i="4"/>
  <c r="B6287" i="106" s="1"/>
  <c r="D6287" i="106" s="1"/>
  <c r="B6246" i="106"/>
  <c r="D6246" i="106" s="1"/>
  <c r="B3080" i="106"/>
  <c r="D3080" i="106" s="1"/>
  <c r="K217" i="29"/>
  <c r="B3391" i="106" s="1"/>
  <c r="D3391" i="106" s="1"/>
  <c r="B3388" i="106"/>
  <c r="D3388" i="106" s="1"/>
  <c r="B5924" i="106"/>
  <c r="D5924" i="106" s="1"/>
  <c r="I67" i="5"/>
  <c r="B5926" i="106" s="1"/>
  <c r="D5926" i="106" s="1"/>
  <c r="K44" i="29"/>
  <c r="C47" i="29"/>
  <c r="B731" i="106" s="1"/>
  <c r="D731" i="106" s="1"/>
  <c r="B728" i="106"/>
  <c r="D728" i="106" s="1"/>
  <c r="B2757" i="106"/>
  <c r="D2757" i="106" s="1"/>
  <c r="D72" i="36"/>
  <c r="D204" i="5"/>
  <c r="B5444" i="106" s="1"/>
  <c r="D5444" i="106" s="1"/>
  <c r="B5431" i="106"/>
  <c r="D5431" i="106" s="1"/>
  <c r="B3632" i="106"/>
  <c r="D3632" i="106" s="1"/>
  <c r="F33" i="34"/>
  <c r="B5494" i="106"/>
  <c r="D5494" i="106" s="1"/>
  <c r="B5142" i="106"/>
  <c r="D5142" i="106" s="1"/>
  <c r="B6763" i="106"/>
  <c r="D6763" i="106" s="1"/>
  <c r="B838" i="106"/>
  <c r="D838" i="106" s="1"/>
  <c r="K203" i="29"/>
  <c r="B1385" i="106" s="1"/>
  <c r="D1385" i="106" s="1"/>
  <c r="B1373" i="106"/>
  <c r="D1373" i="106" s="1"/>
  <c r="B6810" i="106"/>
  <c r="D6810" i="106" s="1"/>
  <c r="K10" i="29"/>
  <c r="B3062" i="106" s="1"/>
  <c r="D3062" i="106" s="1"/>
  <c r="B3055" i="106"/>
  <c r="D3055" i="106" s="1"/>
  <c r="B6095" i="106"/>
  <c r="D6095" i="106" s="1"/>
  <c r="B6395" i="106"/>
  <c r="D6395" i="106" s="1"/>
  <c r="B7653" i="106"/>
  <c r="D7653" i="106" s="1"/>
  <c r="B7669" i="106"/>
  <c r="D7669" i="106" s="1"/>
  <c r="B6330" i="106"/>
  <c r="D6330" i="106" s="1"/>
  <c r="K50" i="29"/>
  <c r="K53" i="29" s="1"/>
  <c r="B733" i="106"/>
  <c r="D733" i="106" s="1"/>
  <c r="B7158" i="106"/>
  <c r="D7158" i="106" s="1"/>
  <c r="B841" i="106"/>
  <c r="D841" i="106" s="1"/>
  <c r="B5871" i="106"/>
  <c r="D5871" i="106" s="1"/>
  <c r="H12" i="5"/>
  <c r="B9" i="7"/>
  <c r="H169" i="5"/>
  <c r="B5899" i="106" s="1"/>
  <c r="D5899" i="106" s="1"/>
  <c r="B6371" i="106"/>
  <c r="D6371" i="106" s="1"/>
  <c r="B1546" i="106"/>
  <c r="D1546" i="106" s="1"/>
  <c r="B3646" i="106"/>
  <c r="D3646" i="106" s="1"/>
  <c r="B6236" i="106"/>
  <c r="D6236" i="106" s="1"/>
  <c r="K278" i="29"/>
  <c r="B1509" i="106" s="1"/>
  <c r="D1509" i="106" s="1"/>
  <c r="B1445" i="106"/>
  <c r="D1445" i="106" s="1"/>
  <c r="B1019" i="106"/>
  <c r="D1019" i="106" s="1"/>
  <c r="B3617" i="106"/>
  <c r="D3617" i="106" s="1"/>
  <c r="C350" i="29"/>
  <c r="K348" i="29"/>
  <c r="F131" i="34"/>
  <c r="B7863" i="106" s="1"/>
  <c r="D7863" i="106" s="1"/>
  <c r="B5280" i="106"/>
  <c r="D5280" i="106" s="1"/>
  <c r="B7127" i="106"/>
  <c r="D7127" i="106" s="1"/>
  <c r="K320" i="29"/>
  <c r="B6323" i="106"/>
  <c r="D6323" i="106" s="1"/>
  <c r="B5424" i="106"/>
  <c r="D5424" i="106" s="1"/>
  <c r="D181" i="5"/>
  <c r="B5425" i="106" s="1"/>
  <c r="D5425" i="106" s="1"/>
  <c r="D76" i="4"/>
  <c r="B3237" i="106" s="1"/>
  <c r="D3237" i="106" s="1"/>
  <c r="B5023" i="106"/>
  <c r="D5023" i="106" s="1"/>
  <c r="B3275" i="106"/>
  <c r="D3275" i="106" s="1"/>
  <c r="E303" i="29"/>
  <c r="B1531" i="106"/>
  <c r="D1531" i="106" s="1"/>
  <c r="B6162" i="106"/>
  <c r="D6162" i="106" s="1"/>
  <c r="B7702" i="106"/>
  <c r="D7702" i="106" s="1"/>
  <c r="B7173" i="106"/>
  <c r="D7173" i="106" s="1"/>
  <c r="B6909" i="106"/>
  <c r="D6909" i="106" s="1"/>
  <c r="B6969" i="106"/>
  <c r="D6969" i="106" s="1"/>
  <c r="B5927" i="106"/>
  <c r="D5927" i="106" s="1"/>
  <c r="I108" i="5"/>
  <c r="B5930" i="106" s="1"/>
  <c r="D5930" i="106" s="1"/>
  <c r="B6712" i="106"/>
  <c r="D6712" i="106" s="1"/>
  <c r="F144" i="34"/>
  <c r="B6394" i="106"/>
  <c r="D6394" i="106" s="1"/>
  <c r="B6911" i="106"/>
  <c r="D6911" i="106" s="1"/>
  <c r="B4353" i="106"/>
  <c r="D4353" i="106" s="1"/>
  <c r="B777" i="106"/>
  <c r="D777" i="106" s="1"/>
  <c r="B6294" i="106"/>
  <c r="D6294" i="106" s="1"/>
  <c r="B7029" i="106"/>
  <c r="D7029" i="106" s="1"/>
  <c r="B7804" i="106"/>
  <c r="D7804" i="106" s="1"/>
  <c r="B915" i="106"/>
  <c r="D915" i="106" s="1"/>
  <c r="B5738" i="106"/>
  <c r="D5738" i="106" s="1"/>
  <c r="G114" i="5"/>
  <c r="B1369" i="106"/>
  <c r="D1369" i="106" s="1"/>
  <c r="B6731" i="106"/>
  <c r="D6731" i="106" s="1"/>
  <c r="B2997" i="106"/>
  <c r="D2997" i="106" s="1"/>
  <c r="B6369" i="106"/>
  <c r="D6369" i="106" s="1"/>
  <c r="B5858" i="106"/>
  <c r="D5858" i="106" s="1"/>
  <c r="K106" i="29"/>
  <c r="B1147" i="106" s="1"/>
  <c r="D1147" i="106" s="1"/>
  <c r="B1049" i="106"/>
  <c r="D1049" i="106" s="1"/>
  <c r="B6129" i="106"/>
  <c r="D6129" i="106" s="1"/>
  <c r="G34" i="3"/>
  <c r="B188" i="106" s="1"/>
  <c r="D188" i="106" s="1"/>
  <c r="B6346" i="106"/>
  <c r="D6346" i="106" s="1"/>
  <c r="B7656" i="106"/>
  <c r="D7656" i="106" s="1"/>
  <c r="B5359" i="106"/>
  <c r="D5359" i="106" s="1"/>
  <c r="B6366" i="106"/>
  <c r="D6366" i="106" s="1"/>
  <c r="B5729" i="106"/>
  <c r="D5729" i="106" s="1"/>
  <c r="B2800" i="106"/>
  <c r="D2800" i="106" s="1"/>
  <c r="B1423" i="106"/>
  <c r="D1423" i="106" s="1"/>
  <c r="K246" i="29"/>
  <c r="B1487" i="106" s="1"/>
  <c r="D1487" i="106" s="1"/>
  <c r="B6816" i="106"/>
  <c r="D6816" i="106" s="1"/>
  <c r="K41" i="29"/>
  <c r="B1114" i="106" s="1"/>
  <c r="D1114" i="106" s="1"/>
  <c r="B726" i="106"/>
  <c r="D726" i="106" s="1"/>
  <c r="B6861" i="106"/>
  <c r="D6861" i="106" s="1"/>
  <c r="B5357" i="106"/>
  <c r="D5357" i="106" s="1"/>
  <c r="D114" i="5"/>
  <c r="B6655" i="106"/>
  <c r="D6655" i="106" s="1"/>
  <c r="B4886" i="106"/>
  <c r="D4886" i="106" s="1"/>
  <c r="K267" i="29"/>
  <c r="B1496" i="106" s="1"/>
  <c r="D1496" i="106" s="1"/>
  <c r="B1432" i="106"/>
  <c r="D1432" i="106" s="1"/>
  <c r="F252" i="5"/>
  <c r="B6836" i="106" s="1"/>
  <c r="D6836" i="106" s="1"/>
  <c r="B6617" i="106"/>
  <c r="D6617" i="106" s="1"/>
  <c r="B7249" i="106"/>
  <c r="D7249" i="106" s="1"/>
  <c r="B6727" i="106"/>
  <c r="D6727" i="106" s="1"/>
  <c r="K7" i="29"/>
  <c r="B7188" i="106"/>
  <c r="D7188" i="106" s="1"/>
  <c r="B6123" i="106"/>
  <c r="D6123" i="106" s="1"/>
  <c r="B7256" i="106"/>
  <c r="D7256" i="106" s="1"/>
  <c r="B6109" i="106"/>
  <c r="D6109" i="106" s="1"/>
  <c r="B7680" i="106"/>
  <c r="D7680" i="106" s="1"/>
  <c r="B6619" i="106"/>
  <c r="D6619" i="106" s="1"/>
  <c r="H252" i="5"/>
  <c r="B7152" i="106"/>
  <c r="D7152" i="106" s="1"/>
  <c r="B2758" i="106"/>
  <c r="D2758" i="106" s="1"/>
  <c r="B6637" i="106"/>
  <c r="D6637" i="106" s="1"/>
  <c r="B4191" i="106"/>
  <c r="D4191" i="106" s="1"/>
  <c r="B321" i="106"/>
  <c r="D321" i="106" s="1"/>
  <c r="I48" i="4"/>
  <c r="B2106" i="106" s="1"/>
  <c r="D2106" i="106" s="1"/>
  <c r="B5705" i="106"/>
  <c r="D5705" i="106" s="1"/>
  <c r="D67" i="5"/>
  <c r="B5342" i="106" s="1"/>
  <c r="D5342" i="106" s="1"/>
  <c r="B5340" i="106"/>
  <c r="D5340" i="106" s="1"/>
  <c r="B6910" i="106"/>
  <c r="D6910" i="106" s="1"/>
  <c r="B6689" i="106"/>
  <c r="D6689" i="106" s="1"/>
  <c r="B108" i="106"/>
  <c r="D108" i="106" s="1"/>
  <c r="F117" i="34"/>
  <c r="B7851" i="106" s="1"/>
  <c r="D7851" i="106" s="1"/>
  <c r="B5060" i="106"/>
  <c r="D5060" i="106" s="1"/>
  <c r="B5105" i="106"/>
  <c r="D5105" i="106" s="1"/>
  <c r="B3485" i="106"/>
  <c r="D3485" i="106" s="1"/>
  <c r="B3297" i="106"/>
  <c r="D3297" i="106" s="1"/>
  <c r="H330" i="29"/>
  <c r="B7123" i="106"/>
  <c r="D7123" i="106" s="1"/>
  <c r="B2794" i="106"/>
  <c r="D2794" i="106" s="1"/>
  <c r="K227" i="29"/>
  <c r="B1466" i="106" s="1"/>
  <c r="D1466" i="106" s="1"/>
  <c r="B1402" i="106"/>
  <c r="D1402" i="106" s="1"/>
  <c r="K221" i="29"/>
  <c r="B1406" i="106"/>
  <c r="D1406" i="106" s="1"/>
  <c r="B6311" i="106"/>
  <c r="D6311" i="106" s="1"/>
  <c r="B4806" i="106"/>
  <c r="D4806" i="106" s="1"/>
  <c r="B6651" i="106"/>
  <c r="D6651" i="106" s="1"/>
  <c r="B6656" i="106"/>
  <c r="D6656" i="106" s="1"/>
  <c r="B5875" i="106"/>
  <c r="D5875" i="106" s="1"/>
  <c r="F72" i="29"/>
  <c r="B927" i="106" s="1"/>
  <c r="D927" i="106" s="1"/>
  <c r="B920" i="106"/>
  <c r="D920" i="106" s="1"/>
  <c r="B5135" i="106"/>
  <c r="D5135" i="106" s="1"/>
  <c r="B743" i="106"/>
  <c r="D743" i="106" s="1"/>
  <c r="K64" i="29"/>
  <c r="B2763" i="106"/>
  <c r="D2763" i="106" s="1"/>
  <c r="B892" i="106"/>
  <c r="D892" i="106" s="1"/>
  <c r="L229" i="29"/>
  <c r="B6860" i="106"/>
  <c r="D6860" i="106" s="1"/>
  <c r="F114" i="34"/>
  <c r="B7848" i="106" s="1"/>
  <c r="D7848" i="106" s="1"/>
  <c r="B5187" i="106"/>
  <c r="D5187" i="106" s="1"/>
  <c r="B6111" i="106"/>
  <c r="D6111" i="106" s="1"/>
  <c r="B7652" i="106"/>
  <c r="D7652" i="106" s="1"/>
  <c r="E76" i="4"/>
  <c r="B3276" i="106" s="1"/>
  <c r="D3276" i="106" s="1"/>
  <c r="B2817" i="106"/>
  <c r="D2817" i="106" s="1"/>
  <c r="B2831" i="106"/>
  <c r="D2831" i="106" s="1"/>
  <c r="K201" i="29"/>
  <c r="B2841" i="106" s="1"/>
  <c r="D2841" i="106" s="1"/>
  <c r="B5732" i="106"/>
  <c r="D5732" i="106" s="1"/>
  <c r="B7663" i="106"/>
  <c r="D7663" i="106" s="1"/>
  <c r="B6756" i="106"/>
  <c r="D6756" i="106" s="1"/>
  <c r="K126" i="29"/>
  <c r="B1277" i="106" s="1"/>
  <c r="D1277" i="106" s="1"/>
  <c r="B1254" i="106"/>
  <c r="D1254" i="106" s="1"/>
  <c r="B1002" i="106"/>
  <c r="D1002" i="106" s="1"/>
  <c r="B7673" i="106"/>
  <c r="D7673" i="106" s="1"/>
  <c r="B4192" i="106"/>
  <c r="D4192" i="106" s="1"/>
  <c r="B6125" i="106"/>
  <c r="D6125" i="106" s="1"/>
  <c r="C34" i="3"/>
  <c r="B91" i="106" s="1"/>
  <c r="D91" i="106" s="1"/>
  <c r="F108" i="5"/>
  <c r="B5587" i="106" s="1"/>
  <c r="D5587" i="106" s="1"/>
  <c r="B5583" i="106"/>
  <c r="D5583" i="106" s="1"/>
  <c r="B6365" i="106"/>
  <c r="D6365" i="106" s="1"/>
  <c r="B6404" i="106"/>
  <c r="D6404" i="106" s="1"/>
  <c r="B6754" i="106"/>
  <c r="D6754" i="106" s="1"/>
  <c r="B6998" i="106"/>
  <c r="D6998" i="106" s="1"/>
  <c r="K94" i="29"/>
  <c r="B6999" i="106" s="1"/>
  <c r="D6999" i="106" s="1"/>
  <c r="B863" i="106"/>
  <c r="D863" i="106" s="1"/>
  <c r="B7811" i="106"/>
  <c r="D7811" i="106" s="1"/>
  <c r="B6131" i="106"/>
  <c r="D6131" i="106" s="1"/>
  <c r="J34" i="3"/>
  <c r="B6191" i="106" s="1"/>
  <c r="D6191" i="106" s="1"/>
  <c r="B6148" i="106"/>
  <c r="D6148" i="106" s="1"/>
  <c r="B4792" i="106"/>
  <c r="D4792" i="106" s="1"/>
  <c r="F122" i="34"/>
  <c r="B7855" i="106" s="1"/>
  <c r="D7855" i="106" s="1"/>
  <c r="B5082" i="106"/>
  <c r="D5082" i="106" s="1"/>
  <c r="B6983" i="106"/>
  <c r="D6983" i="106" s="1"/>
  <c r="K86" i="29"/>
  <c r="B6984" i="106" s="1"/>
  <c r="D6984" i="106" s="1"/>
  <c r="B6811" i="106"/>
  <c r="D6811" i="106" s="1"/>
  <c r="B7197" i="106"/>
  <c r="D7197" i="106" s="1"/>
  <c r="B2887" i="106"/>
  <c r="D2887" i="106" s="1"/>
  <c r="B6377" i="106"/>
  <c r="D6377" i="106" s="1"/>
  <c r="B4228" i="106"/>
  <c r="D4228" i="106" s="1"/>
  <c r="B1251" i="106"/>
  <c r="D1251" i="106" s="1"/>
  <c r="G127" i="29"/>
  <c r="B1256" i="106" s="1"/>
  <c r="D1256" i="106" s="1"/>
  <c r="B7701" i="106"/>
  <c r="D7701" i="106" s="1"/>
  <c r="B6781" i="106"/>
  <c r="D6781" i="106" s="1"/>
  <c r="H340" i="29"/>
  <c r="B7214" i="106" s="1"/>
  <c r="D7214" i="106" s="1"/>
  <c r="B7208" i="106"/>
  <c r="D7208" i="106" s="1"/>
  <c r="K337" i="29"/>
  <c r="B3562" i="106"/>
  <c r="D3562" i="106" s="1"/>
  <c r="B5722" i="106"/>
  <c r="D5722" i="106" s="1"/>
  <c r="G12" i="5"/>
  <c r="B6774" i="106"/>
  <c r="D6774" i="106" s="1"/>
  <c r="B5609" i="106"/>
  <c r="D5609" i="106" s="1"/>
  <c r="B7046" i="106"/>
  <c r="D7046" i="106" s="1"/>
  <c r="G65" i="29"/>
  <c r="B977" i="106" s="1"/>
  <c r="D977" i="106" s="1"/>
  <c r="B970" i="106"/>
  <c r="D970" i="106" s="1"/>
  <c r="B6256" i="106"/>
  <c r="D6256" i="106" s="1"/>
  <c r="B988" i="106"/>
  <c r="D988" i="106" s="1"/>
  <c r="B6844" i="106"/>
  <c r="D6844" i="106" s="1"/>
  <c r="I33" i="29"/>
  <c r="B6902" i="106" s="1"/>
  <c r="D6902" i="106" s="1"/>
  <c r="B4797" i="106"/>
  <c r="D4797" i="106" s="1"/>
  <c r="C33" i="29"/>
  <c r="B720" i="106" s="1"/>
  <c r="D720" i="106" s="1"/>
  <c r="K5" i="29"/>
  <c r="B705" i="106"/>
  <c r="D705" i="106" s="1"/>
  <c r="B722" i="106"/>
  <c r="D722" i="106" s="1"/>
  <c r="K37" i="29"/>
  <c r="B1110" i="106" s="1"/>
  <c r="D1110" i="106" s="1"/>
  <c r="B4076" i="106"/>
  <c r="D4076" i="106" s="1"/>
  <c r="G18" i="5"/>
  <c r="B5730" i="106" s="1"/>
  <c r="D5730" i="106" s="1"/>
  <c r="B5726" i="106"/>
  <c r="D5726" i="106" s="1"/>
  <c r="B4335" i="106"/>
  <c r="D4335" i="106" s="1"/>
  <c r="K18" i="5"/>
  <c r="B5992" i="106" s="1"/>
  <c r="D5992" i="106" s="1"/>
  <c r="B5988" i="106"/>
  <c r="D5988" i="106" s="1"/>
  <c r="B4321" i="106"/>
  <c r="D4321" i="106" s="1"/>
  <c r="B6906" i="106"/>
  <c r="D6906" i="106" s="1"/>
  <c r="K355" i="29"/>
  <c r="B7794" i="106" s="1"/>
  <c r="D7794" i="106" s="1"/>
  <c r="B7793" i="106"/>
  <c r="D7793" i="106" s="1"/>
  <c r="B6253" i="106"/>
  <c r="D6253" i="106" s="1"/>
  <c r="B4117" i="106"/>
  <c r="D4117" i="106" s="1"/>
  <c r="G18" i="4"/>
  <c r="B4176" i="106" s="1"/>
  <c r="D4176" i="106" s="1"/>
  <c r="B7174" i="106"/>
  <c r="D7174" i="106" s="1"/>
  <c r="D350" i="29"/>
  <c r="B3624" i="106"/>
  <c r="D3624" i="106" s="1"/>
  <c r="B6126" i="106"/>
  <c r="D6126" i="106" s="1"/>
  <c r="D34" i="3"/>
  <c r="B122" i="106" s="1"/>
  <c r="D122" i="106" s="1"/>
  <c r="B6334" i="106"/>
  <c r="D6334" i="106" s="1"/>
  <c r="K202" i="29"/>
  <c r="B2842" i="106" s="1"/>
  <c r="D2842" i="106" s="1"/>
  <c r="B2832" i="106"/>
  <c r="D2832" i="106" s="1"/>
  <c r="B7110" i="106"/>
  <c r="D7110" i="106" s="1"/>
  <c r="K308" i="29"/>
  <c r="B4100" i="106" s="1"/>
  <c r="D4100" i="106" s="1"/>
  <c r="B104" i="106"/>
  <c r="D104" i="106" s="1"/>
  <c r="B732" i="106"/>
  <c r="D732" i="106" s="1"/>
  <c r="C53" i="29"/>
  <c r="B734" i="106" s="1"/>
  <c r="D734" i="106" s="1"/>
  <c r="K49" i="29"/>
  <c r="B3064" i="106"/>
  <c r="D3064" i="106" s="1"/>
  <c r="K219" i="29"/>
  <c r="B3065" i="106" s="1"/>
  <c r="D3065" i="106" s="1"/>
  <c r="B3377" i="106"/>
  <c r="D3377" i="106" s="1"/>
  <c r="H92" i="29"/>
  <c r="K85" i="29"/>
  <c r="B6982" i="106" s="1"/>
  <c r="D6982" i="106" s="1"/>
  <c r="B6981" i="106"/>
  <c r="D6981" i="106" s="1"/>
  <c r="B893" i="106"/>
  <c r="D893" i="106" s="1"/>
  <c r="B6254" i="106"/>
  <c r="D6254" i="106" s="1"/>
  <c r="B6258" i="106"/>
  <c r="D6258" i="106" s="1"/>
  <c r="D261" i="29"/>
  <c r="B1427" i="106" s="1"/>
  <c r="D1427" i="106" s="1"/>
  <c r="B1425" i="106"/>
  <c r="D1425" i="106" s="1"/>
  <c r="K259" i="29"/>
  <c r="B3371" i="106"/>
  <c r="D3371" i="106" s="1"/>
  <c r="B6681" i="106"/>
  <c r="D6681" i="106" s="1"/>
  <c r="B6922" i="106"/>
  <c r="D6922" i="106" s="1"/>
  <c r="B6138" i="106"/>
  <c r="D6138" i="106" s="1"/>
  <c r="B1009" i="106"/>
  <c r="D1009" i="106" s="1"/>
  <c r="B5996" i="106"/>
  <c r="D5996" i="106" s="1"/>
  <c r="K108" i="5"/>
  <c r="B5999" i="106" s="1"/>
  <c r="D5999" i="106" s="1"/>
  <c r="B6359" i="106"/>
  <c r="D6359" i="106" s="1"/>
  <c r="K269" i="29"/>
  <c r="B1498" i="106" s="1"/>
  <c r="D1498" i="106" s="1"/>
  <c r="B1434" i="106"/>
  <c r="D1434" i="106" s="1"/>
  <c r="B1015" i="106"/>
  <c r="D1015" i="106" s="1"/>
  <c r="H33" i="29"/>
  <c r="B1010" i="106" s="1"/>
  <c r="D1010" i="106" s="1"/>
  <c r="B995" i="106"/>
  <c r="D995" i="106" s="1"/>
  <c r="B6293" i="106"/>
  <c r="D6293" i="106" s="1"/>
  <c r="B748" i="106"/>
  <c r="D748" i="106" s="1"/>
  <c r="K69" i="29"/>
  <c r="B981" i="106"/>
  <c r="D981" i="106" s="1"/>
  <c r="K93" i="29"/>
  <c r="B6996" i="106"/>
  <c r="D6996" i="106" s="1"/>
  <c r="H100" i="29"/>
  <c r="B7012" i="106" s="1"/>
  <c r="D7012" i="106" s="1"/>
  <c r="B6745" i="106"/>
  <c r="D6745" i="106" s="1"/>
  <c r="B6894" i="106"/>
  <c r="D6894" i="106" s="1"/>
  <c r="K29" i="29"/>
  <c r="B6642" i="106"/>
  <c r="D6642" i="106" s="1"/>
  <c r="F137" i="34"/>
  <c r="B3372" i="106"/>
  <c r="D3372" i="106" s="1"/>
  <c r="B5528" i="106"/>
  <c r="D5528" i="106" s="1"/>
  <c r="E122" i="5"/>
  <c r="B904" i="106"/>
  <c r="D904" i="106" s="1"/>
  <c r="B6673" i="106"/>
  <c r="D6673" i="106" s="1"/>
  <c r="B1363" i="106"/>
  <c r="D1363" i="106" s="1"/>
  <c r="B4864" i="106"/>
  <c r="D4864" i="106" s="1"/>
  <c r="B5058" i="106"/>
  <c r="D5058" i="106" s="1"/>
  <c r="B7139" i="106"/>
  <c r="D7139" i="106" s="1"/>
  <c r="F24" i="34"/>
  <c r="B5574" i="106"/>
  <c r="D5574" i="106" s="1"/>
  <c r="B6298" i="106"/>
  <c r="D6298" i="106" s="1"/>
  <c r="J12" i="5"/>
  <c r="B11" i="7"/>
  <c r="B1752" i="106" s="1"/>
  <c r="D1752" i="106" s="1"/>
  <c r="B6338" i="106"/>
  <c r="D6338" i="106" s="1"/>
  <c r="B6733" i="106"/>
  <c r="D6733" i="106" s="1"/>
  <c r="B1534" i="106"/>
  <c r="D1534" i="106" s="1"/>
  <c r="B983" i="106"/>
  <c r="D983" i="106" s="1"/>
  <c r="B7044" i="106"/>
  <c r="D7044" i="106" s="1"/>
  <c r="B6629" i="106"/>
  <c r="D6629" i="106" s="1"/>
  <c r="B324" i="106"/>
  <c r="D324" i="106" s="1"/>
  <c r="G44" i="4"/>
  <c r="B7752" i="106"/>
  <c r="D7752" i="106" s="1"/>
  <c r="B7677" i="106"/>
  <c r="D7677" i="106" s="1"/>
  <c r="B6643" i="106"/>
  <c r="D6643" i="106" s="1"/>
  <c r="B5134" i="106"/>
  <c r="D5134" i="106" s="1"/>
  <c r="B6921" i="106"/>
  <c r="D6921" i="106" s="1"/>
  <c r="B6953" i="106"/>
  <c r="D6953" i="106" s="1"/>
  <c r="B6081" i="106"/>
  <c r="D6081" i="106" s="1"/>
  <c r="B6779" i="106"/>
  <c r="D6779" i="106" s="1"/>
  <c r="B6638" i="106"/>
  <c r="D6638" i="106" s="1"/>
  <c r="D41" i="36"/>
  <c r="J13" i="3"/>
  <c r="B6124" i="106" s="1"/>
  <c r="D6124" i="106" s="1"/>
  <c r="B6217" i="106"/>
  <c r="D6217" i="106" s="1"/>
  <c r="B717" i="106"/>
  <c r="D717" i="106" s="1"/>
  <c r="K13" i="29"/>
  <c r="B1105" i="106" s="1"/>
  <c r="D1105" i="106" s="1"/>
  <c r="B5255" i="106"/>
  <c r="D5255" i="106" s="1"/>
  <c r="B917" i="106"/>
  <c r="D917" i="106" s="1"/>
  <c r="B2908" i="106"/>
  <c r="D2908" i="106" s="1"/>
  <c r="B6140" i="106"/>
  <c r="D6140" i="106" s="1"/>
  <c r="B7032" i="106"/>
  <c r="D7032" i="106" s="1"/>
  <c r="B6121" i="106"/>
  <c r="D6121" i="106" s="1"/>
  <c r="B184" i="106"/>
  <c r="D184" i="106" s="1"/>
  <c r="B7755" i="106"/>
  <c r="D7755" i="106" s="1"/>
  <c r="K44" i="4"/>
  <c r="B3584" i="106" s="1"/>
  <c r="D3584" i="106" s="1"/>
  <c r="B5520" i="106"/>
  <c r="D5520" i="106" s="1"/>
  <c r="K80" i="29"/>
  <c r="B2975" i="106" s="1"/>
  <c r="D2975" i="106" s="1"/>
  <c r="B2951" i="106"/>
  <c r="D2951" i="106" s="1"/>
  <c r="K32" i="29"/>
  <c r="B6900" i="106"/>
  <c r="D6900" i="106" s="1"/>
  <c r="B2792" i="106"/>
  <c r="D2792" i="106" s="1"/>
  <c r="K108" i="29"/>
  <c r="B2796" i="106" s="1"/>
  <c r="D2796" i="106" s="1"/>
  <c r="B4771" i="106"/>
  <c r="D4771" i="106" s="1"/>
  <c r="L57" i="29"/>
  <c r="G188" i="5"/>
  <c r="B5785" i="106"/>
  <c r="D5785" i="106" s="1"/>
  <c r="B5743" i="106"/>
  <c r="D5743" i="106" s="1"/>
  <c r="B6976" i="106"/>
  <c r="D6976" i="106" s="1"/>
  <c r="B7654" i="106"/>
  <c r="D7654" i="106" s="1"/>
  <c r="B4358" i="106"/>
  <c r="D4358" i="106" s="1"/>
  <c r="F169" i="34"/>
  <c r="B7874" i="106" s="1"/>
  <c r="D7874" i="106" s="1"/>
  <c r="B4392" i="106"/>
  <c r="D4392" i="106" s="1"/>
  <c r="B1540" i="106"/>
  <c r="D1540" i="106" s="1"/>
  <c r="B4227" i="106"/>
  <c r="D4227" i="106" s="1"/>
  <c r="B6177" i="106"/>
  <c r="D6177" i="106" s="1"/>
  <c r="D18" i="4"/>
  <c r="B4132" i="106" s="1"/>
  <c r="D4132" i="106" s="1"/>
  <c r="B4114" i="106"/>
  <c r="D4114" i="106" s="1"/>
  <c r="B2813" i="106"/>
  <c r="D2813" i="106" s="1"/>
  <c r="K166" i="29"/>
  <c r="B2819" i="106" s="1"/>
  <c r="D2819" i="106" s="1"/>
  <c r="D40" i="36"/>
  <c r="I13" i="3"/>
  <c r="B2888" i="106" s="1"/>
  <c r="D2888" i="106" s="1"/>
  <c r="B3427" i="106"/>
  <c r="D3427" i="106" s="1"/>
  <c r="B5312" i="106"/>
  <c r="D5312" i="106" s="1"/>
  <c r="F161" i="34"/>
  <c r="B7868" i="106" s="1"/>
  <c r="D7868" i="106" s="1"/>
  <c r="L84" i="29"/>
  <c r="K130" i="29"/>
  <c r="B2797" i="106"/>
  <c r="D2797" i="106" s="1"/>
  <c r="B7674" i="106"/>
  <c r="D7674" i="106" s="1"/>
  <c r="B620" i="106"/>
  <c r="D620" i="106" s="1"/>
  <c r="B4868" i="106"/>
  <c r="D4868" i="106" s="1"/>
  <c r="B5127" i="106"/>
  <c r="D5127" i="106" s="1"/>
  <c r="B4314" i="106"/>
  <c r="D4314" i="106" s="1"/>
  <c r="B5076" i="106"/>
  <c r="D5076" i="106" s="1"/>
  <c r="H18" i="5"/>
  <c r="B5878" i="106" s="1"/>
  <c r="D5878" i="106" s="1"/>
  <c r="B5874" i="106"/>
  <c r="D5874" i="106" s="1"/>
  <c r="B2723" i="106"/>
  <c r="D2723" i="106" s="1"/>
  <c r="B845" i="106"/>
  <c r="D845" i="106" s="1"/>
  <c r="K60" i="29"/>
  <c r="B739" i="106"/>
  <c r="D739" i="106" s="1"/>
  <c r="B5591" i="106"/>
  <c r="D5591" i="106" s="1"/>
  <c r="B7128" i="106"/>
  <c r="D7128" i="106" s="1"/>
  <c r="B7118" i="106"/>
  <c r="D7118" i="106" s="1"/>
  <c r="K319" i="29"/>
  <c r="C330" i="29"/>
  <c r="B1022" i="106"/>
  <c r="D1022" i="106" s="1"/>
  <c r="H53" i="29"/>
  <c r="B1024" i="106" s="1"/>
  <c r="D1024" i="106" s="1"/>
  <c r="B6145" i="106"/>
  <c r="D6145" i="106" s="1"/>
  <c r="K89" i="29"/>
  <c r="B6990" i="106" s="1"/>
  <c r="D6990" i="106" s="1"/>
  <c r="B6989" i="106"/>
  <c r="D6989" i="106" s="1"/>
  <c r="B4337" i="106"/>
  <c r="D4337" i="106" s="1"/>
  <c r="L204" i="29"/>
  <c r="L208" i="29" s="1"/>
  <c r="B723" i="106"/>
  <c r="D723" i="106" s="1"/>
  <c r="K38" i="29"/>
  <c r="B1111" i="106" s="1"/>
  <c r="D1111" i="106" s="1"/>
  <c r="B5108" i="106"/>
  <c r="D5108" i="106" s="1"/>
  <c r="B3532" i="106"/>
  <c r="D3532" i="106" s="1"/>
  <c r="B1038" i="106"/>
  <c r="D1038" i="106" s="1"/>
  <c r="B6348" i="106"/>
  <c r="D6348" i="106" s="1"/>
  <c r="B4382" i="106"/>
  <c r="D4382" i="106" s="1"/>
  <c r="B5625" i="106"/>
  <c r="D5625" i="106" s="1"/>
  <c r="B6167" i="106"/>
  <c r="D6167" i="106" s="1"/>
  <c r="B5333" i="106"/>
  <c r="D5333" i="106" s="1"/>
  <c r="K252" i="29"/>
  <c r="B7090" i="106" s="1"/>
  <c r="D7090" i="106" s="1"/>
  <c r="B7089" i="106"/>
  <c r="D7089" i="106" s="1"/>
  <c r="B5279" i="106"/>
  <c r="D5279" i="106" s="1"/>
  <c r="F130" i="34"/>
  <c r="B7862" i="106" s="1"/>
  <c r="D7862" i="106" s="1"/>
  <c r="B5512" i="106"/>
  <c r="D5512" i="106" s="1"/>
  <c r="B2954" i="106"/>
  <c r="D2954" i="106" s="1"/>
  <c r="K83" i="29"/>
  <c r="B2978" i="106" s="1"/>
  <c r="D2978" i="106" s="1"/>
  <c r="D155" i="5"/>
  <c r="B5394" i="106" s="1"/>
  <c r="D5394" i="106" s="1"/>
  <c r="B5391" i="106"/>
  <c r="D5391" i="106" s="1"/>
  <c r="B1360" i="106"/>
  <c r="D1360" i="106" s="1"/>
  <c r="B7812" i="106"/>
  <c r="D7812" i="106" s="1"/>
  <c r="B5589" i="106"/>
  <c r="D5589" i="106" s="1"/>
  <c r="F114" i="5"/>
  <c r="B5590" i="106"/>
  <c r="D5590" i="106" s="1"/>
  <c r="B4946" i="106"/>
  <c r="D4946" i="106" s="1"/>
  <c r="B6235" i="106"/>
  <c r="D6235" i="106" s="1"/>
  <c r="B4210" i="106"/>
  <c r="D4210" i="106" s="1"/>
  <c r="K206" i="29"/>
  <c r="K351" i="29"/>
  <c r="B3671" i="106" s="1"/>
  <c r="D3671" i="106" s="1"/>
  <c r="B3620" i="106"/>
  <c r="D3620" i="106" s="1"/>
  <c r="B6720" i="106"/>
  <c r="D6720" i="106" s="1"/>
  <c r="F145" i="34"/>
  <c r="B1025" i="106"/>
  <c r="D1025" i="106" s="1"/>
  <c r="H57" i="29"/>
  <c r="B1027" i="106" s="1"/>
  <c r="D1027" i="106" s="1"/>
  <c r="B7184" i="106"/>
  <c r="D7184" i="106" s="1"/>
  <c r="B5989" i="106"/>
  <c r="D5989" i="106" s="1"/>
  <c r="B6809" i="106"/>
  <c r="D6809" i="106" s="1"/>
  <c r="F155" i="34"/>
  <c r="B6768" i="106"/>
  <c r="D6768" i="106" s="1"/>
  <c r="B5692" i="106"/>
  <c r="D5692" i="106" s="1"/>
  <c r="B1366" i="106"/>
  <c r="D1366" i="106" s="1"/>
  <c r="B6852" i="106"/>
  <c r="D6852" i="106" s="1"/>
  <c r="B5672" i="106"/>
  <c r="D5672" i="106" s="1"/>
  <c r="B4328" i="106"/>
  <c r="D4328" i="106" s="1"/>
  <c r="B6635" i="106"/>
  <c r="D6635" i="106" s="1"/>
  <c r="B7146" i="106"/>
  <c r="D7146" i="106" s="1"/>
  <c r="B134" i="106"/>
  <c r="D134" i="106" s="1"/>
  <c r="B6707" i="106"/>
  <c r="D6707" i="106" s="1"/>
  <c r="D122" i="5"/>
  <c r="B5367" i="106" s="1"/>
  <c r="D5367" i="106" s="1"/>
  <c r="B5361" i="106"/>
  <c r="D5361" i="106" s="1"/>
  <c r="B6931" i="106"/>
  <c r="D6931" i="106" s="1"/>
  <c r="E169" i="5"/>
  <c r="B5537" i="106" s="1"/>
  <c r="D5537" i="106" s="1"/>
  <c r="B6368" i="106"/>
  <c r="D6368" i="106" s="1"/>
  <c r="B7164" i="106"/>
  <c r="D7164" i="106" s="1"/>
  <c r="B7049" i="106"/>
  <c r="D7049" i="106" s="1"/>
  <c r="K148" i="29"/>
  <c r="B7050" i="106" s="1"/>
  <c r="D7050" i="106" s="1"/>
  <c r="B5884" i="106"/>
  <c r="D5884" i="106" s="1"/>
  <c r="B7059" i="106"/>
  <c r="D7059" i="106" s="1"/>
  <c r="B2956" i="106"/>
  <c r="D2956" i="106" s="1"/>
  <c r="B6292" i="106"/>
  <c r="D6292" i="106" s="1"/>
  <c r="B2998" i="106"/>
  <c r="D2998" i="106" s="1"/>
  <c r="B5463" i="106"/>
  <c r="D5463" i="106" s="1"/>
  <c r="B6322" i="106"/>
  <c r="D6322" i="106" s="1"/>
  <c r="B4084" i="106"/>
  <c r="D4084" i="106" s="1"/>
  <c r="F184" i="29"/>
  <c r="B6951" i="106"/>
  <c r="D6951" i="106" s="1"/>
  <c r="J65" i="29"/>
  <c r="B6962" i="106" s="1"/>
  <c r="D6962" i="106" s="1"/>
  <c r="B5517" i="106"/>
  <c r="D5517" i="106" s="1"/>
  <c r="B7781" i="106"/>
  <c r="D7781" i="106" s="1"/>
  <c r="K159" i="29"/>
  <c r="B7782" i="106" s="1"/>
  <c r="D7782" i="106" s="1"/>
  <c r="B6716" i="106"/>
  <c r="D6716" i="106" s="1"/>
  <c r="B909" i="106"/>
  <c r="D909" i="106" s="1"/>
  <c r="F57" i="29"/>
  <c r="B911" i="106" s="1"/>
  <c r="D911" i="106" s="1"/>
  <c r="B6772" i="106"/>
  <c r="D6772" i="106" s="1"/>
  <c r="F134" i="34"/>
  <c r="B6622" i="106"/>
  <c r="D6622" i="106" s="1"/>
  <c r="B6939" i="106"/>
  <c r="D6939" i="106" s="1"/>
  <c r="B7659" i="106"/>
  <c r="D7659" i="106" s="1"/>
  <c r="B6792" i="106"/>
  <c r="D6792" i="106" s="1"/>
  <c r="B4853" i="106"/>
  <c r="D4853" i="106" s="1"/>
  <c r="B6335" i="106"/>
  <c r="D6335" i="106" s="1"/>
  <c r="L168" i="29"/>
  <c r="L172" i="29" s="1"/>
  <c r="J184" i="29"/>
  <c r="B7058" i="106"/>
  <c r="D7058" i="106" s="1"/>
  <c r="B4355" i="106"/>
  <c r="D4355" i="106" s="1"/>
  <c r="B3375" i="106"/>
  <c r="D3375" i="106" s="1"/>
  <c r="B897" i="106"/>
  <c r="D897" i="106" s="1"/>
  <c r="B4318" i="106"/>
  <c r="D4318" i="106" s="1"/>
  <c r="D270" i="29"/>
  <c r="B1436" i="106" s="1"/>
  <c r="D1436" i="106" s="1"/>
  <c r="K263" i="29"/>
  <c r="B1428" i="106"/>
  <c r="D1428" i="106" s="1"/>
  <c r="B6312" i="106"/>
  <c r="D6312" i="106" s="1"/>
  <c r="F88" i="34"/>
  <c r="B6878" i="106"/>
  <c r="D6878" i="106" s="1"/>
  <c r="K21" i="29"/>
  <c r="B6675" i="106"/>
  <c r="D6675" i="106" s="1"/>
  <c r="B206" i="106"/>
  <c r="D206" i="106" s="1"/>
  <c r="B5519" i="106"/>
  <c r="D5519" i="106" s="1"/>
  <c r="E67" i="5"/>
  <c r="B5521" i="106" s="1"/>
  <c r="D5521" i="106" s="1"/>
  <c r="B6402" i="106"/>
  <c r="D6402" i="106" s="1"/>
  <c r="G198" i="5"/>
  <c r="B6409" i="106" s="1"/>
  <c r="D6409" i="106" s="1"/>
  <c r="B7651" i="106"/>
  <c r="D7651" i="106" s="1"/>
  <c r="B7728" i="106"/>
  <c r="D7728" i="106" s="1"/>
  <c r="B3367" i="106"/>
  <c r="D3367" i="106" s="1"/>
  <c r="K19" i="29"/>
  <c r="B3381" i="106" s="1"/>
  <c r="D3381" i="106" s="1"/>
  <c r="F76" i="4"/>
  <c r="B3254" i="106" s="1"/>
  <c r="D3254" i="106" s="1"/>
  <c r="B5024" i="106"/>
  <c r="D5024" i="106" s="1"/>
  <c r="B7142" i="106"/>
  <c r="D7142" i="106" s="1"/>
  <c r="B4408" i="106"/>
  <c r="D4408" i="106" s="1"/>
  <c r="B6971" i="106"/>
  <c r="D6971" i="106" s="1"/>
  <c r="B6786" i="106"/>
  <c r="D6786" i="106" s="1"/>
  <c r="B6134" i="106"/>
  <c r="D6134" i="106" s="1"/>
  <c r="B7228" i="106"/>
  <c r="D7228" i="106" s="1"/>
  <c r="K157" i="29"/>
  <c r="H160" i="29"/>
  <c r="B7053" i="106" s="1"/>
  <c r="D7053" i="106" s="1"/>
  <c r="B7777" i="106"/>
  <c r="D7777" i="106" s="1"/>
  <c r="B6165" i="106"/>
  <c r="D6165" i="106" s="1"/>
  <c r="C252" i="5"/>
  <c r="B6833" i="106" s="1"/>
  <c r="D6833" i="106" s="1"/>
  <c r="B6614" i="106"/>
  <c r="D6614" i="106" s="1"/>
  <c r="B4338" i="106"/>
  <c r="D4338" i="106" s="1"/>
  <c r="B7802" i="106"/>
  <c r="D7802" i="106" s="1"/>
  <c r="B6354" i="106"/>
  <c r="D6354" i="106" s="1"/>
  <c r="B6660" i="106"/>
  <c r="D6660" i="106" s="1"/>
  <c r="B7672" i="106"/>
  <c r="D7672" i="106" s="1"/>
  <c r="B6113" i="106"/>
  <c r="D6113" i="106" s="1"/>
  <c r="B5384" i="106"/>
  <c r="D5384" i="106" s="1"/>
  <c r="B7679" i="106"/>
  <c r="D7679" i="106" s="1"/>
  <c r="B2979" i="106"/>
  <c r="D2979" i="106" s="1"/>
  <c r="B6332" i="106"/>
  <c r="D6332" i="106" s="1"/>
  <c r="B6963" i="106"/>
  <c r="D6963" i="106" s="1"/>
  <c r="I72" i="29"/>
  <c r="B6973" i="106" s="1"/>
  <c r="D6973" i="106" s="1"/>
  <c r="B4409" i="106"/>
  <c r="D4409" i="106" s="1"/>
  <c r="D71" i="36"/>
  <c r="B5012" i="106"/>
  <c r="D5012" i="106" s="1"/>
  <c r="B88" i="106"/>
  <c r="D88" i="106" s="1"/>
  <c r="B6867" i="106"/>
  <c r="D6867" i="106" s="1"/>
  <c r="B6798" i="106"/>
  <c r="D6798" i="106" s="1"/>
  <c r="B6677" i="106"/>
  <c r="D6677" i="106" s="1"/>
  <c r="B4322" i="106"/>
  <c r="D4322" i="106" s="1"/>
  <c r="B6290" i="106"/>
  <c r="D6290" i="106" s="1"/>
  <c r="D73" i="36"/>
  <c r="B922" i="106"/>
  <c r="D922" i="106" s="1"/>
  <c r="K62" i="29"/>
  <c r="B741" i="106"/>
  <c r="D741" i="106" s="1"/>
  <c r="B1347" i="106"/>
  <c r="D1347" i="106" s="1"/>
  <c r="F19" i="34"/>
  <c r="B5567" i="106"/>
  <c r="D5567" i="106" s="1"/>
  <c r="B5879" i="106"/>
  <c r="D5879" i="106" s="1"/>
  <c r="H67" i="5"/>
  <c r="B5881" i="106" s="1"/>
  <c r="D5881" i="106" s="1"/>
  <c r="J108" i="5"/>
  <c r="B6351" i="106" s="1"/>
  <c r="D6351" i="106" s="1"/>
  <c r="B6319" i="106"/>
  <c r="D6319" i="106" s="1"/>
  <c r="B6232" i="106"/>
  <c r="D6232" i="106" s="1"/>
  <c r="B855" i="106"/>
  <c r="D855" i="106" s="1"/>
  <c r="K234" i="29"/>
  <c r="B1477" i="106" s="1"/>
  <c r="D1477" i="106" s="1"/>
  <c r="B1413" i="106"/>
  <c r="D1413" i="106" s="1"/>
  <c r="B5084" i="106"/>
  <c r="D5084" i="106" s="1"/>
  <c r="B6702" i="106"/>
  <c r="D6702" i="106" s="1"/>
  <c r="F140" i="34"/>
  <c r="B6666" i="106"/>
  <c r="D6666" i="106" s="1"/>
  <c r="B6805" i="106"/>
  <c r="D6805" i="106" s="1"/>
  <c r="B5817" i="106"/>
  <c r="D5817" i="106" s="1"/>
  <c r="G217" i="5"/>
  <c r="B5829" i="106" s="1"/>
  <c r="D5829" i="106" s="1"/>
  <c r="B3389" i="106"/>
  <c r="D3389" i="106" s="1"/>
  <c r="K228" i="29"/>
  <c r="B3392" i="106" s="1"/>
  <c r="D3392" i="106" s="1"/>
  <c r="I34" i="3"/>
  <c r="B2910" i="106" s="1"/>
  <c r="D2910" i="106" s="1"/>
  <c r="B6139" i="106"/>
  <c r="D6139" i="106" s="1"/>
  <c r="I18" i="5"/>
  <c r="B5923" i="106" s="1"/>
  <c r="D5923" i="106" s="1"/>
  <c r="B5919" i="106"/>
  <c r="D5919" i="106" s="1"/>
  <c r="B7133" i="106"/>
  <c r="D7133" i="106" s="1"/>
  <c r="D127" i="29"/>
  <c r="B1231" i="106" s="1"/>
  <c r="D1231" i="106" s="1"/>
  <c r="B1227" i="106"/>
  <c r="D1227" i="106" s="1"/>
  <c r="B126" i="106"/>
  <c r="D126" i="106" s="1"/>
  <c r="E13" i="3"/>
  <c r="B131" i="106" s="1"/>
  <c r="D131" i="106" s="1"/>
  <c r="F13" i="3"/>
  <c r="B157" i="106" s="1"/>
  <c r="D157" i="106" s="1"/>
  <c r="D37" i="36"/>
  <c r="B3419" i="106"/>
  <c r="D3419" i="106" s="1"/>
  <c r="B7101" i="106"/>
  <c r="D7101" i="106" s="1"/>
  <c r="K45" i="29"/>
  <c r="B1117" i="106" s="1"/>
  <c r="D1117" i="106" s="1"/>
  <c r="B729" i="106"/>
  <c r="D729" i="106" s="1"/>
  <c r="B4181" i="106"/>
  <c r="D4181" i="106" s="1"/>
  <c r="B7753" i="106"/>
  <c r="D7753" i="106" s="1"/>
  <c r="B7883" i="106"/>
  <c r="D7883" i="106" s="1"/>
  <c r="B7803" i="106"/>
  <c r="D7803" i="106" s="1"/>
  <c r="F303" i="29"/>
  <c r="B1537" i="106"/>
  <c r="D1537" i="106" s="1"/>
  <c r="B6627" i="106"/>
  <c r="D6627" i="106" s="1"/>
  <c r="B6381" i="106"/>
  <c r="D6381" i="106" s="1"/>
  <c r="B6350" i="106"/>
  <c r="D6350" i="106" s="1"/>
  <c r="L100" i="29"/>
  <c r="L102" i="29" s="1"/>
  <c r="B6105" i="106"/>
  <c r="D6105" i="106" s="1"/>
  <c r="B858" i="106"/>
  <c r="D858" i="106" s="1"/>
  <c r="B4920" i="106"/>
  <c r="D4920" i="106" s="1"/>
  <c r="B6339" i="106"/>
  <c r="D6339" i="106" s="1"/>
  <c r="K7" i="12"/>
  <c r="B4801" i="106"/>
  <c r="D4801" i="106" s="1"/>
  <c r="B6102" i="106"/>
  <c r="D6102" i="106" s="1"/>
  <c r="K324" i="29"/>
  <c r="B7163" i="106"/>
  <c r="D7163" i="106" s="1"/>
  <c r="B1447" i="106"/>
  <c r="D1447" i="106" s="1"/>
  <c r="K280" i="29"/>
  <c r="B6146" i="106"/>
  <c r="D6146" i="106" s="1"/>
  <c r="B899" i="106"/>
  <c r="D899" i="106" s="1"/>
  <c r="I350" i="29"/>
  <c r="B7226" i="106"/>
  <c r="D7226" i="106" s="1"/>
  <c r="B7765" i="106"/>
  <c r="D7765" i="106" s="1"/>
  <c r="F160" i="34"/>
  <c r="B7867" i="106" s="1"/>
  <c r="D7867" i="106" s="1"/>
  <c r="B6664" i="106"/>
  <c r="D6664" i="106" s="1"/>
  <c r="C57" i="29"/>
  <c r="B737" i="106" s="1"/>
  <c r="D737" i="106" s="1"/>
  <c r="K55" i="29"/>
  <c r="B735" i="106"/>
  <c r="D735" i="106" s="1"/>
  <c r="F116" i="34"/>
  <c r="B7850" i="106" s="1"/>
  <c r="D7850" i="106" s="1"/>
  <c r="B5056" i="106"/>
  <c r="D5056" i="106" s="1"/>
  <c r="E252" i="5"/>
  <c r="B6616" i="106"/>
  <c r="D6616" i="106" s="1"/>
  <c r="B6175" i="106"/>
  <c r="D6175" i="106" s="1"/>
  <c r="C132" i="5"/>
  <c r="B5133" i="106"/>
  <c r="D5133" i="106" s="1"/>
  <c r="B1229" i="106"/>
  <c r="D1229" i="106" s="1"/>
  <c r="B6831" i="106"/>
  <c r="D6831" i="106" s="1"/>
  <c r="B4200" i="106"/>
  <c r="D4200" i="106" s="1"/>
  <c r="K135" i="29"/>
  <c r="B2987" i="106" s="1"/>
  <c r="D2987" i="106" s="1"/>
  <c r="B6644" i="106"/>
  <c r="D6644" i="106" s="1"/>
  <c r="B7688" i="106"/>
  <c r="D7688" i="106" s="1"/>
  <c r="K328" i="29"/>
  <c r="B6908" i="106"/>
  <c r="D6908" i="106" s="1"/>
  <c r="B7102" i="106"/>
  <c r="D7102" i="106" s="1"/>
  <c r="B4794" i="106"/>
  <c r="D4794" i="106" s="1"/>
  <c r="B7661" i="106"/>
  <c r="D7661" i="106" s="1"/>
  <c r="B7194" i="106"/>
  <c r="D7194" i="106" s="1"/>
  <c r="B1011" i="106"/>
  <c r="D1011" i="106" s="1"/>
  <c r="H42" i="29"/>
  <c r="B7027" i="106"/>
  <c r="D7027" i="106" s="1"/>
  <c r="B6783" i="106"/>
  <c r="D6783" i="106" s="1"/>
  <c r="B6817" i="106"/>
  <c r="D6817" i="106" s="1"/>
  <c r="F156" i="34"/>
  <c r="B6342" i="106"/>
  <c r="D6342" i="106" s="1"/>
  <c r="B7246" i="106"/>
  <c r="D7246" i="106" s="1"/>
  <c r="D33" i="29"/>
  <c r="B778" i="106" s="1"/>
  <c r="D778" i="106" s="1"/>
  <c r="B6291" i="106"/>
  <c r="D6291" i="106" s="1"/>
  <c r="B3370" i="106"/>
  <c r="D3370" i="106" s="1"/>
  <c r="B6147" i="106"/>
  <c r="D6147" i="106" s="1"/>
  <c r="B948" i="106"/>
  <c r="D948" i="106" s="1"/>
  <c r="B6116" i="106"/>
  <c r="D6116" i="106" s="1"/>
  <c r="B5991" i="106"/>
  <c r="D5991" i="106" s="1"/>
  <c r="B5736" i="106"/>
  <c r="D5736" i="106" s="1"/>
  <c r="B6112" i="106"/>
  <c r="D6112" i="106" s="1"/>
  <c r="B5153" i="106"/>
  <c r="D5153" i="106" s="1"/>
  <c r="B3582" i="106"/>
  <c r="D3582" i="106" s="1"/>
  <c r="B5078" i="106"/>
  <c r="D5078" i="106" s="1"/>
  <c r="B6865" i="106"/>
  <c r="D6865" i="106" s="1"/>
  <c r="B6915" i="106"/>
  <c r="D6915" i="106" s="1"/>
  <c r="D18" i="5"/>
  <c r="B5339" i="106" s="1"/>
  <c r="D5339" i="106" s="1"/>
  <c r="B5335" i="106"/>
  <c r="D5335" i="106" s="1"/>
  <c r="D209" i="5"/>
  <c r="B4412" i="106" s="1"/>
  <c r="D4412" i="106" s="1"/>
  <c r="B5440" i="106"/>
  <c r="D5440" i="106" s="1"/>
  <c r="J330" i="29"/>
  <c r="B7125" i="106"/>
  <c r="D7125" i="106" s="1"/>
  <c r="B6100" i="106"/>
  <c r="D6100" i="106" s="1"/>
  <c r="B3618" i="106"/>
  <c r="D3618" i="106" s="1"/>
  <c r="K349" i="29"/>
  <c r="B3669" i="106" s="1"/>
  <c r="D3669" i="106" s="1"/>
  <c r="B971" i="106"/>
  <c r="D971" i="106" s="1"/>
  <c r="B5921" i="106"/>
  <c r="D5921" i="106" s="1"/>
  <c r="G33" i="29"/>
  <c r="B937" i="106"/>
  <c r="D937" i="106" s="1"/>
  <c r="B6155" i="106"/>
  <c r="D6155" i="106" s="1"/>
  <c r="B5358" i="106"/>
  <c r="D5358" i="106" s="1"/>
  <c r="B6876" i="106"/>
  <c r="D6876" i="106" s="1"/>
  <c r="K20" i="29"/>
  <c r="B4446" i="106"/>
  <c r="D4446" i="106" s="1"/>
  <c r="B6870" i="106"/>
  <c r="D6870" i="106" s="1"/>
  <c r="B2808" i="106"/>
  <c r="D2808" i="106" s="1"/>
  <c r="K145" i="29"/>
  <c r="B2811" i="106" s="1"/>
  <c r="D2811" i="106" s="1"/>
  <c r="B17" i="7"/>
  <c r="B5064" i="106"/>
  <c r="D5064" i="106" s="1"/>
  <c r="B2952" i="106"/>
  <c r="D2952" i="106" s="1"/>
  <c r="K81" i="29"/>
  <c r="B2976" i="106" s="1"/>
  <c r="D2976" i="106" s="1"/>
  <c r="B6678" i="106"/>
  <c r="D6678" i="106" s="1"/>
  <c r="B5368" i="106"/>
  <c r="D5368" i="106" s="1"/>
  <c r="D132" i="5"/>
  <c r="B6755" i="106"/>
  <c r="D6755" i="106" s="1"/>
  <c r="B6156" i="106"/>
  <c r="D6156" i="106" s="1"/>
  <c r="B6919" i="106"/>
  <c r="D6919" i="106" s="1"/>
  <c r="J47" i="29"/>
  <c r="B6925" i="106" s="1"/>
  <c r="D6925" i="106" s="1"/>
  <c r="B6347" i="106"/>
  <c r="D6347" i="106" s="1"/>
  <c r="B6862" i="106"/>
  <c r="D6862" i="106" s="1"/>
  <c r="B6785" i="106"/>
  <c r="D6785" i="106" s="1"/>
  <c r="B6299" i="106"/>
  <c r="D6299" i="106" s="1"/>
  <c r="B651" i="106"/>
  <c r="D651" i="106" s="1"/>
  <c r="B5164" i="106"/>
  <c r="D5164" i="106" s="1"/>
  <c r="B6309" i="106"/>
  <c r="D6309" i="106" s="1"/>
  <c r="B4393" i="106"/>
  <c r="D4393" i="106" s="1"/>
  <c r="G145" i="5"/>
  <c r="B5756" i="106" s="1"/>
  <c r="D5756" i="106" s="1"/>
  <c r="B5754" i="106"/>
  <c r="D5754" i="106" s="1"/>
  <c r="B6337" i="106"/>
  <c r="D6337" i="106" s="1"/>
  <c r="B6670" i="106"/>
  <c r="D6670" i="106" s="1"/>
  <c r="B6362" i="106"/>
  <c r="D6362" i="106" s="1"/>
  <c r="B4918" i="106"/>
  <c r="D4918" i="106" s="1"/>
  <c r="B1252" i="106"/>
  <c r="D1252" i="106" s="1"/>
  <c r="B4343" i="106"/>
  <c r="D4343" i="106" s="1"/>
  <c r="F209" i="5"/>
  <c r="B4413" i="106" s="1"/>
  <c r="D4413" i="106" s="1"/>
  <c r="B5673" i="106"/>
  <c r="D5673" i="106" s="1"/>
  <c r="B3228" i="106"/>
  <c r="D3228" i="106" s="1"/>
  <c r="C175" i="5"/>
  <c r="B5225" i="106" s="1"/>
  <c r="D5225" i="106" s="1"/>
  <c r="B5224" i="106"/>
  <c r="D5224" i="106" s="1"/>
  <c r="B7036" i="106"/>
  <c r="D7036" i="106" s="1"/>
  <c r="B5708" i="106"/>
  <c r="D5708" i="106" s="1"/>
  <c r="B6133" i="106"/>
  <c r="D6133" i="106" s="1"/>
  <c r="B4332" i="106"/>
  <c r="D4332" i="106" s="1"/>
  <c r="B4855" i="106"/>
  <c r="D4855" i="106" s="1"/>
  <c r="B7787" i="106"/>
  <c r="D7787" i="106" s="1"/>
  <c r="K333" i="29"/>
  <c r="B7788" i="106" s="1"/>
  <c r="D7788" i="106" s="1"/>
  <c r="B7267" i="106"/>
  <c r="B7150" i="106"/>
  <c r="D7150" i="106" s="1"/>
  <c r="B1029" i="106"/>
  <c r="D1029" i="106" s="1"/>
  <c r="B6233" i="106"/>
  <c r="D6233" i="106" s="1"/>
  <c r="B6296" i="106"/>
  <c r="D6296" i="106" s="1"/>
  <c r="B7026" i="106"/>
  <c r="D7026" i="106" s="1"/>
  <c r="B6260" i="106"/>
  <c r="D6260" i="106" s="1"/>
  <c r="B6143" i="106"/>
  <c r="D6143" i="106" s="1"/>
  <c r="B7014" i="106"/>
  <c r="D7014" i="106" s="1"/>
  <c r="K283" i="29"/>
  <c r="B3723" i="106" s="1"/>
  <c r="D3723" i="106" s="1"/>
  <c r="B3721" i="106"/>
  <c r="D3721" i="106" s="1"/>
  <c r="B6408" i="106"/>
  <c r="D6408" i="106" s="1"/>
  <c r="B5791" i="106"/>
  <c r="D5791" i="106" s="1"/>
  <c r="K134" i="29"/>
  <c r="B2986" i="106" s="1"/>
  <c r="D2986" i="106" s="1"/>
  <c r="B4199" i="106"/>
  <c r="D4199" i="106" s="1"/>
  <c r="B6934" i="106"/>
  <c r="D6934" i="106" s="1"/>
  <c r="H110" i="29"/>
  <c r="K105" i="29"/>
  <c r="B1048" i="106"/>
  <c r="D1048" i="106" s="1"/>
  <c r="B7138" i="106"/>
  <c r="D7138" i="106" s="1"/>
  <c r="B5755" i="106"/>
  <c r="D5755" i="106" s="1"/>
  <c r="B1007" i="106"/>
  <c r="D1007" i="106" s="1"/>
  <c r="B6249" i="106"/>
  <c r="D6249" i="106" s="1"/>
  <c r="B7190" i="106"/>
  <c r="D7190" i="106" s="1"/>
  <c r="K327" i="29"/>
  <c r="F93" i="34"/>
  <c r="B5575" i="106"/>
  <c r="D5575" i="106" s="1"/>
  <c r="B7636" i="106"/>
  <c r="K51" i="29"/>
  <c r="B2718" i="106"/>
  <c r="D2718" i="106" s="1"/>
  <c r="B6787" i="106"/>
  <c r="D6787" i="106" s="1"/>
  <c r="C65" i="29"/>
  <c r="B745" i="106" s="1"/>
  <c r="D745" i="106" s="1"/>
  <c r="K59" i="29"/>
  <c r="B738" i="106"/>
  <c r="D738" i="106" s="1"/>
  <c r="B7260" i="106"/>
  <c r="D7260" i="106" s="1"/>
  <c r="B3060" i="106"/>
  <c r="D3060" i="106" s="1"/>
  <c r="K222" i="29"/>
  <c r="B1471" i="106" s="1"/>
  <c r="D1471" i="106" s="1"/>
  <c r="B1407" i="106"/>
  <c r="D1407" i="106" s="1"/>
  <c r="B1033" i="106"/>
  <c r="D1033" i="106" s="1"/>
  <c r="B6732" i="106"/>
  <c r="D6732" i="106" s="1"/>
  <c r="K292" i="29"/>
  <c r="B1514" i="106" s="1"/>
  <c r="D1514" i="106" s="1"/>
  <c r="B1451" i="106"/>
  <c r="D1451" i="106" s="1"/>
  <c r="B859" i="106"/>
  <c r="D859" i="106" s="1"/>
  <c r="B1396" i="106"/>
  <c r="D1396" i="106" s="1"/>
  <c r="K225" i="29"/>
  <c r="B1460" i="106" s="1"/>
  <c r="D1460" i="106" s="1"/>
  <c r="B7177" i="106"/>
  <c r="D7177" i="106" s="1"/>
  <c r="B6234" i="106"/>
  <c r="D6234" i="106" s="1"/>
  <c r="B4312" i="106"/>
  <c r="D4312" i="106" s="1"/>
  <c r="B5081" i="106"/>
  <c r="D5081" i="106" s="1"/>
  <c r="B7113" i="106"/>
  <c r="D7113" i="106" s="1"/>
  <c r="L72" i="29"/>
  <c r="D12" i="5"/>
  <c r="B5" i="7"/>
  <c r="B5328" i="106"/>
  <c r="D5328" i="106" s="1"/>
  <c r="B2999" i="106"/>
  <c r="D2999" i="106" s="1"/>
  <c r="B6304" i="106"/>
  <c r="D6304" i="106" s="1"/>
  <c r="B896" i="106"/>
  <c r="D896" i="106" s="1"/>
  <c r="B5074" i="106"/>
  <c r="D5074" i="106" s="1"/>
  <c r="B6090" i="106"/>
  <c r="D6090" i="106" s="1"/>
  <c r="B6933" i="106"/>
  <c r="D6933" i="106" s="1"/>
  <c r="B5860" i="106"/>
  <c r="D5860" i="106" s="1"/>
  <c r="B6324" i="106"/>
  <c r="D6324" i="106" s="1"/>
  <c r="B6771" i="106"/>
  <c r="D6771" i="106" s="1"/>
  <c r="B4949" i="106"/>
  <c r="D4949" i="106" s="1"/>
  <c r="B1046" i="106"/>
  <c r="D1046" i="106" s="1"/>
  <c r="B5556" i="106"/>
  <c r="D5556" i="106" s="1"/>
  <c r="B6855" i="106"/>
  <c r="D6855" i="106" s="1"/>
  <c r="F20" i="34"/>
  <c r="B5568" i="106"/>
  <c r="D5568" i="106" s="1"/>
  <c r="B5013" i="106"/>
  <c r="D5013" i="106" s="1"/>
  <c r="B6361" i="106"/>
  <c r="D6361" i="106" s="1"/>
  <c r="B7806" i="106"/>
  <c r="D7806" i="106" s="1"/>
  <c r="K273" i="29"/>
  <c r="B1502" i="106" s="1"/>
  <c r="D1502" i="106" s="1"/>
  <c r="B1438" i="106"/>
  <c r="D1438" i="106" s="1"/>
  <c r="B6851" i="106"/>
  <c r="D6851" i="106" s="1"/>
  <c r="B3161" i="106"/>
  <c r="D3161" i="106" s="1"/>
  <c r="H51" i="4"/>
  <c r="B3170" i="106" s="1"/>
  <c r="D3170" i="106" s="1"/>
  <c r="B7805" i="106"/>
  <c r="D7805" i="106" s="1"/>
  <c r="B7155" i="106"/>
  <c r="D7155" i="106" s="1"/>
  <c r="B5600" i="106"/>
  <c r="D5600" i="106" s="1"/>
  <c r="F132" i="5"/>
  <c r="B986" i="106"/>
  <c r="D986" i="106" s="1"/>
  <c r="B4380" i="106"/>
  <c r="D4380" i="106" s="1"/>
  <c r="E33" i="29"/>
  <c r="B836" i="106" s="1"/>
  <c r="D836" i="106" s="1"/>
  <c r="B821" i="106"/>
  <c r="D821" i="106" s="1"/>
  <c r="B2092" i="106"/>
  <c r="D2092" i="106" s="1"/>
  <c r="K138" i="29"/>
  <c r="B2094" i="106" s="1"/>
  <c r="D2094" i="106" s="1"/>
  <c r="B4874" i="106"/>
  <c r="D4874" i="106" s="1"/>
  <c r="B6176" i="106"/>
  <c r="D6176" i="106" s="1"/>
  <c r="B6975" i="106"/>
  <c r="D6975" i="106" s="1"/>
  <c r="B5529" i="106"/>
  <c r="D5529" i="106" s="1"/>
  <c r="B6184" i="106"/>
  <c r="D6184" i="106" s="1"/>
  <c r="B4811" i="106"/>
  <c r="D4811" i="106" s="1"/>
  <c r="B6648" i="106"/>
  <c r="D6648" i="106" s="1"/>
  <c r="B6967" i="106"/>
  <c r="D6967" i="106" s="1"/>
  <c r="B2801" i="106"/>
  <c r="D2801" i="106" s="1"/>
  <c r="B5022" i="106"/>
  <c r="D5022" i="106" s="1"/>
  <c r="C76" i="4"/>
  <c r="B3231" i="106" s="1"/>
  <c r="D3231" i="106" s="1"/>
  <c r="B6326" i="106"/>
  <c r="D6326" i="106" s="1"/>
  <c r="B5604" i="106"/>
  <c r="D5604" i="106" s="1"/>
  <c r="B3486" i="106"/>
  <c r="D3486" i="106" s="1"/>
  <c r="B6086" i="106"/>
  <c r="D6086" i="106" s="1"/>
  <c r="B6728" i="106"/>
  <c r="D6728" i="106" s="1"/>
  <c r="B5393" i="106"/>
  <c r="D5393" i="106" s="1"/>
  <c r="B6775" i="106"/>
  <c r="D6775" i="106" s="1"/>
  <c r="B6738" i="106"/>
  <c r="D6738" i="106" s="1"/>
  <c r="B6152" i="106"/>
  <c r="D6152" i="106" s="1"/>
  <c r="F153" i="34"/>
  <c r="B6793" i="106"/>
  <c r="D6793" i="106" s="1"/>
  <c r="B7030" i="106"/>
  <c r="D7030" i="106" s="1"/>
  <c r="B7195" i="106"/>
  <c r="D7195" i="106" s="1"/>
  <c r="B2719" i="106"/>
  <c r="D2719" i="106" s="1"/>
  <c r="B6636" i="106"/>
  <c r="D6636" i="106" s="1"/>
  <c r="G72" i="29"/>
  <c r="B985" i="106" s="1"/>
  <c r="D985" i="106" s="1"/>
  <c r="B978" i="106"/>
  <c r="D978" i="106" s="1"/>
  <c r="B6405" i="106"/>
  <c r="D6405" i="106" s="1"/>
  <c r="B961" i="106"/>
  <c r="D961" i="106" s="1"/>
  <c r="B2725" i="106"/>
  <c r="D2725" i="106" s="1"/>
  <c r="K247" i="29"/>
  <c r="B2726" i="106" s="1"/>
  <c r="D2726" i="106" s="1"/>
  <c r="B6149" i="106"/>
  <c r="D6149" i="106" s="1"/>
  <c r="B7762" i="106"/>
  <c r="D7762" i="106" s="1"/>
  <c r="K6" i="29"/>
  <c r="B7763" i="106" s="1"/>
  <c r="D7763" i="106" s="1"/>
  <c r="B4808" i="106"/>
  <c r="D4808" i="106" s="1"/>
  <c r="B814" i="106"/>
  <c r="D814" i="106" s="1"/>
  <c r="B6765" i="106"/>
  <c r="D6765" i="106" s="1"/>
  <c r="B2766" i="106"/>
  <c r="D2766" i="106" s="1"/>
  <c r="L293" i="29"/>
  <c r="B5111" i="106"/>
  <c r="D5111" i="106" s="1"/>
  <c r="F101" i="34"/>
  <c r="F109" i="34"/>
  <c r="B5167" i="106"/>
  <c r="D5167" i="106" s="1"/>
  <c r="B6295" i="106"/>
  <c r="D6295" i="106" s="1"/>
  <c r="B6307" i="106"/>
  <c r="D6307" i="106" s="1"/>
  <c r="B145" i="106"/>
  <c r="D145" i="106" s="1"/>
  <c r="B7060" i="106"/>
  <c r="D7060" i="106" s="1"/>
  <c r="B3655" i="106"/>
  <c r="D3655" i="106" s="1"/>
  <c r="K289" i="29"/>
  <c r="B1513" i="106" s="1"/>
  <c r="D1513" i="106" s="1"/>
  <c r="B1450" i="106"/>
  <c r="D1450" i="106" s="1"/>
  <c r="B2994" i="106"/>
  <c r="D2994" i="106" s="1"/>
  <c r="K193" i="29"/>
  <c r="B3012" i="106" s="1"/>
  <c r="D3012" i="106" s="1"/>
  <c r="B5876" i="106"/>
  <c r="D5876" i="106" s="1"/>
  <c r="B5243" i="106"/>
  <c r="D5243" i="106" s="1"/>
  <c r="B6824" i="106"/>
  <c r="D6824" i="106" s="1"/>
  <c r="K101" i="29"/>
  <c r="B7015" i="106" s="1"/>
  <c r="D7015" i="106" s="1"/>
  <c r="B2947" i="106"/>
  <c r="D2947" i="106" s="1"/>
  <c r="B5462" i="106"/>
  <c r="D5462" i="106" s="1"/>
  <c r="B6171" i="106"/>
  <c r="D6171" i="106" s="1"/>
  <c r="B718" i="106"/>
  <c r="D718" i="106" s="1"/>
  <c r="K14" i="29"/>
  <c r="B1106" i="106" s="1"/>
  <c r="D1106" i="106" s="1"/>
  <c r="B3641" i="106"/>
  <c r="D3641" i="106" s="1"/>
  <c r="B5362" i="106"/>
  <c r="D5362" i="106" s="1"/>
  <c r="B5080" i="106"/>
  <c r="D5080" i="106" s="1"/>
  <c r="B1013" i="106"/>
  <c r="D1013" i="106" s="1"/>
  <c r="B6344" i="106"/>
  <c r="D6344" i="106" s="1"/>
  <c r="F171" i="34"/>
  <c r="B7876" i="106" s="1"/>
  <c r="D7876" i="106" s="1"/>
  <c r="B4852" i="106"/>
  <c r="D4852" i="106" s="1"/>
  <c r="B1244" i="106"/>
  <c r="D1244" i="106" s="1"/>
  <c r="B166" i="106"/>
  <c r="D166" i="106" s="1"/>
  <c r="B1051" i="106"/>
  <c r="D1051" i="106" s="1"/>
  <c r="K109" i="29"/>
  <c r="B1149" i="106" s="1"/>
  <c r="D1149" i="106" s="1"/>
  <c r="B4795" i="106"/>
  <c r="D4795" i="106" s="1"/>
  <c r="B7678" i="106"/>
  <c r="D7678" i="106" s="1"/>
  <c r="B5346" i="106"/>
  <c r="D5346" i="106" s="1"/>
  <c r="B4375" i="106"/>
  <c r="D4375" i="106" s="1"/>
  <c r="B16" i="7"/>
  <c r="B5723" i="106"/>
  <c r="D5723" i="106" s="1"/>
  <c r="B6832" i="106"/>
  <c r="D6832" i="106" s="1"/>
  <c r="B7255" i="106"/>
  <c r="D7255" i="106" s="1"/>
  <c r="B1257" i="106"/>
  <c r="D1257" i="106" s="1"/>
  <c r="B7043" i="106"/>
  <c r="D7043" i="106" s="1"/>
  <c r="B5498" i="106"/>
  <c r="D5498" i="106" s="1"/>
  <c r="B6714" i="106"/>
  <c r="D6714" i="106" s="1"/>
  <c r="B6183" i="106"/>
  <c r="D6183" i="106" s="1"/>
  <c r="B6625" i="106"/>
  <c r="D6625" i="106" s="1"/>
  <c r="I47" i="29"/>
  <c r="B6924" i="106" s="1"/>
  <c r="D6924" i="106" s="1"/>
  <c r="B6918" i="106"/>
  <c r="D6918" i="106" s="1"/>
  <c r="B921" i="106"/>
  <c r="D921" i="106" s="1"/>
  <c r="B7061" i="106"/>
  <c r="D7061" i="106" s="1"/>
  <c r="B6770" i="106"/>
  <c r="D6770" i="106" s="1"/>
  <c r="B962" i="106"/>
  <c r="D962" i="106" s="1"/>
  <c r="B996" i="106"/>
  <c r="D996" i="106" s="1"/>
  <c r="B6797" i="106"/>
  <c r="D6797" i="106" s="1"/>
  <c r="B4333" i="106"/>
  <c r="D4333" i="106" s="1"/>
  <c r="B6972" i="106"/>
  <c r="D6972" i="106" s="1"/>
  <c r="B6336" i="106"/>
  <c r="D6336" i="106" s="1"/>
  <c r="B949" i="106"/>
  <c r="D949" i="106" s="1"/>
  <c r="J42" i="29"/>
  <c r="B6905" i="106"/>
  <c r="D6905" i="106" s="1"/>
  <c r="J76" i="4"/>
  <c r="B6261" i="106" s="1"/>
  <c r="D6261" i="106" s="1"/>
  <c r="B6239" i="106"/>
  <c r="D6239" i="106" s="1"/>
  <c r="B6802" i="106"/>
  <c r="D6802" i="106" s="1"/>
  <c r="B4394" i="106"/>
  <c r="D4394" i="106" s="1"/>
  <c r="B4875" i="106"/>
  <c r="D4875" i="106" s="1"/>
  <c r="B4882" i="106"/>
  <c r="D4882" i="106" s="1"/>
  <c r="B6302" i="106"/>
  <c r="D6302" i="106" s="1"/>
  <c r="J18" i="5"/>
  <c r="B6306" i="106" s="1"/>
  <c r="D6306" i="106" s="1"/>
  <c r="B4075" i="106"/>
  <c r="D4075" i="106" s="1"/>
  <c r="D129" i="29"/>
  <c r="D151" i="29" s="1"/>
  <c r="B1234" i="106" s="1"/>
  <c r="D1234" i="106" s="1"/>
  <c r="B1262" i="106"/>
  <c r="D1262" i="106" s="1"/>
  <c r="B6358" i="106"/>
  <c r="D6358" i="106" s="1"/>
  <c r="B6959" i="106"/>
  <c r="D6959" i="106" s="1"/>
  <c r="B6328" i="106"/>
  <c r="D6328" i="106" s="1"/>
  <c r="B6726" i="106"/>
  <c r="D6726" i="106" s="1"/>
  <c r="B7662" i="106"/>
  <c r="D7662" i="106" s="1"/>
  <c r="K53" i="4"/>
  <c r="B3703" i="106" s="1"/>
  <c r="D3703" i="106" s="1"/>
  <c r="B3699" i="106"/>
  <c r="D3699" i="106" s="1"/>
  <c r="B4793" i="106"/>
  <c r="D4793" i="106" s="1"/>
  <c r="B7147" i="106"/>
  <c r="D7147" i="106" s="1"/>
  <c r="B6818" i="106"/>
  <c r="D6818" i="106" s="1"/>
  <c r="B975" i="106"/>
  <c r="D975" i="106" s="1"/>
  <c r="F120" i="34"/>
  <c r="B7854" i="106" s="1"/>
  <c r="D7854" i="106" s="1"/>
  <c r="B4317" i="106"/>
  <c r="D4317" i="106" s="1"/>
  <c r="B7124" i="106"/>
  <c r="D7124" i="106" s="1"/>
  <c r="I330" i="29"/>
  <c r="B4081" i="106"/>
  <c r="D4081" i="106" s="1"/>
  <c r="C184" i="29"/>
  <c r="K180" i="29"/>
  <c r="B7132" i="106"/>
  <c r="D7132" i="106" s="1"/>
  <c r="B4802" i="106"/>
  <c r="D4802" i="106" s="1"/>
  <c r="F330" i="29"/>
  <c r="B7121" i="106"/>
  <c r="D7121" i="106" s="1"/>
  <c r="B914" i="106"/>
  <c r="D914" i="106" s="1"/>
  <c r="B6082" i="106"/>
  <c r="D6082" i="106" s="1"/>
  <c r="B5175" i="106"/>
  <c r="D5175" i="106" s="1"/>
  <c r="C155" i="5"/>
  <c r="B844" i="106"/>
  <c r="D844" i="106" s="1"/>
  <c r="E47" i="29"/>
  <c r="B847" i="106" s="1"/>
  <c r="D847" i="106" s="1"/>
  <c r="B7145" i="106"/>
  <c r="D7145" i="106" s="1"/>
  <c r="K322" i="29"/>
  <c r="B7154" i="106"/>
  <c r="D7154" i="106" s="1"/>
  <c r="K323" i="29"/>
  <c r="B7690" i="106"/>
  <c r="D7690" i="106" s="1"/>
  <c r="B7131" i="106"/>
  <c r="D7131" i="106" s="1"/>
  <c r="H47" i="29"/>
  <c r="B1021" i="106" s="1"/>
  <c r="D1021" i="106" s="1"/>
  <c r="B1018" i="106"/>
  <c r="D1018" i="106" s="1"/>
  <c r="B3084" i="106"/>
  <c r="D3084" i="106" s="1"/>
  <c r="B117" i="106"/>
  <c r="D117" i="106" s="1"/>
  <c r="H41" i="4"/>
  <c r="B6289" i="106" s="1"/>
  <c r="D6289" i="106" s="1"/>
  <c r="B6250" i="106"/>
  <c r="D6250" i="106" s="1"/>
  <c r="B4315" i="106"/>
  <c r="D4315" i="106" s="1"/>
  <c r="B5126" i="106"/>
  <c r="D5126" i="106" s="1"/>
  <c r="C122" i="5"/>
  <c r="B5132" i="106" s="1"/>
  <c r="D5132" i="106" s="1"/>
  <c r="C129" i="29"/>
  <c r="B1225" i="106" s="1"/>
  <c r="D1225" i="106" s="1"/>
  <c r="K120" i="29"/>
  <c r="B4080" i="106" s="1"/>
  <c r="D4080" i="106" s="1"/>
  <c r="B4074" i="106"/>
  <c r="D4074" i="106" s="1"/>
  <c r="B7761" i="106"/>
  <c r="D7761" i="106" s="1"/>
  <c r="F159" i="34"/>
  <c r="K207" i="29"/>
  <c r="B7070" i="106" s="1"/>
  <c r="D7070" i="106" s="1"/>
  <c r="B7069" i="106"/>
  <c r="D7069" i="106" s="1"/>
  <c r="B5763" i="106"/>
  <c r="D5763" i="106" s="1"/>
  <c r="B6790" i="106"/>
  <c r="D6790" i="106" s="1"/>
  <c r="F121" i="34"/>
  <c r="B4329" i="106"/>
  <c r="D4329" i="106" s="1"/>
  <c r="L303" i="29"/>
  <c r="B6356" i="106"/>
  <c r="D6356" i="106" s="1"/>
  <c r="L350" i="29"/>
  <c r="L352" i="29" s="1"/>
  <c r="K18" i="29"/>
  <c r="B1100" i="106" s="1"/>
  <c r="D1100" i="106" s="1"/>
  <c r="B712" i="106"/>
  <c r="D712" i="106" s="1"/>
  <c r="D108" i="5"/>
  <c r="B5355" i="106" s="1"/>
  <c r="D5355" i="106" s="1"/>
  <c r="B5349" i="106"/>
  <c r="D5349" i="106" s="1"/>
  <c r="B7671" i="106"/>
  <c r="D7671" i="106" s="1"/>
  <c r="K276" i="29"/>
  <c r="B1506" i="106" s="1"/>
  <c r="D1506" i="106" s="1"/>
  <c r="B1442" i="106"/>
  <c r="D1442" i="106" s="1"/>
  <c r="B3000" i="106"/>
  <c r="D3000" i="106" s="1"/>
  <c r="B7009" i="106"/>
  <c r="D7009" i="106" s="1"/>
  <c r="B6132" i="106"/>
  <c r="D6132" i="106" s="1"/>
  <c r="K34" i="3"/>
  <c r="B3565" i="106" s="1"/>
  <c r="D3565" i="106" s="1"/>
  <c r="L184" i="29"/>
  <c r="B4331" i="106"/>
  <c r="D4331" i="106" s="1"/>
  <c r="B1237" i="106"/>
  <c r="D1237" i="106" s="1"/>
  <c r="B7143" i="106"/>
  <c r="D7143" i="106" s="1"/>
  <c r="B5880" i="106"/>
  <c r="D5880" i="106" s="1"/>
  <c r="B822" i="106"/>
  <c r="D822" i="106" s="1"/>
  <c r="B6929" i="106"/>
  <c r="D6929" i="106" s="1"/>
  <c r="B6388" i="106"/>
  <c r="D6388" i="106" s="1"/>
  <c r="F119" i="34"/>
  <c r="B7853" i="106" s="1"/>
  <c r="D7853" i="106" s="1"/>
  <c r="K272" i="29"/>
  <c r="D277" i="29"/>
  <c r="B1444" i="106" s="1"/>
  <c r="D1444" i="106" s="1"/>
  <c r="B1437" i="106"/>
  <c r="D1437" i="106" s="1"/>
  <c r="B6788" i="106"/>
  <c r="D6788" i="106" s="1"/>
  <c r="B6390" i="106"/>
  <c r="D6390" i="106" s="1"/>
  <c r="C75" i="5"/>
  <c r="B6031" i="106"/>
  <c r="D6031" i="106" s="1"/>
  <c r="B3625" i="106"/>
  <c r="D3625" i="106" s="1"/>
  <c r="B1440" i="106"/>
  <c r="D1440" i="106" s="1"/>
  <c r="K275" i="29"/>
  <c r="B1504" i="106" s="1"/>
  <c r="D1504" i="106" s="1"/>
  <c r="B6789" i="106"/>
  <c r="D6789" i="106" s="1"/>
  <c r="B3251" i="106"/>
  <c r="D3251" i="106" s="1"/>
  <c r="B3079" i="106"/>
  <c r="D3079" i="106" s="1"/>
  <c r="B6667" i="106"/>
  <c r="D6667" i="106" s="1"/>
  <c r="B6954" i="106"/>
  <c r="D6954" i="106" s="1"/>
  <c r="B5571" i="106"/>
  <c r="D5571" i="106" s="1"/>
  <c r="F23" i="34"/>
  <c r="B2843" i="106"/>
  <c r="D2843" i="106" s="1"/>
  <c r="K290" i="29"/>
  <c r="B2845" i="106" s="1"/>
  <c r="D2845" i="106" s="1"/>
  <c r="B2949" i="106"/>
  <c r="D2949" i="106" s="1"/>
  <c r="K78" i="29"/>
  <c r="E84" i="29"/>
  <c r="B5998" i="106"/>
  <c r="D5998" i="106" s="1"/>
  <c r="F111" i="34"/>
  <c r="B7846" i="106" s="1"/>
  <c r="D7846" i="106" s="1"/>
  <c r="K9" i="12"/>
  <c r="B7714" i="106" s="1"/>
  <c r="D7714" i="106" s="1"/>
  <c r="B5168" i="106"/>
  <c r="D5168" i="106" s="1"/>
  <c r="B5109" i="106"/>
  <c r="D5109" i="106" s="1"/>
  <c r="G175" i="5"/>
  <c r="B5780" i="106" s="1"/>
  <c r="D5780" i="106" s="1"/>
  <c r="B5779" i="106"/>
  <c r="D5779" i="106" s="1"/>
  <c r="B3585" i="106"/>
  <c r="D3585" i="106" s="1"/>
  <c r="L149" i="29"/>
  <c r="L147" i="29"/>
  <c r="B930" i="106"/>
  <c r="D930" i="106" s="1"/>
  <c r="D12" i="171"/>
  <c r="B5123" i="106"/>
  <c r="D5123" i="106" s="1"/>
  <c r="K27" i="29"/>
  <c r="B6890" i="106"/>
  <c r="D6890" i="106" s="1"/>
  <c r="H184" i="29"/>
  <c r="B1370" i="106" s="1"/>
  <c r="D1370" i="106" s="1"/>
  <c r="B4086" i="106"/>
  <c r="D4086" i="106" s="1"/>
  <c r="B7666" i="106"/>
  <c r="D7666" i="106" s="1"/>
  <c r="B13" i="7"/>
  <c r="B5026" i="106"/>
  <c r="D5026" i="106" s="1"/>
  <c r="B5990" i="106"/>
  <c r="D5990" i="106" s="1"/>
  <c r="B6241" i="106"/>
  <c r="D6241" i="106" s="1"/>
  <c r="B6391" i="106"/>
  <c r="D6391" i="106" s="1"/>
  <c r="B1224" i="106"/>
  <c r="D1224" i="106" s="1"/>
  <c r="K128" i="29"/>
  <c r="B1280" i="106" s="1"/>
  <c r="D1280" i="106" s="1"/>
  <c r="B6661" i="106"/>
  <c r="D6661" i="106" s="1"/>
  <c r="B6320" i="106"/>
  <c r="D6320" i="106" s="1"/>
  <c r="B4391" i="106"/>
  <c r="D4391" i="106" s="1"/>
  <c r="B6773" i="106"/>
  <c r="D6773" i="106" s="1"/>
  <c r="B1338" i="106"/>
  <c r="D1338" i="106" s="1"/>
  <c r="K183" i="29"/>
  <c r="B1380" i="106" s="1"/>
  <c r="D1380" i="106" s="1"/>
  <c r="B5877" i="106"/>
  <c r="D5877" i="106" s="1"/>
  <c r="B6403" i="106"/>
  <c r="D6403" i="106" s="1"/>
  <c r="B5559" i="106"/>
  <c r="D5559" i="106" s="1"/>
  <c r="B6780" i="106"/>
  <c r="D6780" i="106" s="1"/>
  <c r="B1269" i="106"/>
  <c r="D1269" i="106" s="1"/>
  <c r="K143" i="29"/>
  <c r="B1284" i="106" s="1"/>
  <c r="D1284" i="106" s="1"/>
  <c r="B7750" i="106"/>
  <c r="D7750" i="106" s="1"/>
  <c r="B1552" i="106"/>
  <c r="D1552" i="106" s="1"/>
  <c r="K61" i="29"/>
  <c r="B740" i="106"/>
  <c r="D740" i="106" s="1"/>
  <c r="B3483" i="106"/>
  <c r="D3483" i="106" s="1"/>
  <c r="F63" i="5"/>
  <c r="B5579" i="106" s="1"/>
  <c r="D5579" i="106" s="1"/>
  <c r="B5563" i="106"/>
  <c r="D5563" i="106" s="1"/>
  <c r="F85" i="34"/>
  <c r="B432" i="106"/>
  <c r="D432" i="106" s="1"/>
  <c r="B5584" i="106"/>
  <c r="D5584" i="106" s="1"/>
  <c r="B6930" i="106"/>
  <c r="D6930" i="106" s="1"/>
  <c r="B7655" i="106"/>
  <c r="D7655" i="106" s="1"/>
  <c r="B4201" i="106"/>
  <c r="D4201" i="106" s="1"/>
  <c r="K136" i="29"/>
  <c r="B2988" i="106" s="1"/>
  <c r="D2988" i="106" s="1"/>
  <c r="B5116" i="106"/>
  <c r="D5116" i="106" s="1"/>
  <c r="B956" i="106"/>
  <c r="D956" i="106" s="1"/>
  <c r="B6315" i="106"/>
  <c r="D6315" i="106" s="1"/>
  <c r="F28" i="34"/>
  <c r="F67" i="5"/>
  <c r="B5582" i="106" s="1"/>
  <c r="D5582" i="106" s="1"/>
  <c r="B5581" i="106"/>
  <c r="D5581" i="106" s="1"/>
  <c r="B902" i="106"/>
  <c r="D902" i="106" s="1"/>
  <c r="F47" i="29"/>
  <c r="B905" i="106" s="1"/>
  <c r="D905" i="106" s="1"/>
  <c r="B6683" i="106"/>
  <c r="D6683" i="106" s="1"/>
  <c r="B6803" i="106"/>
  <c r="D6803" i="106" s="1"/>
  <c r="B973" i="106"/>
  <c r="D973" i="106" s="1"/>
  <c r="B4079" i="106"/>
  <c r="D4079" i="106" s="1"/>
  <c r="B5485" i="106"/>
  <c r="D5485" i="106" s="1"/>
  <c r="D221" i="5"/>
  <c r="B5488" i="106" s="1"/>
  <c r="D5488" i="106" s="1"/>
  <c r="B7025" i="106"/>
  <c r="D7025" i="106" s="1"/>
  <c r="J127" i="29"/>
  <c r="B7034" i="106" s="1"/>
  <c r="D7034" i="106" s="1"/>
  <c r="B787" i="106"/>
  <c r="D787" i="106" s="1"/>
  <c r="D47" i="29"/>
  <c r="B789" i="106" s="1"/>
  <c r="D789" i="106" s="1"/>
  <c r="B5370" i="106"/>
  <c r="D5370" i="106" s="1"/>
  <c r="D141" i="5"/>
  <c r="B5383" i="106" s="1"/>
  <c r="D5383" i="106" s="1"/>
  <c r="B4309" i="106"/>
  <c r="D4309" i="106" s="1"/>
  <c r="B6093" i="106"/>
  <c r="D6093" i="106" s="1"/>
  <c r="B6240" i="106"/>
  <c r="D6240" i="106" s="1"/>
  <c r="H19" i="118"/>
  <c r="H14" i="118"/>
  <c r="E37" i="4"/>
  <c r="B6285" i="106" s="1"/>
  <c r="D6285" i="106" s="1"/>
  <c r="I47" i="4"/>
  <c r="C44" i="4"/>
  <c r="B7748" i="106"/>
  <c r="D7748" i="106" s="1"/>
  <c r="B6317" i="106"/>
  <c r="D6317" i="106" s="1"/>
  <c r="B7134" i="106"/>
  <c r="D7134" i="106" s="1"/>
  <c r="B3490" i="106"/>
  <c r="D3490" i="106" s="1"/>
  <c r="B6321" i="106"/>
  <c r="D6321" i="106" s="1"/>
  <c r="B6172" i="106"/>
  <c r="D6172" i="106" s="1"/>
  <c r="B7808" i="106"/>
  <c r="D7808" i="106" s="1"/>
  <c r="B1006" i="106"/>
  <c r="D1006" i="106" s="1"/>
  <c r="B5093" i="106"/>
  <c r="D5093" i="106" s="1"/>
  <c r="C114" i="5"/>
  <c r="B5122" i="106"/>
  <c r="D5122" i="106" s="1"/>
  <c r="B7193" i="106"/>
  <c r="D7193" i="106" s="1"/>
  <c r="B6920" i="106"/>
  <c r="D6920" i="106" s="1"/>
  <c r="B6376" i="106"/>
  <c r="D6376" i="106" s="1"/>
  <c r="B5439" i="106"/>
  <c r="D5439" i="106" s="1"/>
  <c r="B7637" i="106"/>
  <c r="B6103" i="106"/>
  <c r="D6103" i="106" s="1"/>
  <c r="B7253" i="106"/>
  <c r="D7253" i="106" s="1"/>
  <c r="B6399" i="106"/>
  <c r="D6399" i="106" s="1"/>
  <c r="B4379" i="106"/>
  <c r="D4379" i="106" s="1"/>
  <c r="B864" i="106"/>
  <c r="D864" i="106" s="1"/>
  <c r="B6854" i="106"/>
  <c r="D6854" i="106" s="1"/>
  <c r="K8" i="29"/>
  <c r="B3380" i="106" s="1"/>
  <c r="D3380" i="106" s="1"/>
  <c r="B3366" i="106"/>
  <c r="D3366" i="106" s="1"/>
  <c r="B6866" i="106"/>
  <c r="D6866" i="106" s="1"/>
  <c r="B5997" i="106"/>
  <c r="D5997" i="106" s="1"/>
  <c r="B7683" i="106"/>
  <c r="D7683" i="106" s="1"/>
  <c r="B6807" i="106"/>
  <c r="D6807" i="106" s="1"/>
  <c r="B7169" i="106"/>
  <c r="D7169" i="106" s="1"/>
  <c r="B1525" i="106"/>
  <c r="D1525" i="106" s="1"/>
  <c r="D303" i="29"/>
  <c r="B7175" i="106"/>
  <c r="D7175" i="106" s="1"/>
  <c r="F149" i="34"/>
  <c r="B6761" i="106"/>
  <c r="D6761" i="106" s="1"/>
  <c r="G350" i="29"/>
  <c r="B3645" i="106"/>
  <c r="D3645" i="106" s="1"/>
  <c r="B6663" i="106"/>
  <c r="D6663" i="106" s="1"/>
  <c r="B6952" i="106"/>
  <c r="D6952" i="106" s="1"/>
  <c r="L53" i="29"/>
  <c r="B5343" i="106"/>
  <c r="D5343" i="106" s="1"/>
  <c r="D82" i="5"/>
  <c r="B5348" i="106" s="1"/>
  <c r="D5348" i="106" s="1"/>
  <c r="B7693" i="106"/>
  <c r="D7693" i="106" s="1"/>
  <c r="B4376" i="106"/>
  <c r="D4376" i="106" s="1"/>
  <c r="B2720" i="106"/>
  <c r="D2720" i="106" s="1"/>
  <c r="B6340" i="106"/>
  <c r="D6340" i="106" s="1"/>
  <c r="B1430" i="106"/>
  <c r="D1430" i="106" s="1"/>
  <c r="K265" i="29"/>
  <c r="B1494" i="106" s="1"/>
  <c r="D1494" i="106" s="1"/>
  <c r="B1316" i="106"/>
  <c r="D1316" i="106" s="1"/>
  <c r="B4361" i="106"/>
  <c r="D4361" i="106" s="1"/>
  <c r="B152" i="106"/>
  <c r="D152" i="106" s="1"/>
  <c r="B7676" i="106"/>
  <c r="D7676" i="106" s="1"/>
  <c r="B6628" i="106"/>
  <c r="D6628" i="106" s="1"/>
  <c r="B6639" i="106"/>
  <c r="D6639" i="106" s="1"/>
  <c r="B5727" i="106"/>
  <c r="D5727" i="106" s="1"/>
  <c r="B7040" i="106"/>
  <c r="D7040" i="106" s="1"/>
  <c r="B6717" i="106"/>
  <c r="D6717" i="106" s="1"/>
  <c r="B6407" i="106"/>
  <c r="D6407" i="106" s="1"/>
  <c r="B6106" i="106"/>
  <c r="D6106" i="106" s="1"/>
  <c r="G42" i="29"/>
  <c r="B953" i="106"/>
  <c r="D953" i="106" s="1"/>
  <c r="B7039" i="106"/>
  <c r="D7039" i="106" s="1"/>
  <c r="B6706" i="106"/>
  <c r="D6706" i="106" s="1"/>
  <c r="B6626" i="106"/>
  <c r="D6626" i="106" s="1"/>
  <c r="F135" i="34"/>
  <c r="B5310" i="106"/>
  <c r="D5310" i="106" s="1"/>
  <c r="L330" i="29"/>
  <c r="B6247" i="106"/>
  <c r="D6247" i="106" s="1"/>
  <c r="B7684" i="106"/>
  <c r="D7684" i="106" s="1"/>
  <c r="B6849" i="106"/>
  <c r="D6849" i="106" s="1"/>
  <c r="B6652" i="106"/>
  <c r="D6652" i="106" s="1"/>
  <c r="B1350" i="106"/>
  <c r="D1350" i="106" s="1"/>
  <c r="B849" i="106"/>
  <c r="D849" i="106" s="1"/>
  <c r="B906" i="106"/>
  <c r="D906" i="106" s="1"/>
  <c r="F53" i="29"/>
  <c r="B908" i="106" s="1"/>
  <c r="D908" i="106" s="1"/>
  <c r="B1522" i="106"/>
  <c r="D1522" i="106" s="1"/>
  <c r="K302" i="29"/>
  <c r="B1558" i="106" s="1"/>
  <c r="D1558" i="106" s="1"/>
  <c r="B6970" i="106"/>
  <c r="D6970" i="106" s="1"/>
  <c r="B2959" i="106"/>
  <c r="D2959" i="106" s="1"/>
  <c r="H5" i="12"/>
  <c r="B14" i="7"/>
  <c r="B5063" i="106"/>
  <c r="D5063" i="106" s="1"/>
  <c r="B6708" i="106"/>
  <c r="D6708" i="106" s="1"/>
  <c r="B6691" i="106"/>
  <c r="D6691" i="106" s="1"/>
  <c r="B812" i="106"/>
  <c r="D812" i="106" s="1"/>
  <c r="B865" i="106"/>
  <c r="D865" i="106" s="1"/>
  <c r="B6945" i="106"/>
  <c r="D6945" i="106" s="1"/>
  <c r="J57" i="29"/>
  <c r="B6949" i="106" s="1"/>
  <c r="D6949" i="106" s="1"/>
  <c r="B6735" i="106"/>
  <c r="D6735" i="106" s="1"/>
  <c r="B4356" i="106"/>
  <c r="D4356" i="106" s="1"/>
  <c r="B1429" i="106"/>
  <c r="D1429" i="106" s="1"/>
  <c r="K264" i="29"/>
  <c r="B1493" i="106" s="1"/>
  <c r="D1493" i="106" s="1"/>
  <c r="B6800" i="106"/>
  <c r="D6800" i="106" s="1"/>
  <c r="B2806" i="106"/>
  <c r="D2806" i="106" s="1"/>
  <c r="B5524" i="106"/>
  <c r="D5524" i="106" s="1"/>
  <c r="B7057" i="106"/>
  <c r="D7057" i="106" s="1"/>
  <c r="I184" i="29"/>
  <c r="B7077" i="106"/>
  <c r="D7077" i="106" s="1"/>
  <c r="K220" i="29"/>
  <c r="F69" i="34" s="1"/>
  <c r="K233" i="29"/>
  <c r="B1476" i="106" s="1"/>
  <c r="D1476" i="106" s="1"/>
  <c r="B1412" i="106"/>
  <c r="D1412" i="106" s="1"/>
  <c r="B5085" i="106"/>
  <c r="D5085" i="106" s="1"/>
  <c r="B1422" i="106"/>
  <c r="D1422" i="106" s="1"/>
  <c r="K245" i="29"/>
  <c r="D257" i="29"/>
  <c r="B1424" i="106" s="1"/>
  <c r="D1424" i="106" s="1"/>
  <c r="F99" i="34"/>
  <c r="B5107" i="106"/>
  <c r="D5107" i="106" s="1"/>
  <c r="B900" i="106"/>
  <c r="D900" i="106" s="1"/>
  <c r="B5823" i="106"/>
  <c r="D5823" i="106" s="1"/>
  <c r="B6680" i="106"/>
  <c r="D6680" i="106" s="1"/>
  <c r="B6713" i="106"/>
  <c r="D6713" i="106" s="1"/>
  <c r="B6819" i="106"/>
  <c r="D6819" i="106" s="1"/>
  <c r="B6349" i="106"/>
  <c r="D6349" i="106" s="1"/>
  <c r="B6687" i="106"/>
  <c r="D6687" i="106" s="1"/>
  <c r="B764" i="106"/>
  <c r="D764" i="106" s="1"/>
  <c r="L270" i="29"/>
  <c r="B1240" i="106"/>
  <c r="D1240" i="106" s="1"/>
  <c r="B1313" i="106"/>
  <c r="D1313" i="106" s="1"/>
  <c r="K167" i="29"/>
  <c r="B1327" i="106" s="1"/>
  <c r="D1327" i="106" s="1"/>
  <c r="K356" i="29"/>
  <c r="B3673" i="106" s="1"/>
  <c r="D3673" i="106" s="1"/>
  <c r="B7236" i="106"/>
  <c r="D7236" i="106" s="1"/>
  <c r="B6874" i="106"/>
  <c r="D6874" i="106" s="1"/>
  <c r="B7698" i="106"/>
  <c r="D7698" i="106" s="1"/>
  <c r="B6242" i="106"/>
  <c r="D6242" i="106" s="1"/>
  <c r="B6884" i="106"/>
  <c r="D6884" i="106" s="1"/>
  <c r="K24" i="29"/>
  <c r="B1357" i="106"/>
  <c r="D1357" i="106" s="1"/>
  <c r="B6185" i="106"/>
  <c r="D6185" i="106" s="1"/>
  <c r="B5337" i="106"/>
  <c r="D5337" i="106" s="1"/>
  <c r="B3581" i="106"/>
  <c r="D3581" i="106" s="1"/>
  <c r="B7247" i="106"/>
  <c r="D7247" i="106" s="1"/>
  <c r="B6659" i="106"/>
  <c r="D6659" i="106" s="1"/>
  <c r="B6624" i="106"/>
  <c r="D6624" i="106" s="1"/>
  <c r="B7816" i="106"/>
  <c r="D7816" i="106" s="1"/>
  <c r="K326" i="29"/>
  <c r="E64" i="188" s="1"/>
  <c r="N64" i="188" s="1"/>
  <c r="B7181" i="106"/>
  <c r="D7181" i="106" s="1"/>
  <c r="B852" i="106"/>
  <c r="D852" i="106" s="1"/>
  <c r="B2721" i="106"/>
  <c r="D2721" i="106" s="1"/>
  <c r="B6766" i="106"/>
  <c r="D6766" i="106" s="1"/>
  <c r="K23" i="29"/>
  <c r="F42" i="34" s="1"/>
  <c r="B6882" i="106"/>
  <c r="D6882" i="106" s="1"/>
  <c r="F147" i="34"/>
  <c r="B6737" i="106"/>
  <c r="D6737" i="106" s="1"/>
  <c r="B6085" i="106"/>
  <c r="D6085" i="106" s="1"/>
  <c r="B7168" i="106"/>
  <c r="D7168" i="106" s="1"/>
  <c r="B6669" i="106"/>
  <c r="D6669" i="106" s="1"/>
  <c r="K360" i="29"/>
  <c r="B3657" i="106"/>
  <c r="D3657" i="106" s="1"/>
  <c r="H362" i="29"/>
  <c r="B4410" i="106"/>
  <c r="D4410" i="106" s="1"/>
  <c r="B5821" i="106"/>
  <c r="D5821" i="106" s="1"/>
  <c r="K90" i="29"/>
  <c r="B6992" i="106" s="1"/>
  <c r="D6992" i="106" s="1"/>
  <c r="B6991" i="106"/>
  <c r="D6991" i="106" s="1"/>
  <c r="B4877" i="106"/>
  <c r="D4877" i="106" s="1"/>
  <c r="B5885" i="106"/>
  <c r="D5885" i="106" s="1"/>
  <c r="B6813" i="106"/>
  <c r="D6813" i="106" s="1"/>
  <c r="B6654" i="106"/>
  <c r="D6654" i="106" s="1"/>
  <c r="F110" i="34"/>
  <c r="B7845" i="106" s="1"/>
  <c r="D7845" i="106" s="1"/>
  <c r="B4351" i="106"/>
  <c r="D4351" i="106" s="1"/>
  <c r="B1236" i="106"/>
  <c r="D1236" i="106" s="1"/>
  <c r="B7882" i="106"/>
  <c r="D7882" i="106" s="1"/>
  <c r="H122" i="5"/>
  <c r="L261" i="29"/>
  <c r="B6671" i="106"/>
  <c r="D6671" i="106" s="1"/>
  <c r="B1228" i="106"/>
  <c r="D1228" i="106" s="1"/>
  <c r="B5920" i="106"/>
  <c r="D5920" i="106" s="1"/>
  <c r="G303" i="29"/>
  <c r="B1543" i="106"/>
  <c r="D1543" i="106" s="1"/>
  <c r="K124" i="29"/>
  <c r="B1276" i="106" s="1"/>
  <c r="D1276" i="106" s="1"/>
  <c r="B1221" i="106"/>
  <c r="D1221" i="106" s="1"/>
  <c r="B7258" i="106"/>
  <c r="D7258" i="106" s="1"/>
  <c r="B1030" i="106"/>
  <c r="D1030" i="106" s="1"/>
  <c r="B4945" i="106"/>
  <c r="D4945" i="106" s="1"/>
  <c r="B719" i="106"/>
  <c r="D719" i="106" s="1"/>
  <c r="K15" i="29"/>
  <c r="K190" i="29"/>
  <c r="B3009" i="106" s="1"/>
  <c r="D3009" i="106" s="1"/>
  <c r="B2991" i="106"/>
  <c r="D2991" i="106" s="1"/>
  <c r="K71" i="29"/>
  <c r="B751" i="106"/>
  <c r="D751" i="106" s="1"/>
  <c r="B925" i="106"/>
  <c r="D925" i="106" s="1"/>
  <c r="J72" i="29"/>
  <c r="B6974" i="106" s="1"/>
  <c r="D6974" i="106" s="1"/>
  <c r="B6964" i="106"/>
  <c r="D6964" i="106" s="1"/>
  <c r="B1426" i="106"/>
  <c r="D1426" i="106" s="1"/>
  <c r="K260" i="29"/>
  <c r="B1490" i="106" s="1"/>
  <c r="D1490" i="106" s="1"/>
  <c r="B3648" i="106"/>
  <c r="D3648" i="106" s="1"/>
  <c r="I44" i="4"/>
  <c r="B3317" i="106" s="1"/>
  <c r="D3317" i="106" s="1"/>
  <c r="B2772" i="106"/>
  <c r="D2772" i="106" s="1"/>
  <c r="B7062" i="106"/>
  <c r="D7062" i="106" s="1"/>
  <c r="B5247" i="106"/>
  <c r="D5247" i="106" s="1"/>
  <c r="C204" i="5"/>
  <c r="K192" i="29"/>
  <c r="B3011" i="106" s="1"/>
  <c r="D3011" i="106" s="1"/>
  <c r="B2993" i="106"/>
  <c r="D2993" i="106" s="1"/>
  <c r="B2802" i="106"/>
  <c r="D2802" i="106" s="1"/>
  <c r="B955" i="106"/>
  <c r="D955" i="106" s="1"/>
  <c r="B6251" i="106"/>
  <c r="D6251" i="106" s="1"/>
  <c r="B4310" i="106"/>
  <c r="D4310" i="106" s="1"/>
  <c r="B6827" i="106"/>
  <c r="D6827" i="106" s="1"/>
  <c r="B7658" i="106"/>
  <c r="D7658" i="106" s="1"/>
  <c r="B7664" i="106"/>
  <c r="D7664" i="106" s="1"/>
  <c r="B3487" i="106"/>
  <c r="D3487" i="106" s="1"/>
  <c r="B3493" i="106"/>
  <c r="D3493" i="106" s="1"/>
  <c r="B6938" i="106"/>
  <c r="D6938" i="106" s="1"/>
  <c r="B2844" i="106"/>
  <c r="D2844" i="106" s="1"/>
  <c r="K291" i="29"/>
  <c r="B2846" i="106" s="1"/>
  <c r="D2846" i="106" s="1"/>
  <c r="B6676" i="106"/>
  <c r="D6676" i="106" s="1"/>
  <c r="K31" i="29"/>
  <c r="B6898" i="106"/>
  <c r="D6898" i="106" s="1"/>
  <c r="B4883" i="106"/>
  <c r="D4883" i="106" s="1"/>
  <c r="B6160" i="106"/>
  <c r="D6160" i="106" s="1"/>
  <c r="B2798" i="106"/>
  <c r="D2798" i="106" s="1"/>
  <c r="B7170" i="106"/>
  <c r="D7170" i="106" s="1"/>
  <c r="H147" i="29"/>
  <c r="B7047" i="106" s="1"/>
  <c r="D7047" i="106" s="1"/>
  <c r="B1268" i="106"/>
  <c r="D1268" i="106" s="1"/>
  <c r="K142" i="29"/>
  <c r="B1354" i="106"/>
  <c r="D1354" i="106" s="1"/>
  <c r="B938" i="106"/>
  <c r="D938" i="106" s="1"/>
  <c r="K28" i="29"/>
  <c r="B6892" i="106"/>
  <c r="D6892" i="106" s="1"/>
  <c r="B6762" i="106"/>
  <c r="D6762" i="106" s="1"/>
  <c r="B3253" i="106"/>
  <c r="D3253" i="106" s="1"/>
  <c r="H127" i="29"/>
  <c r="B1264" i="106" s="1"/>
  <c r="D1264" i="106" s="1"/>
  <c r="B1260" i="106"/>
  <c r="D1260" i="106" s="1"/>
  <c r="B774" i="106"/>
  <c r="D774" i="106" s="1"/>
  <c r="B7157" i="106"/>
  <c r="D7157" i="106" s="1"/>
  <c r="B6873" i="106"/>
  <c r="D6873" i="106" s="1"/>
  <c r="L65" i="29"/>
  <c r="B4369" i="106"/>
  <c r="D4369" i="106" s="1"/>
  <c r="B7691" i="106"/>
  <c r="D7691" i="106" s="1"/>
  <c r="F21" i="34"/>
  <c r="B5569" i="106"/>
  <c r="D5569" i="106" s="1"/>
  <c r="B1433" i="106"/>
  <c r="D1433" i="106" s="1"/>
  <c r="K268" i="29"/>
  <c r="B1497" i="106" s="1"/>
  <c r="D1497" i="106" s="1"/>
  <c r="B7083" i="106"/>
  <c r="D7083" i="106" s="1"/>
  <c r="K249" i="29"/>
  <c r="B7084" i="106" s="1"/>
  <c r="D7084" i="106" s="1"/>
  <c r="B5691" i="106"/>
  <c r="D5691" i="106" s="1"/>
  <c r="F217" i="5"/>
  <c r="B5703" i="106" s="1"/>
  <c r="D5703" i="106" s="1"/>
  <c r="B7694" i="106"/>
  <c r="D7694" i="106" s="1"/>
  <c r="F65" i="29"/>
  <c r="B919" i="106" s="1"/>
  <c r="D919" i="106" s="1"/>
  <c r="B912" i="106"/>
  <c r="D912" i="106" s="1"/>
  <c r="B6914" i="106"/>
  <c r="D6914" i="106" s="1"/>
  <c r="J350" i="29"/>
  <c r="B7227" i="106"/>
  <c r="D7227" i="106" s="1"/>
  <c r="B2848" i="106"/>
  <c r="D2848" i="106" s="1"/>
  <c r="H76" i="4"/>
  <c r="B3298" i="106" s="1"/>
  <c r="D3298" i="106" s="1"/>
  <c r="B7686" i="106"/>
  <c r="D7686" i="106" s="1"/>
  <c r="B6956" i="106"/>
  <c r="D6956" i="106" s="1"/>
  <c r="B5558" i="106"/>
  <c r="D5558" i="106" s="1"/>
  <c r="F18" i="5"/>
  <c r="B5562" i="106" s="1"/>
  <c r="D5562" i="106" s="1"/>
  <c r="B1008" i="106"/>
  <c r="D1008" i="106" s="1"/>
  <c r="B6718" i="106"/>
  <c r="D6718" i="106" s="1"/>
  <c r="B775" i="106"/>
  <c r="D775" i="106" s="1"/>
  <c r="B805" i="106"/>
  <c r="D805" i="106" s="1"/>
  <c r="B6993" i="106"/>
  <c r="D6993" i="106" s="1"/>
  <c r="K91" i="29"/>
  <c r="B6994" i="106" s="1"/>
  <c r="D6994" i="106" s="1"/>
  <c r="B6710" i="106"/>
  <c r="D6710" i="106" s="1"/>
  <c r="B6180" i="106"/>
  <c r="D6180" i="106" s="1"/>
  <c r="B7167" i="106"/>
  <c r="D7167" i="106" s="1"/>
  <c r="B5724" i="106"/>
  <c r="D5724" i="106" s="1"/>
  <c r="K232" i="29"/>
  <c r="B1411" i="106"/>
  <c r="D1411" i="106" s="1"/>
  <c r="D238" i="29"/>
  <c r="B4810" i="106"/>
  <c r="D4810" i="106" s="1"/>
  <c r="G181" i="5"/>
  <c r="B5784" i="106" s="1"/>
  <c r="D5784" i="106" s="1"/>
  <c r="B5117" i="106"/>
  <c r="D5117" i="106" s="1"/>
  <c r="B5922" i="106"/>
  <c r="D5922" i="106" s="1"/>
  <c r="B130" i="106"/>
  <c r="D130" i="106" s="1"/>
  <c r="D285" i="29"/>
  <c r="B3722" i="106" s="1"/>
  <c r="D3722" i="106" s="1"/>
  <c r="K282" i="29"/>
  <c r="B7784" i="106" s="1"/>
  <c r="D7784" i="106" s="1"/>
  <c r="B7783" i="106"/>
  <c r="D7783" i="106" s="1"/>
  <c r="B2829" i="106"/>
  <c r="D2829" i="106" s="1"/>
  <c r="B6935" i="106"/>
  <c r="D6935" i="106" s="1"/>
  <c r="B1439" i="106"/>
  <c r="D1439" i="106" s="1"/>
  <c r="K274" i="29"/>
  <c r="B1503" i="106" s="1"/>
  <c r="D1503" i="106" s="1"/>
  <c r="B6094" i="106"/>
  <c r="D6094" i="106" s="1"/>
  <c r="B6856" i="106"/>
  <c r="D6856" i="106" s="1"/>
  <c r="B6632" i="106"/>
  <c r="D6632" i="106" s="1"/>
  <c r="B4417" i="106"/>
  <c r="D4417" i="106" s="1"/>
  <c r="B5275" i="106"/>
  <c r="D5275" i="106" s="1"/>
  <c r="B7810" i="106"/>
  <c r="D7810" i="106" s="1"/>
  <c r="B4316" i="106"/>
  <c r="D4316" i="106" s="1"/>
  <c r="B652" i="106"/>
  <c r="D652" i="106" s="1"/>
  <c r="B5929" i="106"/>
  <c r="D5929" i="106" s="1"/>
  <c r="B2960" i="106"/>
  <c r="D2960" i="106" s="1"/>
  <c r="B7232" i="106"/>
  <c r="D7232" i="106" s="1"/>
  <c r="B5317" i="106"/>
  <c r="D5317" i="106" s="1"/>
  <c r="F164" i="34"/>
  <c r="B7871" i="106" s="1"/>
  <c r="D7871" i="106" s="1"/>
  <c r="B3577" i="106"/>
  <c r="D3577" i="106" s="1"/>
  <c r="B4421" i="106"/>
  <c r="D4421" i="106" s="1"/>
  <c r="B7682" i="106"/>
  <c r="D7682" i="106" s="1"/>
  <c r="B5104" i="106"/>
  <c r="D5104" i="106" s="1"/>
  <c r="B840" i="106"/>
  <c r="D840" i="106" s="1"/>
  <c r="B5602" i="106"/>
  <c r="D5602" i="106" s="1"/>
  <c r="B7259" i="106"/>
  <c r="D7259" i="106" s="1"/>
  <c r="B6389" i="106"/>
  <c r="D6389" i="106" s="1"/>
  <c r="B880" i="106"/>
  <c r="D880" i="106" s="1"/>
  <c r="B6923" i="106"/>
  <c r="D6923" i="106" s="1"/>
  <c r="B804" i="106"/>
  <c r="D804" i="106" s="1"/>
  <c r="D72" i="29"/>
  <c r="B811" i="106" s="1"/>
  <c r="D811" i="106" s="1"/>
  <c r="B5077" i="106"/>
  <c r="D5077" i="106" s="1"/>
  <c r="B6097" i="106"/>
  <c r="D6097" i="106" s="1"/>
  <c r="B7268" i="106"/>
  <c r="B5242" i="106"/>
  <c r="D5242" i="106" s="1"/>
  <c r="B6378" i="106"/>
  <c r="D6378" i="106" s="1"/>
  <c r="B4919" i="106"/>
  <c r="D4919" i="106" s="1"/>
  <c r="B6662" i="106"/>
  <c r="D6662" i="106" s="1"/>
  <c r="B913" i="106"/>
  <c r="D913" i="106" s="1"/>
  <c r="B5665" i="106"/>
  <c r="D5665" i="106" s="1"/>
  <c r="B3273" i="106"/>
  <c r="D3273" i="106" s="1"/>
  <c r="B972" i="106"/>
  <c r="D972" i="106" s="1"/>
  <c r="D68" i="36"/>
  <c r="B323" i="106"/>
  <c r="D323" i="106" s="1"/>
  <c r="B7657" i="106"/>
  <c r="D7657" i="106" s="1"/>
  <c r="B7689" i="106"/>
  <c r="D7689" i="106" s="1"/>
  <c r="B7111" i="106"/>
  <c r="D7111" i="106" s="1"/>
  <c r="B4889" i="106"/>
  <c r="D4889" i="106" s="1"/>
  <c r="B1414" i="106"/>
  <c r="D1414" i="106" s="1"/>
  <c r="K235" i="29"/>
  <c r="B1478" i="106" s="1"/>
  <c r="D1478" i="106" s="1"/>
  <c r="B3230" i="106"/>
  <c r="D3230" i="106" s="1"/>
  <c r="H310" i="29"/>
  <c r="B7115" i="106" s="1"/>
  <c r="D7115" i="106" s="1"/>
  <c r="B7106" i="106"/>
  <c r="D7106" i="106" s="1"/>
  <c r="B3631" i="106"/>
  <c r="D3631" i="106" s="1"/>
  <c r="E350" i="29"/>
  <c r="B6173" i="106"/>
  <c r="D6173" i="106" s="1"/>
  <c r="B5094" i="106"/>
  <c r="D5094" i="106" s="1"/>
  <c r="B7022" i="106"/>
  <c r="D7022" i="106" s="1"/>
  <c r="I129" i="29"/>
  <c r="B6750" i="106"/>
  <c r="D6750" i="106" s="1"/>
  <c r="B7667" i="106"/>
  <c r="D7667" i="106" s="1"/>
  <c r="B7681" i="106"/>
  <c r="D7681" i="106" s="1"/>
  <c r="B6734" i="106"/>
  <c r="D6734" i="106" s="1"/>
  <c r="B5578" i="106"/>
  <c r="D5578" i="106" s="1"/>
  <c r="F27" i="34"/>
  <c r="B7263" i="106"/>
  <c r="K17" i="29"/>
  <c r="B6871" i="106" s="1"/>
  <c r="D6871" i="106" s="1"/>
  <c r="L194" i="29"/>
  <c r="L196" i="29" s="1"/>
  <c r="F204" i="5"/>
  <c r="B5677" i="106" s="1"/>
  <c r="D5677" i="106" s="1"/>
  <c r="B5664" i="106"/>
  <c r="D5664" i="106" s="1"/>
  <c r="B5525" i="106"/>
  <c r="D5525" i="106" s="1"/>
  <c r="B5740" i="106"/>
  <c r="D5740" i="106" s="1"/>
  <c r="B828" i="106"/>
  <c r="D828" i="106" s="1"/>
  <c r="B1032" i="106"/>
  <c r="D1032" i="106" s="1"/>
  <c r="B3422" i="106"/>
  <c r="D3422" i="106" s="1"/>
  <c r="D38" i="36"/>
  <c r="G13" i="3"/>
  <c r="B180" i="106" s="1"/>
  <c r="D180" i="106" s="1"/>
  <c r="B2760" i="106"/>
  <c r="D2760" i="106" s="1"/>
  <c r="B964" i="106"/>
  <c r="D964" i="106" s="1"/>
  <c r="G53" i="29"/>
  <c r="B966" i="106" s="1"/>
  <c r="D966" i="106" s="1"/>
  <c r="B6912" i="106"/>
  <c r="D6912" i="106" s="1"/>
  <c r="B6363" i="106"/>
  <c r="D6363" i="106" s="1"/>
  <c r="H334" i="29"/>
  <c r="B7789" i="106" s="1"/>
  <c r="D7789" i="106" s="1"/>
  <c r="K332" i="29"/>
  <c r="B7785" i="106"/>
  <c r="D7785" i="106" s="1"/>
  <c r="B747" i="106"/>
  <c r="D747" i="106" s="1"/>
  <c r="K68" i="29"/>
  <c r="B1135" i="106" s="1"/>
  <c r="D1135" i="106" s="1"/>
  <c r="B5106" i="106"/>
  <c r="D5106" i="106" s="1"/>
  <c r="F98" i="34"/>
  <c r="B890" i="106"/>
  <c r="D890" i="106" s="1"/>
  <c r="K288" i="29"/>
  <c r="H293" i="29"/>
  <c r="B1449" i="106"/>
  <c r="D1449" i="106" s="1"/>
  <c r="B6688" i="106"/>
  <c r="D6688" i="106" s="1"/>
  <c r="B6821" i="106"/>
  <c r="D6821" i="106" s="1"/>
  <c r="B6723" i="106"/>
  <c r="D6723" i="106" s="1"/>
  <c r="B4378" i="106"/>
  <c r="D4378" i="106" s="1"/>
  <c r="B5027" i="106"/>
  <c r="D5027" i="106" s="1"/>
  <c r="B6965" i="106"/>
  <c r="D6965" i="106" s="1"/>
  <c r="B5352" i="106"/>
  <c r="D5352" i="106" s="1"/>
  <c r="B7670" i="106"/>
  <c r="D7670" i="106" s="1"/>
  <c r="B5523" i="106"/>
  <c r="D5523" i="106" s="1"/>
  <c r="B3259" i="106"/>
  <c r="D3259" i="106" s="1"/>
  <c r="G76" i="4"/>
  <c r="B3260" i="106" s="1"/>
  <c r="D3260" i="106" s="1"/>
  <c r="B4796" i="106"/>
  <c r="D4796" i="106" s="1"/>
  <c r="B6186" i="106"/>
  <c r="D6186" i="106" s="1"/>
  <c r="B5572" i="106"/>
  <c r="D5572" i="106" s="1"/>
  <c r="F90" i="34"/>
  <c r="B3531" i="106"/>
  <c r="D3531" i="106" s="1"/>
  <c r="B6142" i="106"/>
  <c r="D6142" i="106" s="1"/>
  <c r="B3058" i="106"/>
  <c r="D3058" i="106" s="1"/>
  <c r="B3639" i="106"/>
  <c r="D3639" i="106" s="1"/>
  <c r="B6752" i="106"/>
  <c r="D6752" i="106" s="1"/>
  <c r="K195" i="29"/>
  <c r="B2839" i="106" s="1"/>
  <c r="D2839" i="106" s="1"/>
  <c r="B2824" i="106"/>
  <c r="D2824" i="106" s="1"/>
  <c r="B5336" i="106"/>
  <c r="D5336" i="106" s="1"/>
  <c r="B4339" i="106"/>
  <c r="D4339" i="106" s="1"/>
  <c r="B6869" i="106"/>
  <c r="D6869" i="106" s="1"/>
  <c r="B4179" i="106"/>
  <c r="D4179" i="106" s="1"/>
  <c r="B6850" i="106"/>
  <c r="D6850" i="106" s="1"/>
  <c r="B6088" i="106"/>
  <c r="D6088" i="106" s="1"/>
  <c r="B834" i="106"/>
  <c r="D834" i="106" s="1"/>
  <c r="K146" i="29"/>
  <c r="B1285" i="106" s="1"/>
  <c r="D1285" i="106" s="1"/>
  <c r="B1270" i="106"/>
  <c r="D1270" i="106" s="1"/>
  <c r="L310" i="29"/>
  <c r="B7073" i="106"/>
  <c r="D7073" i="106" s="1"/>
  <c r="K216" i="29"/>
  <c r="B6406" i="106"/>
  <c r="D6406" i="106" s="1"/>
  <c r="K11" i="29"/>
  <c r="B7257" i="106"/>
  <c r="D7257" i="106" s="1"/>
  <c r="B7703" i="106"/>
  <c r="D7703" i="106" s="1"/>
  <c r="B7196" i="106"/>
  <c r="D7196" i="106" s="1"/>
  <c r="B5566" i="106"/>
  <c r="D5566" i="106" s="1"/>
  <c r="F87" i="34"/>
  <c r="K13" i="3"/>
  <c r="B3552" i="106" s="1"/>
  <c r="D3552" i="106" s="1"/>
  <c r="B3548" i="106"/>
  <c r="D3548" i="106" s="1"/>
  <c r="B4419" i="106"/>
  <c r="D4419" i="106" s="1"/>
  <c r="B86" i="106"/>
  <c r="D86" i="106" s="1"/>
  <c r="B1232" i="106"/>
  <c r="D1232" i="106" s="1"/>
  <c r="B6944" i="106"/>
  <c r="D6944" i="106" s="1"/>
  <c r="I57" i="29"/>
  <c r="B6948" i="106" s="1"/>
  <c r="D6948" i="106" s="1"/>
  <c r="F113" i="34"/>
  <c r="B5181" i="106"/>
  <c r="D5181" i="106" s="1"/>
  <c r="B5097" i="106"/>
  <c r="D5097" i="106" s="1"/>
  <c r="C82" i="5"/>
  <c r="B18" i="7"/>
  <c r="B5065" i="106"/>
  <c r="D5065" i="106" s="1"/>
  <c r="B965" i="106"/>
  <c r="D965" i="106" s="1"/>
  <c r="B2995" i="106"/>
  <c r="D2995" i="106" s="1"/>
  <c r="H194" i="29"/>
  <c r="B916" i="106"/>
  <c r="D916" i="106" s="1"/>
  <c r="B1549" i="106"/>
  <c r="D1549" i="106" s="1"/>
  <c r="H303" i="29"/>
  <c r="B1553" i="106" s="1"/>
  <c r="D1553" i="106" s="1"/>
  <c r="B7109" i="106"/>
  <c r="D7109" i="106" s="1"/>
  <c r="B842" i="106"/>
  <c r="D842" i="106" s="1"/>
  <c r="K164" i="29"/>
  <c r="B1325" i="106" s="1"/>
  <c r="D1325" i="106" s="1"/>
  <c r="B1311" i="106"/>
  <c r="D1311" i="106" s="1"/>
  <c r="B6980" i="106"/>
  <c r="D6980" i="106" s="1"/>
  <c r="B3057" i="106"/>
  <c r="D3057" i="106" s="1"/>
  <c r="B4947" i="106"/>
  <c r="D4947" i="106" s="1"/>
  <c r="B4362" i="106"/>
  <c r="D4362" i="106" s="1"/>
  <c r="F170" i="34"/>
  <c r="B7875" i="106" s="1"/>
  <c r="D7875" i="106" s="1"/>
  <c r="D17" i="171"/>
  <c r="B7261" i="106"/>
  <c r="D7261" i="106" s="1"/>
  <c r="B7151" i="106"/>
  <c r="D7151" i="106" s="1"/>
  <c r="B7238" i="106"/>
  <c r="D7238" i="106" s="1"/>
  <c r="K361" i="29"/>
  <c r="B7239" i="106" s="1"/>
  <c r="D7239" i="106" s="1"/>
  <c r="B2807" i="106"/>
  <c r="D2807" i="106" s="1"/>
  <c r="K144" i="29"/>
  <c r="B2810" i="106" s="1"/>
  <c r="D2810" i="106" s="1"/>
  <c r="B5353" i="106"/>
  <c r="D5353" i="106" s="1"/>
  <c r="B5354" i="106"/>
  <c r="D5354" i="106" s="1"/>
  <c r="B736" i="106"/>
  <c r="D736" i="106" s="1"/>
  <c r="K56" i="29"/>
  <c r="B7085" i="106"/>
  <c r="D7085" i="106" s="1"/>
  <c r="K250" i="29"/>
  <c r="B7086" i="106" s="1"/>
  <c r="D7086" i="106" s="1"/>
  <c r="D217" i="5"/>
  <c r="B5470" i="106" s="1"/>
  <c r="D5470" i="106" s="1"/>
  <c r="F31" i="34"/>
  <c r="B7824" i="106" s="1"/>
  <c r="B5458" i="106"/>
  <c r="D5458" i="106" s="1"/>
  <c r="B6698" i="106"/>
  <c r="D6698" i="106" s="1"/>
  <c r="B7067" i="106"/>
  <c r="D7067" i="106" s="1"/>
  <c r="K205" i="29"/>
  <c r="B7068" i="106" s="1"/>
  <c r="D7068" i="106" s="1"/>
  <c r="L257" i="29"/>
  <c r="B6743" i="106"/>
  <c r="D6743" i="106" s="1"/>
  <c r="B6621" i="106"/>
  <c r="D6621" i="106" s="1"/>
  <c r="K252" i="5"/>
  <c r="B5099" i="106"/>
  <c r="D5099" i="106" s="1"/>
  <c r="B6740" i="106"/>
  <c r="D6740" i="106" s="1"/>
  <c r="B6128" i="106"/>
  <c r="D6128" i="106" s="1"/>
  <c r="F34" i="3"/>
  <c r="B169" i="106" s="1"/>
  <c r="D169" i="106" s="1"/>
  <c r="B7707" i="106"/>
  <c r="D7707" i="106" s="1"/>
  <c r="D243" i="29"/>
  <c r="B1421" i="106" s="1"/>
  <c r="D1421" i="106" s="1"/>
  <c r="K240" i="29"/>
  <c r="B1418" i="106"/>
  <c r="D1418" i="106" s="1"/>
  <c r="B3236" i="106"/>
  <c r="D3236" i="106" s="1"/>
  <c r="B6245" i="106"/>
  <c r="D6245" i="106" s="1"/>
  <c r="B2958" i="106"/>
  <c r="D2958" i="106" s="1"/>
  <c r="D330" i="29"/>
  <c r="B7119" i="106"/>
  <c r="D7119" i="106" s="1"/>
  <c r="B4416" i="106"/>
  <c r="D4416" i="106" s="1"/>
  <c r="B2996" i="106"/>
  <c r="D2996" i="106" s="1"/>
  <c r="K133" i="29"/>
  <c r="B7774" i="106"/>
  <c r="D7774" i="106" s="1"/>
  <c r="E137" i="29"/>
  <c r="B7685" i="106"/>
  <c r="D7685" i="106" s="1"/>
  <c r="B5818" i="106"/>
  <c r="D5818" i="106" s="1"/>
  <c r="B6118" i="106"/>
  <c r="D6118" i="106" s="1"/>
  <c r="B6157" i="106"/>
  <c r="D6157" i="106" s="1"/>
  <c r="D252" i="5"/>
  <c r="B6834" i="106" s="1"/>
  <c r="D6834" i="106" s="1"/>
  <c r="B6615" i="106"/>
  <c r="D6615" i="106" s="1"/>
  <c r="B3580" i="106"/>
  <c r="D3580" i="106" s="1"/>
  <c r="B5083" i="106"/>
  <c r="D5083" i="106" s="1"/>
  <c r="B867" i="106"/>
  <c r="D867" i="106" s="1"/>
  <c r="B325" i="106"/>
  <c r="D325" i="106" s="1"/>
  <c r="K40" i="29"/>
  <c r="B1113" i="106" s="1"/>
  <c r="D1113" i="106" s="1"/>
  <c r="B725" i="106"/>
  <c r="D725" i="106" s="1"/>
  <c r="K248" i="29"/>
  <c r="B7082" i="106" s="1"/>
  <c r="D7082" i="106" s="1"/>
  <c r="B7081" i="106"/>
  <c r="D7081" i="106" s="1"/>
  <c r="B4189" i="106"/>
  <c r="D4189" i="106" s="1"/>
  <c r="F166" i="34"/>
  <c r="B7873" i="106" s="1"/>
  <c r="D7873" i="106" s="1"/>
  <c r="C12" i="5"/>
  <c r="B5061" i="106"/>
  <c r="D5061" i="106" s="1"/>
  <c r="B4" i="7"/>
  <c r="B7183" i="106"/>
  <c r="D7183" i="106" s="1"/>
  <c r="B6979" i="106"/>
  <c r="D6979" i="106" s="1"/>
  <c r="B2980" i="106"/>
  <c r="D2980" i="106" s="1"/>
  <c r="B5101" i="106"/>
  <c r="D5101" i="106" s="1"/>
  <c r="B198" i="106"/>
  <c r="D198" i="106" s="1"/>
  <c r="B1031" i="106"/>
  <c r="D1031" i="106" s="1"/>
  <c r="B6692" i="106"/>
  <c r="D6692" i="106" s="1"/>
  <c r="B2992" i="106"/>
  <c r="D2992" i="106" s="1"/>
  <c r="K191" i="29"/>
  <c r="B3010" i="106" s="1"/>
  <c r="D3010" i="106" s="1"/>
  <c r="B5148" i="106"/>
  <c r="D5148" i="106" s="1"/>
  <c r="C141" i="5"/>
  <c r="B6329" i="106"/>
  <c r="D6329" i="106" s="1"/>
  <c r="B5073" i="106"/>
  <c r="D5073" i="106" s="1"/>
  <c r="B5555" i="106"/>
  <c r="D5555" i="106" s="1"/>
  <c r="B5338" i="106"/>
  <c r="D5338" i="106" s="1"/>
  <c r="L285" i="29"/>
  <c r="B6764" i="106"/>
  <c r="D6764" i="106" s="1"/>
  <c r="B2769" i="106"/>
  <c r="D2769" i="106" s="1"/>
  <c r="B5432" i="106"/>
  <c r="D5432" i="106" s="1"/>
  <c r="B1044" i="106"/>
  <c r="D1044" i="106" s="1"/>
  <c r="B7704" i="106"/>
  <c r="D7704" i="106" s="1"/>
  <c r="B4370" i="106"/>
  <c r="D4370" i="106" s="1"/>
  <c r="B856" i="106"/>
  <c r="D856" i="106" s="1"/>
  <c r="B7097" i="106"/>
  <c r="D7097" i="106" s="1"/>
  <c r="K256" i="29"/>
  <c r="B7098" i="106" s="1"/>
  <c r="D7098" i="106" s="1"/>
  <c r="B1528" i="106"/>
  <c r="D1528" i="106" s="1"/>
  <c r="L33" i="29"/>
  <c r="B6758" i="106"/>
  <c r="D6758" i="106" s="1"/>
  <c r="B7254" i="106"/>
  <c r="D7254" i="106" s="1"/>
  <c r="B1235" i="106"/>
  <c r="D1235" i="106" s="1"/>
  <c r="E127" i="29"/>
  <c r="B1239" i="106" s="1"/>
  <c r="D1239" i="106" s="1"/>
  <c r="B6820" i="106"/>
  <c r="D6820" i="106" s="1"/>
  <c r="B6325" i="106"/>
  <c r="D6325" i="106" s="1"/>
  <c r="B806" i="106"/>
  <c r="D806" i="106" s="1"/>
  <c r="B6776" i="106"/>
  <c r="D6776" i="106" s="1"/>
  <c r="B857" i="106"/>
  <c r="D857" i="106" s="1"/>
  <c r="B1341" i="106"/>
  <c r="D1341" i="106" s="1"/>
  <c r="B891" i="106"/>
  <c r="D891" i="106" s="1"/>
  <c r="K223" i="29"/>
  <c r="B1472" i="106" s="1"/>
  <c r="D1472" i="106" s="1"/>
  <c r="B1408" i="106"/>
  <c r="D1408" i="106" s="1"/>
  <c r="K237" i="29"/>
  <c r="B1480" i="106" s="1"/>
  <c r="D1480" i="106" s="1"/>
  <c r="B1416" i="106"/>
  <c r="D1416" i="106" s="1"/>
  <c r="B7161" i="106"/>
  <c r="D7161" i="106" s="1"/>
  <c r="B4885" i="106"/>
  <c r="D4885" i="106" s="1"/>
  <c r="B5565" i="106"/>
  <c r="D5565" i="106" s="1"/>
  <c r="F86" i="34"/>
  <c r="K309" i="29"/>
  <c r="B3717" i="106" s="1"/>
  <c r="D3717" i="106" s="1"/>
  <c r="B7112" i="106"/>
  <c r="D7112" i="106" s="1"/>
  <c r="B65" i="106"/>
  <c r="D65" i="106" s="1"/>
  <c r="C13" i="3"/>
  <c r="B77" i="106" s="1"/>
  <c r="D77" i="106" s="1"/>
  <c r="E65" i="29"/>
  <c r="B861" i="106" s="1"/>
  <c r="D861" i="106" s="1"/>
  <c r="B854" i="106"/>
  <c r="D854" i="106" s="1"/>
  <c r="L340" i="29"/>
  <c r="B5079" i="106"/>
  <c r="D5079" i="106" s="1"/>
  <c r="B3638" i="106"/>
  <c r="D3638" i="106" s="1"/>
  <c r="F350" i="29"/>
  <c r="B6188" i="106"/>
  <c r="D6188" i="106" s="1"/>
  <c r="B7252" i="106"/>
  <c r="D7252" i="106" s="1"/>
  <c r="B3316" i="106"/>
  <c r="D3316" i="106" s="1"/>
  <c r="B6705" i="106"/>
  <c r="D6705" i="106" s="1"/>
  <c r="B7809" i="106"/>
  <c r="D7809" i="106" s="1"/>
  <c r="F167" i="34"/>
  <c r="B7006" i="106"/>
  <c r="D7006" i="106" s="1"/>
  <c r="K98" i="29"/>
  <c r="B7007" i="106" s="1"/>
  <c r="D7007" i="106" s="1"/>
  <c r="B4922" i="106"/>
  <c r="D4922" i="106" s="1"/>
  <c r="B6928" i="106"/>
  <c r="D6928" i="106" s="1"/>
  <c r="B6101" i="106"/>
  <c r="D6101" i="106" s="1"/>
  <c r="E72" i="29"/>
  <c r="B869" i="106" s="1"/>
  <c r="D869" i="106" s="1"/>
  <c r="B862" i="106"/>
  <c r="D862" i="106" s="1"/>
  <c r="L362" i="29"/>
  <c r="L365" i="29" s="1"/>
  <c r="L367" i="29" s="1"/>
  <c r="B6136" i="106"/>
  <c r="D6136" i="106" s="1"/>
  <c r="B6640" i="106"/>
  <c r="D6640" i="106" s="1"/>
  <c r="B6794" i="106"/>
  <c r="D6794" i="106" s="1"/>
  <c r="B6739" i="106"/>
  <c r="D6739" i="106" s="1"/>
  <c r="D184" i="29"/>
  <c r="D210" i="29" s="1"/>
  <c r="B1346" i="106" s="1"/>
  <c r="D1346" i="106" s="1"/>
  <c r="B4082" i="106"/>
  <c r="D4082" i="106" s="1"/>
  <c r="B7160" i="106"/>
  <c r="D7160" i="106" s="1"/>
  <c r="B501" i="106"/>
  <c r="D501" i="106" s="1"/>
  <c r="B7697" i="106"/>
  <c r="D7697" i="106" s="1"/>
  <c r="K329" i="29"/>
  <c r="B6364" i="106"/>
  <c r="D6364" i="106" s="1"/>
  <c r="B7754" i="106"/>
  <c r="D7754" i="106" s="1"/>
  <c r="J44" i="4"/>
  <c r="B3234" i="106"/>
  <c r="D3234" i="106" s="1"/>
  <c r="B1037" i="106"/>
  <c r="D1037" i="106" s="1"/>
  <c r="B7148" i="106"/>
  <c r="D7148" i="106" s="1"/>
  <c r="B3376" i="106"/>
  <c r="D3376" i="106" s="1"/>
  <c r="B6647" i="106"/>
  <c r="D6647" i="106" s="1"/>
  <c r="B6115" i="106"/>
  <c r="D6115" i="106" s="1"/>
  <c r="B5331" i="106"/>
  <c r="D5331" i="106" s="1"/>
  <c r="B6724" i="106"/>
  <c r="D6724" i="106" s="1"/>
  <c r="B6751" i="106"/>
  <c r="D6751" i="106" s="1"/>
  <c r="B6947" i="106"/>
  <c r="D6947" i="106" s="1"/>
  <c r="B4415" i="106"/>
  <c r="D4415" i="106" s="1"/>
  <c r="F162" i="34"/>
  <c r="B7869" i="106" s="1"/>
  <c r="D7869" i="106" s="1"/>
  <c r="H357" i="29"/>
  <c r="B7237" i="106" s="1"/>
  <c r="D7237" i="106" s="1"/>
  <c r="K354" i="29"/>
  <c r="B7791" i="106"/>
  <c r="D7791" i="106" s="1"/>
  <c r="B5278" i="106"/>
  <c r="D5278" i="106" s="1"/>
  <c r="F129" i="34"/>
  <c r="B7861" i="106" s="1"/>
  <c r="D7861" i="106" s="1"/>
  <c r="B3652" i="106"/>
  <c r="D3652" i="106" s="1"/>
  <c r="H350" i="29"/>
  <c r="D175" i="5"/>
  <c r="B5423" i="106" s="1"/>
  <c r="D5423" i="106" s="1"/>
  <c r="B5422" i="106"/>
  <c r="D5422" i="106" s="1"/>
  <c r="B788" i="106"/>
  <c r="D788" i="106" s="1"/>
  <c r="B7695" i="106"/>
  <c r="D7695" i="106" s="1"/>
  <c r="B1372" i="106"/>
  <c r="D1372" i="106" s="1"/>
  <c r="K200" i="29"/>
  <c r="B1384" i="106" s="1"/>
  <c r="D1384" i="106" s="1"/>
  <c r="L357" i="29"/>
  <c r="B7769" i="106"/>
  <c r="D7769" i="106" s="1"/>
  <c r="B6703" i="106"/>
  <c r="D6703" i="106" s="1"/>
  <c r="B6847" i="106"/>
  <c r="D6847" i="106" s="1"/>
  <c r="B5561" i="106"/>
  <c r="D5561" i="106" s="1"/>
  <c r="B7045" i="106"/>
  <c r="D7045" i="106" s="1"/>
  <c r="K224" i="29"/>
  <c r="F71" i="34" s="1"/>
  <c r="B1409" i="106"/>
  <c r="D1409" i="106" s="1"/>
  <c r="B6857" i="106"/>
  <c r="D6857" i="106" s="1"/>
  <c r="B5496" i="106"/>
  <c r="D5496" i="106" s="1"/>
  <c r="G57" i="29"/>
  <c r="B969" i="106" s="1"/>
  <c r="D969" i="106" s="1"/>
  <c r="B967" i="106"/>
  <c r="D967" i="106" s="1"/>
  <c r="B6741" i="106"/>
  <c r="D6741" i="106" s="1"/>
  <c r="B6154" i="106"/>
  <c r="D6154" i="106" s="1"/>
  <c r="G221" i="5"/>
  <c r="B5847" i="106" s="1"/>
  <c r="D5847" i="106" s="1"/>
  <c r="B5844" i="106"/>
  <c r="D5844" i="106" s="1"/>
  <c r="B7233" i="106"/>
  <c r="D7233" i="106" s="1"/>
  <c r="K170" i="29"/>
  <c r="D69" i="36"/>
  <c r="B1315" i="106"/>
  <c r="D1315" i="106" s="1"/>
  <c r="B5070" i="106"/>
  <c r="D5070" i="106" s="1"/>
  <c r="K67" i="29"/>
  <c r="C72" i="29"/>
  <c r="B753" i="106" s="1"/>
  <c r="D753" i="106" s="1"/>
  <c r="B746" i="106"/>
  <c r="D746" i="106" s="1"/>
  <c r="B6957" i="106"/>
  <c r="D6957" i="106" s="1"/>
  <c r="B6955" i="106"/>
  <c r="D6955" i="106" s="1"/>
  <c r="B6084" i="106"/>
  <c r="D6084" i="106" s="1"/>
  <c r="B7699" i="106"/>
  <c r="D7699" i="106" s="1"/>
  <c r="H168" i="29"/>
  <c r="B1310" i="106"/>
  <c r="D1310" i="106" s="1"/>
  <c r="K163" i="29"/>
  <c r="K168" i="29" s="1"/>
  <c r="B5615" i="106"/>
  <c r="D5615" i="106" s="1"/>
  <c r="F155" i="5"/>
  <c r="B5618" i="106" s="1"/>
  <c r="D5618" i="106" s="1"/>
  <c r="B7004" i="106"/>
  <c r="D7004" i="106" s="1"/>
  <c r="K97" i="29"/>
  <c r="B7005" i="106" s="1"/>
  <c r="D7005" i="106" s="1"/>
  <c r="K338" i="29"/>
  <c r="B7211" i="106" s="1"/>
  <c r="D7211" i="106" s="1"/>
  <c r="B7210" i="106"/>
  <c r="D7210" i="106" s="1"/>
  <c r="F105" i="34"/>
  <c r="B5118" i="106"/>
  <c r="D5118" i="106" s="1"/>
  <c r="B202" i="106"/>
  <c r="D202" i="106" s="1"/>
  <c r="B903" i="106"/>
  <c r="D903" i="106" s="1"/>
  <c r="B6927" i="106"/>
  <c r="D6927" i="106" s="1"/>
  <c r="J53" i="29"/>
  <c r="B6943" i="106" s="1"/>
  <c r="D6943" i="106" s="1"/>
  <c r="B5594" i="106"/>
  <c r="D5594" i="106" s="1"/>
  <c r="B6620" i="106"/>
  <c r="D6620" i="106" s="1"/>
  <c r="J252" i="5"/>
  <c r="J266" i="5" s="1"/>
  <c r="B7176" i="106"/>
  <c r="D7176" i="106" s="1"/>
  <c r="K25" i="29"/>
  <c r="B6886" i="106"/>
  <c r="D6886" i="106" s="1"/>
  <c r="B2791" i="106"/>
  <c r="D2791" i="106" s="1"/>
  <c r="K107" i="29"/>
  <c r="B2795" i="106" s="1"/>
  <c r="D2795" i="106" s="1"/>
  <c r="B4917" i="106"/>
  <c r="D4917" i="106" s="1"/>
  <c r="B6089" i="106"/>
  <c r="D6089" i="106" s="1"/>
  <c r="F181" i="5"/>
  <c r="B5658" i="106" s="1"/>
  <c r="D5658" i="106" s="1"/>
  <c r="B4804" i="106"/>
  <c r="D4804" i="106" s="1"/>
  <c r="B954" i="106"/>
  <c r="D954" i="106" s="1"/>
  <c r="B6181" i="106"/>
  <c r="D6181" i="106" s="1"/>
  <c r="G330" i="29"/>
  <c r="B7203" i="106" s="1"/>
  <c r="D7203" i="106" s="1"/>
  <c r="B7122" i="106"/>
  <c r="D7122" i="106" s="1"/>
  <c r="B7807" i="106"/>
  <c r="D7807" i="106" s="1"/>
  <c r="B6650" i="106"/>
  <c r="D6650" i="106" s="1"/>
  <c r="F138" i="34"/>
  <c r="B6729" i="106"/>
  <c r="D6729" i="106" s="1"/>
  <c r="F146" i="34"/>
  <c r="B6846" i="106"/>
  <c r="D6846" i="106" s="1"/>
  <c r="B7815" i="106"/>
  <c r="D7815" i="106" s="1"/>
  <c r="B6699" i="106"/>
  <c r="D6699" i="106" s="1"/>
  <c r="B5560" i="106"/>
  <c r="D5560" i="106" s="1"/>
  <c r="B6380" i="106"/>
  <c r="D6380" i="106" s="1"/>
  <c r="G155" i="5"/>
  <c r="B4357" i="106" s="1"/>
  <c r="D4357" i="106" s="1"/>
  <c r="B1307" i="106"/>
  <c r="D1307" i="106" s="1"/>
  <c r="E172" i="29"/>
  <c r="E174" i="29" s="1"/>
  <c r="B1309" i="106" s="1"/>
  <c r="D1309" i="106" s="1"/>
  <c r="K171" i="29"/>
  <c r="B1330" i="106" s="1"/>
  <c r="D1330" i="106" s="1"/>
  <c r="B872" i="106"/>
  <c r="D872" i="106" s="1"/>
  <c r="B1261" i="106"/>
  <c r="D1261" i="106" s="1"/>
  <c r="B1265" i="106"/>
  <c r="D1265" i="106" s="1"/>
  <c r="B6859" i="106"/>
  <c r="D6859" i="106" s="1"/>
  <c r="B6163" i="106"/>
  <c r="D6163" i="106" s="1"/>
  <c r="K52" i="29"/>
  <c r="B6940" i="106" s="1"/>
  <c r="D6940" i="106" s="1"/>
  <c r="B6932" i="106"/>
  <c r="D6932" i="106" s="1"/>
  <c r="B6341" i="106"/>
  <c r="D6341" i="106" s="1"/>
  <c r="B6190" i="106"/>
  <c r="D6190" i="106" s="1"/>
  <c r="B7266" i="106"/>
  <c r="B3551" i="106"/>
  <c r="D3551" i="106" s="1"/>
  <c r="B5341" i="106"/>
  <c r="D5341" i="106" s="1"/>
  <c r="B950" i="106"/>
  <c r="D950" i="106" s="1"/>
  <c r="B5163" i="106"/>
  <c r="D5163" i="106" s="1"/>
  <c r="C145" i="5"/>
  <c r="B6083" i="106"/>
  <c r="D6083" i="106" s="1"/>
  <c r="B6799" i="106"/>
  <c r="D6799" i="106" s="1"/>
  <c r="B7248" i="106"/>
  <c r="D7248" i="106" s="1"/>
  <c r="B7192" i="106"/>
  <c r="D7192" i="106" s="1"/>
  <c r="G34" i="108"/>
  <c r="E33" i="108"/>
  <c r="B1134" i="106"/>
  <c r="D1134" i="106" s="1"/>
  <c r="B1482" i="106"/>
  <c r="D1482" i="106" s="1"/>
  <c r="K243" i="29"/>
  <c r="B1485" i="106" s="1"/>
  <c r="D1485" i="106" s="1"/>
  <c r="B6883" i="106"/>
  <c r="D6883" i="106" s="1"/>
  <c r="E13" i="188"/>
  <c r="B2724" i="106"/>
  <c r="D2724" i="106" s="1"/>
  <c r="B959" i="106"/>
  <c r="D959" i="106" s="1"/>
  <c r="G352" i="29"/>
  <c r="B3647" i="106"/>
  <c r="D3647" i="106" s="1"/>
  <c r="C151" i="29"/>
  <c r="B1226" i="106" s="1"/>
  <c r="D1226" i="106" s="1"/>
  <c r="B952" i="106"/>
  <c r="D952" i="106" s="1"/>
  <c r="B7712" i="106"/>
  <c r="D7712" i="106" s="1"/>
  <c r="K12" i="12"/>
  <c r="B1120" i="106"/>
  <c r="D1120" i="106" s="1"/>
  <c r="F64" i="34"/>
  <c r="B4211" i="106"/>
  <c r="D4211" i="106" s="1"/>
  <c r="B3668" i="106"/>
  <c r="D3668" i="106" s="1"/>
  <c r="K350" i="29"/>
  <c r="F77" i="4"/>
  <c r="B3255" i="106" s="1"/>
  <c r="D3255" i="106" s="1"/>
  <c r="B3252" i="106"/>
  <c r="D3252" i="106" s="1"/>
  <c r="B1104" i="106"/>
  <c r="D1104" i="106" s="1"/>
  <c r="F37" i="34"/>
  <c r="B7829" i="106" s="1"/>
  <c r="D7829" i="106" s="1"/>
  <c r="B4411" i="106"/>
  <c r="D4411" i="106" s="1"/>
  <c r="F128" i="34"/>
  <c r="B7860" i="106" s="1"/>
  <c r="D7860" i="106" s="1"/>
  <c r="G30" i="108"/>
  <c r="B1130" i="106"/>
  <c r="D1130" i="106" s="1"/>
  <c r="E30" i="108"/>
  <c r="B1555" i="106"/>
  <c r="D1555" i="106" s="1"/>
  <c r="K303" i="29"/>
  <c r="G342" i="29"/>
  <c r="B1473" i="106"/>
  <c r="D1473" i="106" s="1"/>
  <c r="B3675" i="106"/>
  <c r="D3675" i="106" s="1"/>
  <c r="K362" i="29"/>
  <c r="B7078" i="106"/>
  <c r="D7078" i="106" s="1"/>
  <c r="F67" i="34"/>
  <c r="B7074" i="106"/>
  <c r="D7074" i="106" s="1"/>
  <c r="B5178" i="106"/>
  <c r="D5178" i="106" s="1"/>
  <c r="F112" i="34"/>
  <c r="B5614" i="106"/>
  <c r="D5614" i="106" s="1"/>
  <c r="E44" i="4"/>
  <c r="F56" i="34"/>
  <c r="B7832" i="106" s="1"/>
  <c r="D7832" i="106" s="1"/>
  <c r="D14" i="4"/>
  <c r="B2570" i="106" s="1"/>
  <c r="D2570" i="106" s="1"/>
  <c r="B2805" i="106"/>
  <c r="D2805" i="106" s="1"/>
  <c r="B5873" i="106"/>
  <c r="D5873" i="106" s="1"/>
  <c r="H109" i="5"/>
  <c r="H139" i="29"/>
  <c r="B2091" i="106"/>
  <c r="D2091" i="106" s="1"/>
  <c r="B5246" i="106"/>
  <c r="D5246" i="106" s="1"/>
  <c r="B1324" i="106"/>
  <c r="D1324" i="106" s="1"/>
  <c r="E139" i="29"/>
  <c r="B4203" i="106" s="1"/>
  <c r="D4203" i="106" s="1"/>
  <c r="B4202" i="106"/>
  <c r="D4202" i="106" s="1"/>
  <c r="H365" i="29"/>
  <c r="B7242" i="106" s="1"/>
  <c r="D7242" i="106" s="1"/>
  <c r="B3658" i="106"/>
  <c r="D3658" i="106" s="1"/>
  <c r="K257" i="29"/>
  <c r="B1488" i="106" s="1"/>
  <c r="D1488" i="106" s="1"/>
  <c r="B1486" i="106"/>
  <c r="D1486" i="106" s="1"/>
  <c r="H44" i="4"/>
  <c r="G29" i="108"/>
  <c r="B1129" i="106"/>
  <c r="D1129" i="106" s="1"/>
  <c r="E29" i="108"/>
  <c r="B6879" i="106"/>
  <c r="D6879" i="106" s="1"/>
  <c r="F40" i="34"/>
  <c r="B1274" i="106"/>
  <c r="D1274" i="106" s="1"/>
  <c r="E26" i="108"/>
  <c r="G26" i="108"/>
  <c r="F15" i="188"/>
  <c r="K127" i="29"/>
  <c r="B6916" i="106"/>
  <c r="D6916" i="106" s="1"/>
  <c r="B3390" i="106"/>
  <c r="D3390" i="106" s="1"/>
  <c r="H295" i="29"/>
  <c r="B1454" i="106" s="1"/>
  <c r="D1454" i="106" s="1"/>
  <c r="B1452" i="106"/>
  <c r="D1452" i="106" s="1"/>
  <c r="K334" i="29"/>
  <c r="B7786" i="106"/>
  <c r="D7786" i="106" s="1"/>
  <c r="B7189" i="106"/>
  <c r="D7189" i="106" s="1"/>
  <c r="F26" i="108"/>
  <c r="B1126" i="106"/>
  <c r="D1126" i="106" s="1"/>
  <c r="B1972" i="106"/>
  <c r="D1972" i="106" s="1"/>
  <c r="H12" i="12"/>
  <c r="B1146" i="106"/>
  <c r="D1146" i="106" s="1"/>
  <c r="B2973" i="106"/>
  <c r="D2973" i="106" s="1"/>
  <c r="K84" i="29"/>
  <c r="B2088" i="106" s="1"/>
  <c r="D2088" i="106" s="1"/>
  <c r="B3229" i="106"/>
  <c r="D3229" i="106" s="1"/>
  <c r="H74" i="29"/>
  <c r="B1045" i="106" s="1"/>
  <c r="D1045" i="106" s="1"/>
  <c r="B1017" i="106"/>
  <c r="D1017" i="106" s="1"/>
  <c r="F72" i="34"/>
  <c r="G14" i="4"/>
  <c r="B2609" i="106" s="1"/>
  <c r="D2609" i="106" s="1"/>
  <c r="B1511" i="106"/>
  <c r="D1511" i="106" s="1"/>
  <c r="K160" i="29"/>
  <c r="B7778" i="106"/>
  <c r="D7778" i="106" s="1"/>
  <c r="B4398" i="106"/>
  <c r="D4398" i="106" s="1"/>
  <c r="G77" i="4"/>
  <c r="B3261" i="106" s="1"/>
  <c r="D3261" i="106" s="1"/>
  <c r="B3258" i="106"/>
  <c r="D3258" i="106" s="1"/>
  <c r="B5599" i="106"/>
  <c r="D5599" i="106" s="1"/>
  <c r="E74" i="29"/>
  <c r="B871" i="106" s="1"/>
  <c r="D871" i="106" s="1"/>
  <c r="B843" i="106"/>
  <c r="D843" i="106" s="1"/>
  <c r="B6853" i="106"/>
  <c r="D6853" i="106" s="1"/>
  <c r="F35" i="34"/>
  <c r="B7827" i="106" s="1"/>
  <c r="D7827" i="106" s="1"/>
  <c r="J129" i="29"/>
  <c r="F52" i="34"/>
  <c r="B7831" i="106" s="1"/>
  <c r="D7831" i="106" s="1"/>
  <c r="C14" i="4"/>
  <c r="B2558" i="106" s="1"/>
  <c r="D2558" i="106" s="1"/>
  <c r="B727" i="106"/>
  <c r="D727" i="106" s="1"/>
  <c r="B1233" i="106"/>
  <c r="D1233" i="106" s="1"/>
  <c r="A7264" i="106"/>
  <c r="D7263" i="106"/>
  <c r="L279" i="29" l="1"/>
  <c r="L295" i="29" s="1"/>
  <c r="K285" i="29"/>
  <c r="L174" i="29"/>
  <c r="G129" i="29"/>
  <c r="F151" i="29"/>
  <c r="B1250" i="106" s="1"/>
  <c r="D1250" i="106" s="1"/>
  <c r="E34" i="108"/>
  <c r="K72" i="29"/>
  <c r="B1141" i="106" s="1"/>
  <c r="D1141" i="106" s="1"/>
  <c r="G74" i="29"/>
  <c r="B987" i="106" s="1"/>
  <c r="D987" i="106" s="1"/>
  <c r="C74" i="29"/>
  <c r="B755" i="106" s="1"/>
  <c r="D755" i="106" s="1"/>
  <c r="B6839" i="106"/>
  <c r="D6839" i="106" s="1"/>
  <c r="G266" i="5"/>
  <c r="F158" i="34"/>
  <c r="B7866" i="106" s="1"/>
  <c r="D7866" i="106" s="1"/>
  <c r="F126" i="34"/>
  <c r="B7858" i="106" s="1"/>
  <c r="D7858" i="106" s="1"/>
  <c r="F169" i="5"/>
  <c r="B5644" i="106" s="1"/>
  <c r="D5644" i="106" s="1"/>
  <c r="F109" i="5"/>
  <c r="D15" i="7"/>
  <c r="B1772" i="106" s="1"/>
  <c r="D1772" i="106" s="1"/>
  <c r="D11" i="7"/>
  <c r="B1768" i="106" s="1"/>
  <c r="D1768" i="106" s="1"/>
  <c r="C77" i="4"/>
  <c r="B3232" i="106" s="1"/>
  <c r="D3232" i="106" s="1"/>
  <c r="B1529" i="106"/>
  <c r="D1529" i="106" s="1"/>
  <c r="D312" i="29"/>
  <c r="B1530" i="106" s="1"/>
  <c r="D1530" i="106" s="1"/>
  <c r="I76" i="4"/>
  <c r="B2105" i="106"/>
  <c r="D2105" i="106" s="1"/>
  <c r="D13" i="7"/>
  <c r="B3726" i="106" s="1"/>
  <c r="D3726" i="106" s="1"/>
  <c r="B3725" i="106"/>
  <c r="D3725" i="106" s="1"/>
  <c r="B1501" i="106"/>
  <c r="D1501" i="106" s="1"/>
  <c r="K277" i="29"/>
  <c r="B1508" i="106" s="1"/>
  <c r="D1508" i="106" s="1"/>
  <c r="B7153" i="106"/>
  <c r="D7153" i="106" s="1"/>
  <c r="E60" i="188"/>
  <c r="N60" i="188" s="1"/>
  <c r="K184" i="29"/>
  <c r="B4087" i="106"/>
  <c r="D4087" i="106" s="1"/>
  <c r="B3446" i="106"/>
  <c r="D3446" i="106" s="1"/>
  <c r="D16" i="7"/>
  <c r="B3447" i="106" s="1"/>
  <c r="D3447" i="106" s="1"/>
  <c r="B1745" i="106"/>
  <c r="D1745" i="106" s="1"/>
  <c r="D5" i="7"/>
  <c r="B1761" i="106" s="1"/>
  <c r="D1761" i="106" s="1"/>
  <c r="D26" i="108"/>
  <c r="K65" i="29"/>
  <c r="B1133" i="106" s="1"/>
  <c r="D1133" i="106" s="1"/>
  <c r="E15" i="188"/>
  <c r="E65" i="188"/>
  <c r="N65" i="188" s="1"/>
  <c r="B7198" i="106"/>
  <c r="D7198" i="106" s="1"/>
  <c r="H112" i="29"/>
  <c r="B7018" i="106" s="1"/>
  <c r="D7018" i="106" s="1"/>
  <c r="B1053" i="106"/>
  <c r="D1053" i="106" s="1"/>
  <c r="F39" i="34"/>
  <c r="B6877" i="106"/>
  <c r="D6877" i="106" s="1"/>
  <c r="J342" i="29"/>
  <c r="B7223" i="106" s="1"/>
  <c r="D7223" i="106" s="1"/>
  <c r="B7206" i="106"/>
  <c r="D7206" i="106" s="1"/>
  <c r="E66" i="188"/>
  <c r="N66" i="188" s="1"/>
  <c r="B7696" i="106"/>
  <c r="D7696" i="106" s="1"/>
  <c r="B5147" i="106"/>
  <c r="D5147" i="106" s="1"/>
  <c r="F106" i="34"/>
  <c r="B7842" i="106" s="1"/>
  <c r="D7842" i="106" s="1"/>
  <c r="C169" i="5"/>
  <c r="F312" i="29"/>
  <c r="B1542" i="106" s="1"/>
  <c r="D1542" i="106" s="1"/>
  <c r="B1541" i="106"/>
  <c r="D1541" i="106" s="1"/>
  <c r="E57" i="188"/>
  <c r="K330" i="29"/>
  <c r="B7126" i="106"/>
  <c r="D7126" i="106" s="1"/>
  <c r="F51" i="34"/>
  <c r="B6901" i="106"/>
  <c r="D6901" i="106" s="1"/>
  <c r="J109" i="5"/>
  <c r="B6301" i="106"/>
  <c r="D6301" i="106" s="1"/>
  <c r="B6997" i="106"/>
  <c r="D6997" i="106" s="1"/>
  <c r="K100" i="29"/>
  <c r="B7013" i="106" s="1"/>
  <c r="D7013" i="106" s="1"/>
  <c r="E129" i="29"/>
  <c r="K340" i="29"/>
  <c r="B7209" i="106"/>
  <c r="D7209" i="106" s="1"/>
  <c r="B6848" i="106"/>
  <c r="D6848" i="106" s="1"/>
  <c r="F34" i="34"/>
  <c r="B7826" i="106" s="1"/>
  <c r="D7826" i="106" s="1"/>
  <c r="B5741" i="106"/>
  <c r="D5741" i="106" s="1"/>
  <c r="G5" i="4"/>
  <c r="B3409" i="106" s="1"/>
  <c r="D3409" i="106" s="1"/>
  <c r="E312" i="29"/>
  <c r="B1536" i="106" s="1"/>
  <c r="D1536" i="106" s="1"/>
  <c r="B1535" i="106"/>
  <c r="D1535" i="106" s="1"/>
  <c r="B3619" i="106"/>
  <c r="D3619" i="106" s="1"/>
  <c r="C352" i="29"/>
  <c r="E12" i="188"/>
  <c r="H12" i="188" s="1"/>
  <c r="B1121" i="106"/>
  <c r="D1121" i="106" s="1"/>
  <c r="K109" i="5"/>
  <c r="B5987" i="106"/>
  <c r="D5987" i="106" s="1"/>
  <c r="D74" i="29"/>
  <c r="B785" i="106"/>
  <c r="D785" i="106" s="1"/>
  <c r="H208" i="29"/>
  <c r="B1375" i="106" s="1"/>
  <c r="D1375" i="106" s="1"/>
  <c r="B4156" i="106"/>
  <c r="D4156" i="106" s="1"/>
  <c r="L151" i="29"/>
  <c r="B1364" i="106"/>
  <c r="D1364" i="106" s="1"/>
  <c r="G210" i="29"/>
  <c r="E342" i="29"/>
  <c r="B7218" i="106" s="1"/>
  <c r="D7218" i="106" s="1"/>
  <c r="B7201" i="106"/>
  <c r="D7201" i="106" s="1"/>
  <c r="H102" i="29"/>
  <c r="B1047" i="106" s="1"/>
  <c r="D1047" i="106" s="1"/>
  <c r="B2081" i="106"/>
  <c r="D2081" i="106" s="1"/>
  <c r="I109" i="5"/>
  <c r="B5918" i="106"/>
  <c r="D5918" i="106" s="1"/>
  <c r="F49" i="34"/>
  <c r="B6897" i="106"/>
  <c r="D6897" i="106" s="1"/>
  <c r="F125" i="34"/>
  <c r="B7857" i="106" s="1"/>
  <c r="D7857" i="106" s="1"/>
  <c r="C266" i="5"/>
  <c r="B4395" i="106"/>
  <c r="D4395" i="106" s="1"/>
  <c r="B6238" i="106"/>
  <c r="D6238" i="106" s="1"/>
  <c r="J77" i="4"/>
  <c r="B6262" i="106" s="1"/>
  <c r="D6262" i="106" s="1"/>
  <c r="F107" i="34"/>
  <c r="B7843" i="106" s="1"/>
  <c r="D7843" i="106" s="1"/>
  <c r="B5161" i="106"/>
  <c r="D5161" i="106" s="1"/>
  <c r="B7776" i="106"/>
  <c r="D7776" i="106" s="1"/>
  <c r="K137" i="29"/>
  <c r="D342" i="29"/>
  <c r="B7217" i="106" s="1"/>
  <c r="D7217" i="106" s="1"/>
  <c r="B7200" i="106"/>
  <c r="D7200" i="106" s="1"/>
  <c r="K266" i="5"/>
  <c r="B6840" i="106"/>
  <c r="D6840" i="106" s="1"/>
  <c r="F36" i="34"/>
  <c r="B7828" i="106" s="1"/>
  <c r="D7828" i="106" s="1"/>
  <c r="B6858" i="106"/>
  <c r="D6858" i="106" s="1"/>
  <c r="F170" i="5"/>
  <c r="K110" i="29"/>
  <c r="K112" i="29" s="1"/>
  <c r="B1345" i="106"/>
  <c r="D1345" i="106" s="1"/>
  <c r="B1308" i="106"/>
  <c r="D1308" i="106" s="1"/>
  <c r="H149" i="29"/>
  <c r="B1272" i="106" s="1"/>
  <c r="D1272" i="106" s="1"/>
  <c r="G33" i="108"/>
  <c r="E17" i="188"/>
  <c r="H17" i="188" s="1"/>
  <c r="F61" i="34"/>
  <c r="B1329" i="106"/>
  <c r="D1329" i="106" s="1"/>
  <c r="B3654" i="106"/>
  <c r="D3654" i="106" s="1"/>
  <c r="H352" i="29"/>
  <c r="B5066" i="106"/>
  <c r="D5066" i="106" s="1"/>
  <c r="C109" i="5"/>
  <c r="K238" i="29"/>
  <c r="B1475" i="106"/>
  <c r="D1475" i="106" s="1"/>
  <c r="B1107" i="106"/>
  <c r="D1107" i="106" s="1"/>
  <c r="F38" i="34"/>
  <c r="B7830" i="106" s="1"/>
  <c r="D7830" i="106" s="1"/>
  <c r="B1547" i="106"/>
  <c r="D1547" i="106" s="1"/>
  <c r="G312" i="29"/>
  <c r="B1548" i="106" s="1"/>
  <c r="D1548" i="106" s="1"/>
  <c r="B5125" i="106"/>
  <c r="D5125" i="106" s="1"/>
  <c r="C5" i="4"/>
  <c r="B3405" i="106" s="1"/>
  <c r="D3405" i="106" s="1"/>
  <c r="F46" i="34"/>
  <c r="B6891" i="106"/>
  <c r="D6891" i="106" s="1"/>
  <c r="L210" i="29"/>
  <c r="B7202" i="106"/>
  <c r="D7202" i="106" s="1"/>
  <c r="F342" i="29"/>
  <c r="B7219" i="106" s="1"/>
  <c r="D7219" i="106" s="1"/>
  <c r="C210" i="29"/>
  <c r="B1340" i="106" s="1"/>
  <c r="D1340" i="106" s="1"/>
  <c r="B1339" i="106"/>
  <c r="D1339" i="106" s="1"/>
  <c r="B5334" i="106"/>
  <c r="D5334" i="106" s="1"/>
  <c r="D109" i="5"/>
  <c r="B5369" i="106"/>
  <c r="D5369" i="106" s="1"/>
  <c r="D169" i="5"/>
  <c r="B7230" i="106"/>
  <c r="D7230" i="106" s="1"/>
  <c r="I352" i="29"/>
  <c r="J210" i="29"/>
  <c r="B7072" i="106" s="1"/>
  <c r="D7072" i="106" s="1"/>
  <c r="B7064" i="106"/>
  <c r="D7064" i="106" s="1"/>
  <c r="B5592" i="106"/>
  <c r="D5592" i="106" s="1"/>
  <c r="F5" i="4"/>
  <c r="B3408" i="106" s="1"/>
  <c r="D3408" i="106" s="1"/>
  <c r="B1127" i="106"/>
  <c r="D1127" i="106" s="1"/>
  <c r="F27" i="108"/>
  <c r="D27" i="108"/>
  <c r="K33" i="29"/>
  <c r="B1093" i="106"/>
  <c r="D1093" i="106" s="1"/>
  <c r="G109" i="5"/>
  <c r="B5725" i="106"/>
  <c r="D5725" i="106" s="1"/>
  <c r="H266" i="5"/>
  <c r="B6838" i="106"/>
  <c r="D6838" i="106" s="1"/>
  <c r="B5360" i="106"/>
  <c r="D5360" i="106" s="1"/>
  <c r="D5" i="4"/>
  <c r="B3406" i="106" s="1"/>
  <c r="D3406" i="106" s="1"/>
  <c r="F124" i="34"/>
  <c r="B7856" i="106" s="1"/>
  <c r="D7856" i="106" s="1"/>
  <c r="B5232" i="106"/>
  <c r="D5232" i="106" s="1"/>
  <c r="L74" i="29"/>
  <c r="L114" i="29" s="1"/>
  <c r="F36" i="108"/>
  <c r="D36" i="108"/>
  <c r="B1137" i="106"/>
  <c r="D1137" i="106" s="1"/>
  <c r="B4396" i="106"/>
  <c r="D4396" i="106" s="1"/>
  <c r="D266" i="5"/>
  <c r="E196" i="29"/>
  <c r="B2823" i="106"/>
  <c r="D2823" i="106" s="1"/>
  <c r="D77" i="4"/>
  <c r="B3238" i="106" s="1"/>
  <c r="D3238" i="106" s="1"/>
  <c r="B3235" i="106"/>
  <c r="D3235" i="106" s="1"/>
  <c r="G169" i="5"/>
  <c r="B5752" i="106"/>
  <c r="D5752" i="106" s="1"/>
  <c r="D6" i="7"/>
  <c r="B1762" i="106" s="1"/>
  <c r="D1762" i="106" s="1"/>
  <c r="B1746" i="106"/>
  <c r="D1746" i="106" s="1"/>
  <c r="B1747" i="106"/>
  <c r="D1747" i="106" s="1"/>
  <c r="D7" i="7"/>
  <c r="B1763" i="106" s="1"/>
  <c r="D1763" i="106" s="1"/>
  <c r="B7103" i="106"/>
  <c r="D7103" i="106" s="1"/>
  <c r="I312" i="29"/>
  <c r="B7116" i="106" s="1"/>
  <c r="D7116" i="106" s="1"/>
  <c r="B1142" i="106"/>
  <c r="D1142" i="106" s="1"/>
  <c r="E38" i="108"/>
  <c r="G38" i="108"/>
  <c r="D10" i="7"/>
  <c r="B1765" i="106" s="1"/>
  <c r="D1765" i="106" s="1"/>
  <c r="B1749" i="106"/>
  <c r="D1749" i="106" s="1"/>
  <c r="J312" i="29"/>
  <c r="B7117" i="106" s="1"/>
  <c r="D7117" i="106" s="1"/>
  <c r="B7104" i="106"/>
  <c r="D7104" i="106" s="1"/>
  <c r="B1124" i="106"/>
  <c r="D1124" i="106" s="1"/>
  <c r="E14" i="188"/>
  <c r="H14" i="188" s="1"/>
  <c r="F96" i="34"/>
  <c r="B7838" i="106" s="1"/>
  <c r="D7838" i="106" s="1"/>
  <c r="B5102" i="106"/>
  <c r="D5102" i="106" s="1"/>
  <c r="H114" i="29"/>
  <c r="B1054" i="106" s="1"/>
  <c r="D1054" i="106" s="1"/>
  <c r="I74" i="29"/>
  <c r="I114" i="29" s="1"/>
  <c r="H312" i="29"/>
  <c r="B1554" i="106" s="1"/>
  <c r="D1554" i="106" s="1"/>
  <c r="H172" i="29"/>
  <c r="B1314" i="106"/>
  <c r="D1314" i="106" s="1"/>
  <c r="B7792" i="106"/>
  <c r="D7792" i="106" s="1"/>
  <c r="K357" i="29"/>
  <c r="K293" i="29"/>
  <c r="B1512" i="106"/>
  <c r="D1512" i="106" s="1"/>
  <c r="B7037" i="106"/>
  <c r="D7037" i="106" s="1"/>
  <c r="I151" i="29"/>
  <c r="B3633" i="106"/>
  <c r="D3633" i="106" s="1"/>
  <c r="E352" i="29"/>
  <c r="K147" i="29"/>
  <c r="B1283" i="106"/>
  <c r="D1283" i="106" s="1"/>
  <c r="B6899" i="106"/>
  <c r="D6899" i="106" s="1"/>
  <c r="F50" i="34"/>
  <c r="F127" i="34"/>
  <c r="B7859" i="106" s="1"/>
  <c r="D7859" i="106" s="1"/>
  <c r="B5260" i="106"/>
  <c r="D5260" i="106" s="1"/>
  <c r="D37" i="108"/>
  <c r="F37" i="108"/>
  <c r="B1139" i="106"/>
  <c r="D1139" i="106" s="1"/>
  <c r="H170" i="5"/>
  <c r="B5893" i="106"/>
  <c r="D5893" i="106" s="1"/>
  <c r="F43" i="34"/>
  <c r="B6885" i="106"/>
  <c r="D6885" i="106" s="1"/>
  <c r="E61" i="188"/>
  <c r="N61" i="188" s="1"/>
  <c r="B7162" i="106"/>
  <c r="D7162" i="106" s="1"/>
  <c r="J74" i="29"/>
  <c r="B6917" i="106"/>
  <c r="D6917" i="106" s="1"/>
  <c r="K270" i="29"/>
  <c r="B1500" i="106" s="1"/>
  <c r="D1500" i="106" s="1"/>
  <c r="B1492" i="106"/>
  <c r="D1492" i="106" s="1"/>
  <c r="B5534" i="106"/>
  <c r="D5534" i="106" s="1"/>
  <c r="E170" i="5"/>
  <c r="B1136" i="106"/>
  <c r="D1136" i="106" s="1"/>
  <c r="E35" i="108"/>
  <c r="G35" i="108"/>
  <c r="B1489" i="106"/>
  <c r="D1489" i="106" s="1"/>
  <c r="K261" i="29"/>
  <c r="B1491" i="106" s="1"/>
  <c r="D1491" i="106" s="1"/>
  <c r="B6995" i="106"/>
  <c r="D6995" i="106" s="1"/>
  <c r="K92" i="29"/>
  <c r="B3626" i="106"/>
  <c r="D3626" i="106" s="1"/>
  <c r="D352" i="29"/>
  <c r="B1470" i="106"/>
  <c r="D1470" i="106" s="1"/>
  <c r="F70" i="34"/>
  <c r="D9" i="7"/>
  <c r="B1767" i="106" s="1"/>
  <c r="D1767" i="106" s="1"/>
  <c r="B1751" i="106"/>
  <c r="D1751" i="106" s="1"/>
  <c r="B7076" i="106"/>
  <c r="D7076" i="106" s="1"/>
  <c r="F68" i="34"/>
  <c r="F266" i="5"/>
  <c r="B5713" i="106" s="1"/>
  <c r="D5713" i="106" s="1"/>
  <c r="B4397" i="106"/>
  <c r="D4397" i="106" s="1"/>
  <c r="D12" i="7"/>
  <c r="B1769" i="106" s="1"/>
  <c r="D1769" i="106" s="1"/>
  <c r="B1753" i="106"/>
  <c r="D1753" i="106" s="1"/>
  <c r="B5655" i="106"/>
  <c r="D5655" i="106" s="1"/>
  <c r="K204" i="29"/>
  <c r="B1383" i="106"/>
  <c r="D1383" i="106" s="1"/>
  <c r="B4373" i="106"/>
  <c r="D4373" i="106" s="1"/>
  <c r="I267" i="5"/>
  <c r="E59" i="188"/>
  <c r="N59" i="188" s="1"/>
  <c r="B7144" i="106"/>
  <c r="D7144" i="106" s="1"/>
  <c r="B6881" i="106"/>
  <c r="D6881" i="106" s="1"/>
  <c r="F41" i="34"/>
  <c r="B1523" i="106"/>
  <c r="D1523" i="106" s="1"/>
  <c r="C312" i="29"/>
  <c r="B1524" i="106" s="1"/>
  <c r="D1524" i="106" s="1"/>
  <c r="K76" i="4"/>
  <c r="B3702" i="106"/>
  <c r="D3702" i="106" s="1"/>
  <c r="B1109" i="106"/>
  <c r="D1109" i="106" s="1"/>
  <c r="K42" i="29"/>
  <c r="K229" i="29"/>
  <c r="F108" i="34"/>
  <c r="B7844" i="106" s="1"/>
  <c r="D7844" i="106" s="1"/>
  <c r="B5165" i="106"/>
  <c r="D5165" i="106" s="1"/>
  <c r="B6887" i="106"/>
  <c r="D6887" i="106" s="1"/>
  <c r="F44" i="34"/>
  <c r="E67" i="188"/>
  <c r="N67" i="188" s="1"/>
  <c r="B7705" i="106"/>
  <c r="D7705" i="106" s="1"/>
  <c r="F352" i="29"/>
  <c r="B3640" i="106"/>
  <c r="D3640" i="106" s="1"/>
  <c r="B19" i="7"/>
  <c r="B1759" i="106" s="1"/>
  <c r="D1759" i="106" s="1"/>
  <c r="B1744" i="106"/>
  <c r="D1744" i="106" s="1"/>
  <c r="D4" i="7"/>
  <c r="H196" i="29"/>
  <c r="B2828" i="106"/>
  <c r="D2828" i="106" s="1"/>
  <c r="D18" i="7"/>
  <c r="B4105" i="106" s="1"/>
  <c r="D4105" i="106" s="1"/>
  <c r="B4103" i="106"/>
  <c r="D4103" i="106" s="1"/>
  <c r="B1417" i="106"/>
  <c r="D1417" i="106" s="1"/>
  <c r="D279" i="29"/>
  <c r="J352" i="29"/>
  <c r="B7231" i="106"/>
  <c r="D7231" i="106" s="1"/>
  <c r="B6893" i="106"/>
  <c r="D6893" i="106" s="1"/>
  <c r="F47" i="34"/>
  <c r="B7063" i="106"/>
  <c r="D7063" i="106" s="1"/>
  <c r="I210" i="29"/>
  <c r="D14" i="7"/>
  <c r="B1770" i="106" s="1"/>
  <c r="D1770" i="106" s="1"/>
  <c r="B1754" i="106"/>
  <c r="D1754" i="106" s="1"/>
  <c r="H129" i="29"/>
  <c r="B1266" i="106" s="1"/>
  <c r="D1266" i="106" s="1"/>
  <c r="F28" i="108"/>
  <c r="B1128" i="106"/>
  <c r="D1128" i="106" s="1"/>
  <c r="E28" i="108"/>
  <c r="E102" i="29"/>
  <c r="B2790" i="106" s="1"/>
  <c r="D2790" i="106" s="1"/>
  <c r="B2789" i="106"/>
  <c r="D2789" i="106" s="1"/>
  <c r="B5096" i="106"/>
  <c r="D5096" i="106" s="1"/>
  <c r="F95" i="34"/>
  <c r="L312" i="29"/>
  <c r="B7205" i="106"/>
  <c r="D7205" i="106" s="1"/>
  <c r="I342" i="29"/>
  <c r="D17" i="7"/>
  <c r="B4104" i="106" s="1"/>
  <c r="D4104" i="106" s="1"/>
  <c r="B4102" i="106"/>
  <c r="D4102" i="106" s="1"/>
  <c r="E266" i="5"/>
  <c r="B6835" i="106"/>
  <c r="D6835" i="106" s="1"/>
  <c r="K57" i="29"/>
  <c r="B1123" i="106"/>
  <c r="D1123" i="106" s="1"/>
  <c r="B7171" i="106"/>
  <c r="D7171" i="106" s="1"/>
  <c r="E62" i="188"/>
  <c r="N62" i="188" s="1"/>
  <c r="F210" i="29"/>
  <c r="B1359" i="106" s="1"/>
  <c r="D1359" i="106" s="1"/>
  <c r="B1358" i="106"/>
  <c r="D1358" i="106" s="1"/>
  <c r="C342" i="29"/>
  <c r="B7216" i="106" s="1"/>
  <c r="D7216" i="106" s="1"/>
  <c r="B7199" i="106"/>
  <c r="D7199" i="106" s="1"/>
  <c r="B6895" i="106"/>
  <c r="D6895" i="106" s="1"/>
  <c r="F48" i="34"/>
  <c r="B1131" i="106"/>
  <c r="D1131" i="106" s="1"/>
  <c r="F31" i="108"/>
  <c r="D31" i="108"/>
  <c r="E16" i="188"/>
  <c r="H16" i="188" s="1"/>
  <c r="B7204" i="106"/>
  <c r="D7204" i="106" s="1"/>
  <c r="H342" i="29"/>
  <c r="B7221" i="106" s="1"/>
  <c r="D7221" i="106" s="1"/>
  <c r="E58" i="188"/>
  <c r="N58" i="188" s="1"/>
  <c r="B7135" i="106"/>
  <c r="D7135" i="106" s="1"/>
  <c r="B1116" i="106"/>
  <c r="D1116" i="106" s="1"/>
  <c r="K47" i="29"/>
  <c r="E39" i="108"/>
  <c r="B1144" i="106"/>
  <c r="D1144" i="106" s="1"/>
  <c r="G39" i="108"/>
  <c r="B3007" i="106"/>
  <c r="D3007" i="106" s="1"/>
  <c r="K194" i="29"/>
  <c r="E109" i="5"/>
  <c r="B5513" i="106"/>
  <c r="D5513" i="106" s="1"/>
  <c r="E63" i="188"/>
  <c r="N63" i="188" s="1"/>
  <c r="B7180" i="106"/>
  <c r="D7180" i="106" s="1"/>
  <c r="B5304" i="106"/>
  <c r="D5304" i="106" s="1"/>
  <c r="F133" i="34"/>
  <c r="B7865" i="106" s="1"/>
  <c r="D7865" i="106" s="1"/>
  <c r="K310" i="29"/>
  <c r="B7107" i="106"/>
  <c r="D7107" i="106" s="1"/>
  <c r="F74" i="29"/>
  <c r="B901" i="106"/>
  <c r="D901" i="106" s="1"/>
  <c r="B6006" i="106"/>
  <c r="D6006" i="106" s="1"/>
  <c r="K170" i="5"/>
  <c r="B4363" i="106"/>
  <c r="D4363" i="106" s="1"/>
  <c r="I170" i="5"/>
  <c r="B6357" i="106"/>
  <c r="D6357" i="106" s="1"/>
  <c r="J170" i="5"/>
  <c r="F45" i="34"/>
  <c r="B6889" i="106"/>
  <c r="D6889" i="106" s="1"/>
  <c r="F6" i="4"/>
  <c r="B2593" i="106" s="1"/>
  <c r="D2593" i="106" s="1"/>
  <c r="B5653" i="106"/>
  <c r="D5653" i="106" s="1"/>
  <c r="B1151" i="106"/>
  <c r="D1151" i="106" s="1"/>
  <c r="H77" i="4"/>
  <c r="B3299" i="106" s="1"/>
  <c r="D3299" i="106" s="1"/>
  <c r="B3296" i="106"/>
  <c r="D3296" i="106" s="1"/>
  <c r="B1328" i="106"/>
  <c r="D1328" i="106" s="1"/>
  <c r="K172" i="29"/>
  <c r="K365" i="29"/>
  <c r="B3676" i="106"/>
  <c r="D3676" i="106" s="1"/>
  <c r="B7220" i="106"/>
  <c r="D7220" i="106" s="1"/>
  <c r="F75" i="34"/>
  <c r="B7886" i="106" s="1"/>
  <c r="D7886" i="106" s="1"/>
  <c r="K352" i="29"/>
  <c r="B3670" i="106"/>
  <c r="D3670" i="106" s="1"/>
  <c r="B1122" i="106"/>
  <c r="D1122" i="106" s="1"/>
  <c r="E23" i="108"/>
  <c r="G114" i="29"/>
  <c r="F74" i="34"/>
  <c r="B7790" i="106"/>
  <c r="D7790" i="106" s="1"/>
  <c r="J15" i="4"/>
  <c r="B7796" i="106" s="1"/>
  <c r="D7796" i="106" s="1"/>
  <c r="B6977" i="106"/>
  <c r="D6977" i="106" s="1"/>
  <c r="B1267" i="106"/>
  <c r="D1267" i="106" s="1"/>
  <c r="H4" i="4"/>
  <c r="B2655" i="106" s="1"/>
  <c r="D2655" i="106" s="1"/>
  <c r="B6025" i="106"/>
  <c r="D6025" i="106" s="1"/>
  <c r="B7847" i="106"/>
  <c r="D7847" i="106" s="1"/>
  <c r="B3649" i="106"/>
  <c r="D3649" i="106" s="1"/>
  <c r="G367" i="29"/>
  <c r="B3650" i="106" s="1"/>
  <c r="D3650" i="106" s="1"/>
  <c r="J151" i="29"/>
  <c r="B7052" i="106" s="1"/>
  <c r="D7052" i="106" s="1"/>
  <c r="B7038" i="106"/>
  <c r="D7038" i="106" s="1"/>
  <c r="F60" i="34"/>
  <c r="B1323" i="106"/>
  <c r="D1323" i="106" s="1"/>
  <c r="E15" i="4"/>
  <c r="B2633" i="106" s="1"/>
  <c r="D2633" i="106" s="1"/>
  <c r="H14" i="12"/>
  <c r="B1977" i="106"/>
  <c r="D1977" i="106" s="1"/>
  <c r="B3724" i="106"/>
  <c r="D3724" i="106" s="1"/>
  <c r="G15" i="4"/>
  <c r="B6032" i="106" s="1"/>
  <c r="D6032" i="106" s="1"/>
  <c r="F73" i="34"/>
  <c r="B1474" i="106"/>
  <c r="D1474" i="106" s="1"/>
  <c r="G12" i="4"/>
  <c r="B2607" i="106" s="1"/>
  <c r="D2607" i="106" s="1"/>
  <c r="B1279" i="106"/>
  <c r="D1279" i="106" s="1"/>
  <c r="K129" i="29"/>
  <c r="B3274" i="106"/>
  <c r="D3274" i="106" s="1"/>
  <c r="E77" i="4"/>
  <c r="B3277" i="106" s="1"/>
  <c r="D3277" i="106" s="1"/>
  <c r="B7719" i="106"/>
  <c r="D7719" i="106" s="1"/>
  <c r="K24" i="12"/>
  <c r="H13" i="188"/>
  <c r="B7041" i="106"/>
  <c r="D7041" i="106" s="1"/>
  <c r="J267" i="5"/>
  <c r="G267" i="5"/>
  <c r="B5863" i="106"/>
  <c r="D5863" i="106" s="1"/>
  <c r="F19" i="188"/>
  <c r="H15" i="188"/>
  <c r="B5588" i="106"/>
  <c r="D5588" i="106" s="1"/>
  <c r="F4" i="4"/>
  <c r="B1559" i="106"/>
  <c r="D1559" i="106" s="1"/>
  <c r="H13" i="4"/>
  <c r="B282" i="106"/>
  <c r="D282" i="106" s="1"/>
  <c r="N23" i="3"/>
  <c r="A7265" i="106"/>
  <c r="D7264" i="106"/>
  <c r="H151" i="29" l="1"/>
  <c r="B1273" i="106" s="1"/>
  <c r="D1273" i="106" s="1"/>
  <c r="G151" i="29"/>
  <c r="B1258" i="106"/>
  <c r="D1258" i="106" s="1"/>
  <c r="F41" i="108"/>
  <c r="G43" i="108" s="1"/>
  <c r="C114" i="29"/>
  <c r="B757" i="106" s="1"/>
  <c r="D757" i="106" s="1"/>
  <c r="E19" i="188"/>
  <c r="F175" i="34"/>
  <c r="B7877" i="106" s="1"/>
  <c r="D7877" i="106" s="1"/>
  <c r="F267" i="5"/>
  <c r="F268" i="5" s="1"/>
  <c r="B5720" i="106" s="1"/>
  <c r="D5720" i="106" s="1"/>
  <c r="B929" i="106"/>
  <c r="D929" i="106" s="1"/>
  <c r="F114" i="29"/>
  <c r="B931" i="106" s="1"/>
  <c r="D931" i="106" s="1"/>
  <c r="B5527" i="106"/>
  <c r="D5527" i="106" s="1"/>
  <c r="E4" i="4"/>
  <c r="B2630" i="106" s="1"/>
  <c r="D2630" i="106" s="1"/>
  <c r="B7235" i="106"/>
  <c r="D7235" i="106" s="1"/>
  <c r="J367" i="29"/>
  <c r="B7245" i="106" s="1"/>
  <c r="D7245" i="106" s="1"/>
  <c r="K208" i="29"/>
  <c r="B4157" i="106"/>
  <c r="D4157" i="106" s="1"/>
  <c r="G16" i="4"/>
  <c r="B2611" i="106" s="1"/>
  <c r="D2611" i="106" s="1"/>
  <c r="B1515" i="106"/>
  <c r="D1515" i="106" s="1"/>
  <c r="H174" i="29"/>
  <c r="B1318" i="106" s="1"/>
  <c r="D1318" i="106" s="1"/>
  <c r="B1317" i="106"/>
  <c r="D1317" i="106" s="1"/>
  <c r="D267" i="5"/>
  <c r="B5501" i="106"/>
  <c r="D5501" i="106" s="1"/>
  <c r="B5121" i="106"/>
  <c r="D5121" i="106" s="1"/>
  <c r="C4" i="4"/>
  <c r="B2551" i="106" s="1"/>
  <c r="D2551" i="106" s="1"/>
  <c r="B2093" i="106"/>
  <c r="D2093" i="106" s="1"/>
  <c r="K139" i="29"/>
  <c r="I4" i="4"/>
  <c r="I268" i="5"/>
  <c r="B5946" i="106" s="1"/>
  <c r="D5946" i="106" s="1"/>
  <c r="B6026" i="106"/>
  <c r="D6026" i="106" s="1"/>
  <c r="C367" i="29"/>
  <c r="B3622" i="106" s="1"/>
  <c r="D3622" i="106" s="1"/>
  <c r="B3621" i="106"/>
  <c r="D3621" i="106" s="1"/>
  <c r="B6397" i="106"/>
  <c r="D6397" i="106" s="1"/>
  <c r="J6" i="4"/>
  <c r="B6221" i="106" s="1"/>
  <c r="D6221" i="106" s="1"/>
  <c r="B6014" i="106"/>
  <c r="D6014" i="106" s="1"/>
  <c r="K6" i="4"/>
  <c r="B3570" i="106" s="1"/>
  <c r="D3570" i="106" s="1"/>
  <c r="B2837" i="106"/>
  <c r="D2837" i="106" s="1"/>
  <c r="K196" i="29"/>
  <c r="B1125" i="106"/>
  <c r="D1125" i="106" s="1"/>
  <c r="G24" i="108"/>
  <c r="E24" i="108"/>
  <c r="B1446" i="106"/>
  <c r="D1446" i="106" s="1"/>
  <c r="D295" i="29"/>
  <c r="B1448" i="106" s="1"/>
  <c r="D1448" i="106" s="1"/>
  <c r="B4435" i="106"/>
  <c r="D4435" i="106" s="1"/>
  <c r="I7" i="4"/>
  <c r="B4444" i="106" s="1"/>
  <c r="D4444" i="106" s="1"/>
  <c r="B3628" i="106"/>
  <c r="D3628" i="106" s="1"/>
  <c r="D367" i="29"/>
  <c r="B3629" i="106" s="1"/>
  <c r="D3629" i="106" s="1"/>
  <c r="B5906" i="106"/>
  <c r="D5906" i="106" s="1"/>
  <c r="H6" i="4"/>
  <c r="B2656" i="106" s="1"/>
  <c r="D2656" i="106" s="1"/>
  <c r="F59" i="34"/>
  <c r="B7051" i="106"/>
  <c r="D7051" i="106" s="1"/>
  <c r="K15" i="4"/>
  <c r="B3573" i="106" s="1"/>
  <c r="D3573" i="106" s="1"/>
  <c r="B3674" i="106"/>
  <c r="D3674" i="106" s="1"/>
  <c r="B6024" i="106"/>
  <c r="D6024" i="106" s="1"/>
  <c r="G4" i="4"/>
  <c r="B2603" i="106" s="1"/>
  <c r="D2603" i="106" s="1"/>
  <c r="D170" i="5"/>
  <c r="B5412" i="106"/>
  <c r="D5412" i="106" s="1"/>
  <c r="E114" i="29"/>
  <c r="B873" i="106" s="1"/>
  <c r="D873" i="106" s="1"/>
  <c r="B4442" i="106"/>
  <c r="D4442" i="106" s="1"/>
  <c r="K267" i="5"/>
  <c r="F65" i="34"/>
  <c r="B1365" i="106"/>
  <c r="D1365" i="106" s="1"/>
  <c r="B6028" i="106"/>
  <c r="D6028" i="106" s="1"/>
  <c r="K4" i="4"/>
  <c r="B3569" i="106" s="1"/>
  <c r="D3569" i="106" s="1"/>
  <c r="J16" i="4"/>
  <c r="B6226" i="106" s="1"/>
  <c r="D6226" i="106" s="1"/>
  <c r="B7215" i="106"/>
  <c r="D7215" i="106" s="1"/>
  <c r="D41" i="108"/>
  <c r="E43" i="108" s="1"/>
  <c r="K312" i="29"/>
  <c r="B1560" i="106" s="1"/>
  <c r="D1560" i="106" s="1"/>
  <c r="H15" i="4"/>
  <c r="B2660" i="106" s="1"/>
  <c r="D2660" i="106" s="1"/>
  <c r="B2102" i="106"/>
  <c r="D2102" i="106" s="1"/>
  <c r="G22" i="108"/>
  <c r="B1119" i="106"/>
  <c r="D1119" i="106" s="1"/>
  <c r="E22" i="108"/>
  <c r="B7222" i="106"/>
  <c r="D7222" i="106" s="1"/>
  <c r="F76" i="34"/>
  <c r="B7887" i="106" s="1"/>
  <c r="D7887" i="106" s="1"/>
  <c r="H210" i="29"/>
  <c r="B1376" i="106" s="1"/>
  <c r="D1376" i="106" s="1"/>
  <c r="B2830" i="106"/>
  <c r="D2830" i="106" s="1"/>
  <c r="B3586" i="106"/>
  <c r="D3586" i="106" s="1"/>
  <c r="K77" i="4"/>
  <c r="B3587" i="106" s="1"/>
  <c r="D3587" i="106" s="1"/>
  <c r="E6" i="4"/>
  <c r="B2631" i="106" s="1"/>
  <c r="D2631" i="106" s="1"/>
  <c r="B5544" i="106"/>
  <c r="D5544" i="106" s="1"/>
  <c r="B7048" i="106"/>
  <c r="D7048" i="106" s="1"/>
  <c r="K149" i="29"/>
  <c r="B3656" i="106"/>
  <c r="D3656" i="106" s="1"/>
  <c r="H367" i="29"/>
  <c r="B3660" i="106" s="1"/>
  <c r="D3660" i="106" s="1"/>
  <c r="B1241" i="106"/>
  <c r="D1241" i="106" s="1"/>
  <c r="E151" i="29"/>
  <c r="B1242" i="106" s="1"/>
  <c r="D1242" i="106" s="1"/>
  <c r="J4" i="4"/>
  <c r="B6220" i="106" s="1"/>
  <c r="D6220" i="106" s="1"/>
  <c r="B6352" i="106"/>
  <c r="D6352" i="106" s="1"/>
  <c r="J13" i="4"/>
  <c r="B7207" i="106"/>
  <c r="D7207" i="106" s="1"/>
  <c r="K342" i="29"/>
  <c r="C170" i="5"/>
  <c r="B5214" i="106"/>
  <c r="D5214" i="106" s="1"/>
  <c r="G23" i="108"/>
  <c r="I6" i="4"/>
  <c r="B5011" i="106" s="1"/>
  <c r="D5011" i="106" s="1"/>
  <c r="B4216" i="106"/>
  <c r="D4216" i="106" s="1"/>
  <c r="B7747" i="106"/>
  <c r="D7747" i="106" s="1"/>
  <c r="E267" i="5"/>
  <c r="B7071" i="106"/>
  <c r="D7071" i="106" s="1"/>
  <c r="F66" i="34"/>
  <c r="B1760" i="106"/>
  <c r="D1760" i="106" s="1"/>
  <c r="D19" i="7"/>
  <c r="B1775" i="106" s="1"/>
  <c r="D1775" i="106" s="1"/>
  <c r="B3642" i="106"/>
  <c r="D3642" i="106" s="1"/>
  <c r="F367" i="29"/>
  <c r="B3643" i="106" s="1"/>
  <c r="D3643" i="106" s="1"/>
  <c r="E21" i="108"/>
  <c r="B1115" i="106"/>
  <c r="D1115" i="106" s="1"/>
  <c r="G21" i="108"/>
  <c r="K74" i="29"/>
  <c r="K102" i="29"/>
  <c r="B2089" i="106"/>
  <c r="D2089" i="106" s="1"/>
  <c r="B6978" i="106"/>
  <c r="D6978" i="106" s="1"/>
  <c r="J114" i="29"/>
  <c r="B7021" i="106" s="1"/>
  <c r="D7021" i="106" s="1"/>
  <c r="E367" i="29"/>
  <c r="B3636" i="106" s="1"/>
  <c r="D3636" i="106" s="1"/>
  <c r="B3635" i="106"/>
  <c r="D3635" i="106" s="1"/>
  <c r="B5770" i="106"/>
  <c r="D5770" i="106" s="1"/>
  <c r="G170" i="5"/>
  <c r="G268" i="5" s="1"/>
  <c r="B1352" i="106"/>
  <c r="D1352" i="106" s="1"/>
  <c r="E210" i="29"/>
  <c r="B1353" i="106" s="1"/>
  <c r="D1353" i="106" s="1"/>
  <c r="H267" i="5"/>
  <c r="B4441" i="106"/>
  <c r="D4441" i="106" s="1"/>
  <c r="B1108" i="106"/>
  <c r="D1108" i="106" s="1"/>
  <c r="E19" i="108"/>
  <c r="C12" i="4"/>
  <c r="B2556" i="106" s="1"/>
  <c r="D2556" i="106" s="1"/>
  <c r="G19" i="108"/>
  <c r="B7234" i="106"/>
  <c r="D7234" i="106" s="1"/>
  <c r="I367" i="29"/>
  <c r="D4" i="4"/>
  <c r="B2564" i="106" s="1"/>
  <c r="D2564" i="106" s="1"/>
  <c r="B5356" i="106"/>
  <c r="D5356" i="106" s="1"/>
  <c r="K279" i="29"/>
  <c r="B1481" i="106"/>
  <c r="D1481" i="106" s="1"/>
  <c r="B5320" i="106"/>
  <c r="D5320" i="106" s="1"/>
  <c r="C267" i="5"/>
  <c r="B813" i="106"/>
  <c r="D813" i="106" s="1"/>
  <c r="D114" i="29"/>
  <c r="B815" i="106" s="1"/>
  <c r="D815" i="106" s="1"/>
  <c r="N57" i="188"/>
  <c r="N68" i="188" s="1"/>
  <c r="E68" i="188"/>
  <c r="B1381" i="106"/>
  <c r="D1381" i="106" s="1"/>
  <c r="F13" i="4"/>
  <c r="B2596" i="106" s="1"/>
  <c r="D2596" i="106" s="1"/>
  <c r="I77" i="4"/>
  <c r="B3319" i="106" s="1"/>
  <c r="D3319" i="106" s="1"/>
  <c r="B3318" i="106"/>
  <c r="D3318" i="106" s="1"/>
  <c r="J7" i="4"/>
  <c r="B7054" i="106"/>
  <c r="D7054" i="106" s="1"/>
  <c r="J268" i="5"/>
  <c r="K151" i="29"/>
  <c r="B1281" i="106"/>
  <c r="D1281" i="106" s="1"/>
  <c r="D13" i="4"/>
  <c r="B2569" i="106" s="1"/>
  <c r="D2569" i="106" s="1"/>
  <c r="H23" i="12"/>
  <c r="B7720" i="106"/>
  <c r="D7720" i="106" s="1"/>
  <c r="E16" i="4"/>
  <c r="K174" i="29"/>
  <c r="B1331" i="106"/>
  <c r="D1331" i="106" s="1"/>
  <c r="B7019" i="106"/>
  <c r="D7019" i="106" s="1"/>
  <c r="C16" i="4"/>
  <c r="B2560" i="106" s="1"/>
  <c r="D2560" i="106" s="1"/>
  <c r="B2591" i="106"/>
  <c r="D2591" i="106" s="1"/>
  <c r="H19" i="188"/>
  <c r="L20" i="188" s="1"/>
  <c r="D84" i="36" s="1"/>
  <c r="F55" i="34"/>
  <c r="B7020" i="106"/>
  <c r="D7020" i="106" s="1"/>
  <c r="B2659" i="106"/>
  <c r="D2659" i="106" s="1"/>
  <c r="G7" i="4"/>
  <c r="B2605" i="106" s="1"/>
  <c r="D2605" i="106" s="1"/>
  <c r="B5869" i="106"/>
  <c r="D5869" i="106" s="1"/>
  <c r="K26" i="12"/>
  <c r="B7743" i="106" s="1"/>
  <c r="D7743" i="106" s="1"/>
  <c r="B7733" i="106"/>
  <c r="D7733" i="106" s="1"/>
  <c r="F54" i="34"/>
  <c r="B989" i="106"/>
  <c r="D989" i="106" s="1"/>
  <c r="K367" i="29"/>
  <c r="B3672" i="106"/>
  <c r="D3672" i="106" s="1"/>
  <c r="K13" i="4"/>
  <c r="K16" i="4"/>
  <c r="B3574" i="106" s="1"/>
  <c r="D3574" i="106" s="1"/>
  <c r="B7243" i="106"/>
  <c r="D7243" i="106" s="1"/>
  <c r="B284" i="106"/>
  <c r="D284" i="106" s="1"/>
  <c r="D55" i="36"/>
  <c r="A7266" i="106"/>
  <c r="D7265" i="106"/>
  <c r="H17" i="4" l="1"/>
  <c r="B1259" i="106"/>
  <c r="D1259" i="106" s="1"/>
  <c r="F58" i="34"/>
  <c r="G41" i="108"/>
  <c r="G44" i="108" s="1"/>
  <c r="G45" i="108" s="1"/>
  <c r="E41" i="108"/>
  <c r="E44" i="108" s="1"/>
  <c r="E45" i="108" s="1"/>
  <c r="B5719" i="106"/>
  <c r="D5719" i="106" s="1"/>
  <c r="F7" i="4"/>
  <c r="B2594" i="106" s="1"/>
  <c r="D2594" i="106" s="1"/>
  <c r="F8" i="4"/>
  <c r="D8" i="146" s="1"/>
  <c r="B5870" i="106"/>
  <c r="D5870" i="106" s="1"/>
  <c r="H7" i="4"/>
  <c r="H268" i="5"/>
  <c r="B5914" i="106"/>
  <c r="D5914" i="106" s="1"/>
  <c r="B7042" i="106"/>
  <c r="D7042" i="106" s="1"/>
  <c r="J17" i="4"/>
  <c r="K7" i="4"/>
  <c r="K268" i="5"/>
  <c r="B6023" i="106" s="1"/>
  <c r="D6023" i="106" s="1"/>
  <c r="B6022" i="106"/>
  <c r="D6022" i="106" s="1"/>
  <c r="B5421" i="106"/>
  <c r="D5421" i="106" s="1"/>
  <c r="D268" i="5"/>
  <c r="B5508" i="106" s="1"/>
  <c r="D5508" i="106" s="1"/>
  <c r="D6" i="4"/>
  <c r="B3225" i="106"/>
  <c r="D3225" i="106" s="1"/>
  <c r="I8" i="4"/>
  <c r="F16" i="4"/>
  <c r="B2599" i="106" s="1"/>
  <c r="D2599" i="106" s="1"/>
  <c r="B1387" i="106"/>
  <c r="D1387" i="106" s="1"/>
  <c r="B7244" i="106"/>
  <c r="D7244" i="106" s="1"/>
  <c r="F17" i="11"/>
  <c r="E268" i="5"/>
  <c r="E7" i="4"/>
  <c r="B4434" i="106"/>
  <c r="D4434" i="106" s="1"/>
  <c r="C6" i="4"/>
  <c r="C268" i="5"/>
  <c r="B5223" i="106"/>
  <c r="D5223" i="106" s="1"/>
  <c r="B1282" i="106"/>
  <c r="D1282" i="106" s="1"/>
  <c r="D15" i="4"/>
  <c r="F57" i="34"/>
  <c r="B1510" i="106"/>
  <c r="D1510" i="106" s="1"/>
  <c r="G13" i="4"/>
  <c r="K295" i="29"/>
  <c r="F53" i="34"/>
  <c r="C15" i="4"/>
  <c r="B2559" i="106" s="1"/>
  <c r="D2559" i="106" s="1"/>
  <c r="B1145" i="106"/>
  <c r="D1145" i="106" s="1"/>
  <c r="F13" i="34"/>
  <c r="B7224" i="106"/>
  <c r="D7224" i="106" s="1"/>
  <c r="F63" i="34"/>
  <c r="K210" i="29"/>
  <c r="F15" i="4"/>
  <c r="B1382" i="106"/>
  <c r="D1382" i="106" s="1"/>
  <c r="B5507" i="106"/>
  <c r="D5507" i="106" s="1"/>
  <c r="D7" i="4"/>
  <c r="B2567" i="106" s="1"/>
  <c r="D2567" i="106" s="1"/>
  <c r="C7" i="4"/>
  <c r="B5326" i="106"/>
  <c r="D5326" i="106" s="1"/>
  <c r="G6" i="4"/>
  <c r="B2604" i="106" s="1"/>
  <c r="D2604" i="106" s="1"/>
  <c r="B5778" i="106"/>
  <c r="D5778" i="106" s="1"/>
  <c r="B1143" i="106"/>
  <c r="D1143" i="106" s="1"/>
  <c r="C13" i="4"/>
  <c r="B2557" i="106" s="1"/>
  <c r="D2557" i="106" s="1"/>
  <c r="K114" i="29"/>
  <c r="B1287" i="106"/>
  <c r="D1287" i="106" s="1"/>
  <c r="D16" i="4"/>
  <c r="B2572" i="106" s="1"/>
  <c r="D2572" i="106" s="1"/>
  <c r="B1288" i="106"/>
  <c r="D1288" i="106" s="1"/>
  <c r="F9" i="34"/>
  <c r="B3678" i="106"/>
  <c r="D3678" i="106" s="1"/>
  <c r="B7055" i="106"/>
  <c r="D7055" i="106" s="1"/>
  <c r="K343" i="29"/>
  <c r="B7225" i="106" s="1"/>
  <c r="D7225" i="106" s="1"/>
  <c r="H19" i="4"/>
  <c r="B4141" i="106" s="1"/>
  <c r="D4141" i="106" s="1"/>
  <c r="B2661" i="106"/>
  <c r="D2661" i="106" s="1"/>
  <c r="B2595" i="106"/>
  <c r="D2595" i="106" s="1"/>
  <c r="H24" i="12"/>
  <c r="B1982" i="106"/>
  <c r="D1982" i="106" s="1"/>
  <c r="B1332" i="106"/>
  <c r="D1332" i="106" s="1"/>
  <c r="F10" i="34"/>
  <c r="B3572" i="106"/>
  <c r="D3572" i="106" s="1"/>
  <c r="K17" i="4"/>
  <c r="B2634" i="106"/>
  <c r="D2634" i="106" s="1"/>
  <c r="E17" i="4"/>
  <c r="B6222" i="106"/>
  <c r="D6222" i="106" s="1"/>
  <c r="J8" i="4"/>
  <c r="A7267" i="106"/>
  <c r="D7266" i="106"/>
  <c r="C17" i="4" l="1"/>
  <c r="B9" i="146" s="1"/>
  <c r="F10" i="4"/>
  <c r="B4125" i="106" s="1"/>
  <c r="D4125" i="106" s="1"/>
  <c r="G8" i="4"/>
  <c r="G10" i="4" s="1"/>
  <c r="B4126" i="106" s="1"/>
  <c r="D4126" i="106" s="1"/>
  <c r="K368" i="29"/>
  <c r="B3681" i="106" s="1"/>
  <c r="D3681" i="106" s="1"/>
  <c r="K152" i="29"/>
  <c r="B1289" i="106" s="1"/>
  <c r="D1289" i="106" s="1"/>
  <c r="F77" i="34"/>
  <c r="B7834" i="106" s="1"/>
  <c r="D7834" i="106" s="1"/>
  <c r="B5327" i="106"/>
  <c r="D5327" i="106" s="1"/>
  <c r="K115" i="29"/>
  <c r="B1153" i="106" s="1"/>
  <c r="D1153" i="106" s="1"/>
  <c r="B5552" i="106"/>
  <c r="D5552" i="106" s="1"/>
  <c r="K175" i="29"/>
  <c r="B1333" i="106" s="1"/>
  <c r="D1333" i="106" s="1"/>
  <c r="B3718" i="106"/>
  <c r="D3718" i="106" s="1"/>
  <c r="K8" i="4"/>
  <c r="K20" i="4" s="1"/>
  <c r="K313" i="29"/>
  <c r="B1561" i="106" s="1"/>
  <c r="D1561" i="106" s="1"/>
  <c r="B5915" i="106"/>
  <c r="D5915" i="106" s="1"/>
  <c r="B2554" i="106"/>
  <c r="D2554" i="106" s="1"/>
  <c r="D10" i="171"/>
  <c r="D19" i="171" s="1"/>
  <c r="D32" i="171" s="1"/>
  <c r="D49" i="171" s="1"/>
  <c r="B2598" i="106"/>
  <c r="D2598" i="106" s="1"/>
  <c r="F17" i="4"/>
  <c r="F12" i="34"/>
  <c r="B1517" i="106"/>
  <c r="D1517" i="106" s="1"/>
  <c r="B2571" i="106"/>
  <c r="D2571" i="106" s="1"/>
  <c r="D17" i="4"/>
  <c r="B2553" i="106"/>
  <c r="D2553" i="106" s="1"/>
  <c r="C8" i="4"/>
  <c r="B7624" i="106"/>
  <c r="I17" i="11"/>
  <c r="I20" i="4"/>
  <c r="B3226" i="106"/>
  <c r="D3226" i="106" s="1"/>
  <c r="I10" i="4"/>
  <c r="B4128" i="106" s="1"/>
  <c r="D4128" i="106" s="1"/>
  <c r="E8" i="146"/>
  <c r="E10" i="146" s="1"/>
  <c r="B6227" i="106"/>
  <c r="D6227" i="106" s="1"/>
  <c r="J19" i="4"/>
  <c r="B6229" i="106" s="1"/>
  <c r="D6229" i="106" s="1"/>
  <c r="H8" i="4"/>
  <c r="B2657" i="106"/>
  <c r="D2657" i="106" s="1"/>
  <c r="K211" i="29"/>
  <c r="B1389" i="106" s="1"/>
  <c r="D1389" i="106" s="1"/>
  <c r="F11" i="34"/>
  <c r="B1388" i="106"/>
  <c r="D1388" i="106" s="1"/>
  <c r="G17" i="4"/>
  <c r="B2608" i="106"/>
  <c r="D2608" i="106" s="1"/>
  <c r="B1152" i="106"/>
  <c r="D1152" i="106" s="1"/>
  <c r="F8" i="34"/>
  <c r="B4443" i="106"/>
  <c r="D4443" i="106" s="1"/>
  <c r="E8" i="4"/>
  <c r="E20" i="4" s="1"/>
  <c r="D8" i="4"/>
  <c r="B2566" i="106"/>
  <c r="D2566" i="106" s="1"/>
  <c r="K296" i="29"/>
  <c r="B1518" i="106" s="1"/>
  <c r="D1518" i="106" s="1"/>
  <c r="J20" i="4"/>
  <c r="J10" i="4"/>
  <c r="B6225" i="106" s="1"/>
  <c r="D6225" i="106" s="1"/>
  <c r="B6223" i="106"/>
  <c r="D6223" i="106" s="1"/>
  <c r="B1983" i="106"/>
  <c r="D1983" i="106" s="1"/>
  <c r="H26" i="12"/>
  <c r="B7740" i="106" s="1"/>
  <c r="D7740" i="106" s="1"/>
  <c r="K19" i="4"/>
  <c r="B4144" i="106" s="1"/>
  <c r="D4144" i="106" s="1"/>
  <c r="B3575" i="106"/>
  <c r="D3575" i="106" s="1"/>
  <c r="B2635" i="106"/>
  <c r="D2635" i="106" s="1"/>
  <c r="E19" i="4"/>
  <c r="B4138" i="106" s="1"/>
  <c r="D4138" i="106" s="1"/>
  <c r="A7268" i="106"/>
  <c r="D7267" i="106"/>
  <c r="C20" i="4" l="1"/>
  <c r="B2562" i="106" s="1"/>
  <c r="D2562" i="106" s="1"/>
  <c r="B2561" i="106"/>
  <c r="D2561" i="106" s="1"/>
  <c r="F16" i="37"/>
  <c r="F14" i="34"/>
  <c r="B7822" i="106" s="1"/>
  <c r="C19" i="4"/>
  <c r="B4136" i="106" s="1"/>
  <c r="D4136" i="106" s="1"/>
  <c r="B2606" i="106"/>
  <c r="D2606" i="106" s="1"/>
  <c r="C78" i="4"/>
  <c r="C81" i="4" s="1"/>
  <c r="D20" i="4"/>
  <c r="B2568" i="106"/>
  <c r="D2568" i="106" s="1"/>
  <c r="D10" i="4"/>
  <c r="B4123" i="106" s="1"/>
  <c r="D4123" i="106" s="1"/>
  <c r="C8" i="146"/>
  <c r="H20" i="4"/>
  <c r="H10" i="4"/>
  <c r="B4127" i="106" s="1"/>
  <c r="D4127" i="106" s="1"/>
  <c r="B2658" i="106"/>
  <c r="D2658" i="106" s="1"/>
  <c r="E10" i="4"/>
  <c r="B4124" i="106" s="1"/>
  <c r="D4124" i="106" s="1"/>
  <c r="B2632" i="106"/>
  <c r="D2632" i="106" s="1"/>
  <c r="H13" i="118"/>
  <c r="B8" i="146"/>
  <c r="H18" i="118"/>
  <c r="B2555" i="106"/>
  <c r="D2555" i="106" s="1"/>
  <c r="C10" i="4"/>
  <c r="B4122" i="106" s="1"/>
  <c r="D4122" i="106" s="1"/>
  <c r="D16" i="37"/>
  <c r="H16" i="37" s="1"/>
  <c r="B3571" i="106"/>
  <c r="D3571" i="106" s="1"/>
  <c r="K10" i="4"/>
  <c r="B4130" i="106" s="1"/>
  <c r="D4130" i="106" s="1"/>
  <c r="B3227" i="106"/>
  <c r="D3227" i="106" s="1"/>
  <c r="I78" i="4"/>
  <c r="G20" i="4"/>
  <c r="B2612" i="106"/>
  <c r="D2612" i="106" s="1"/>
  <c r="G19" i="4"/>
  <c r="B4140" i="106" s="1"/>
  <c r="D4140" i="106" s="1"/>
  <c r="B7625" i="106"/>
  <c r="I18" i="11"/>
  <c r="B2573" i="106"/>
  <c r="D2573" i="106" s="1"/>
  <c r="D19" i="4"/>
  <c r="B4137" i="106" s="1"/>
  <c r="D4137" i="106" s="1"/>
  <c r="H17" i="118"/>
  <c r="C9" i="146"/>
  <c r="D9" i="146"/>
  <c r="D10" i="146" s="1"/>
  <c r="F19" i="4"/>
  <c r="B4139" i="106" s="1"/>
  <c r="D4139" i="106" s="1"/>
  <c r="F20" i="4"/>
  <c r="B2600" i="106"/>
  <c r="D2600" i="106" s="1"/>
  <c r="E78" i="4"/>
  <c r="B2636" i="106"/>
  <c r="D2636" i="106" s="1"/>
  <c r="B3576" i="106"/>
  <c r="D3576" i="106" s="1"/>
  <c r="K78" i="4"/>
  <c r="J78" i="4"/>
  <c r="B6230" i="106"/>
  <c r="D6230" i="106" s="1"/>
  <c r="A7269" i="106"/>
  <c r="D7268" i="106"/>
  <c r="F78" i="34" l="1"/>
  <c r="F176" i="34" s="1"/>
  <c r="F178" i="34" s="1"/>
  <c r="B3233" i="106"/>
  <c r="D3233" i="106" s="1"/>
  <c r="F78" i="4"/>
  <c r="B2601" i="106"/>
  <c r="D2601" i="106" s="1"/>
  <c r="K17" i="118"/>
  <c r="H25" i="118"/>
  <c r="K24" i="118" s="1"/>
  <c r="O23" i="118" s="1"/>
  <c r="O25" i="118" s="1"/>
  <c r="I81" i="4"/>
  <c r="B3320" i="106"/>
  <c r="D3320" i="106" s="1"/>
  <c r="F8" i="146"/>
  <c r="B10" i="146"/>
  <c r="B2662" i="106"/>
  <c r="D2662" i="106" s="1"/>
  <c r="H78" i="4"/>
  <c r="B2574" i="106"/>
  <c r="D2574" i="106" s="1"/>
  <c r="D78" i="4"/>
  <c r="F9" i="146"/>
  <c r="F177" i="34"/>
  <c r="B7631" i="106"/>
  <c r="B2613" i="106"/>
  <c r="D2613" i="106" s="1"/>
  <c r="G78" i="4"/>
  <c r="C10" i="146"/>
  <c r="K81" i="4"/>
  <c r="B3588" i="106"/>
  <c r="D3588" i="106" s="1"/>
  <c r="B7878" i="106"/>
  <c r="D7878" i="106" s="1"/>
  <c r="B6263" i="106"/>
  <c r="D6263" i="106" s="1"/>
  <c r="J81" i="4"/>
  <c r="E81" i="4"/>
  <c r="B3278" i="106"/>
  <c r="D3278" i="106" s="1"/>
  <c r="B1630" i="106"/>
  <c r="D1630" i="106" s="1"/>
  <c r="C82" i="4"/>
  <c r="B11" i="146"/>
  <c r="A7270" i="106"/>
  <c r="D7269" i="106"/>
  <c r="F80" i="34" l="1"/>
  <c r="B7837" i="106" s="1"/>
  <c r="D7837" i="106" s="1"/>
  <c r="B7835" i="106"/>
  <c r="D7835" i="106" s="1"/>
  <c r="F10" i="146"/>
  <c r="B3239" i="106"/>
  <c r="D3239" i="106" s="1"/>
  <c r="D81" i="4"/>
  <c r="J20" i="118"/>
  <c r="O16" i="118"/>
  <c r="K20" i="118"/>
  <c r="H81" i="4"/>
  <c r="B3300" i="106"/>
  <c r="D3300" i="106" s="1"/>
  <c r="B3262" i="106"/>
  <c r="D3262" i="106" s="1"/>
  <c r="G81" i="4"/>
  <c r="B3323" i="106"/>
  <c r="D3323" i="106" s="1"/>
  <c r="I82" i="4"/>
  <c r="E11" i="146"/>
  <c r="B3256" i="106"/>
  <c r="D3256" i="106" s="1"/>
  <c r="F81" i="4"/>
  <c r="K82" i="4"/>
  <c r="B3591" i="106"/>
  <c r="D3591" i="106" s="1"/>
  <c r="F180" i="34"/>
  <c r="B7880" i="106" s="1"/>
  <c r="D7880" i="106" s="1"/>
  <c r="B7879" i="106"/>
  <c r="D7879" i="106" s="1"/>
  <c r="B1658" i="106"/>
  <c r="D1658" i="106" s="1"/>
  <c r="E82" i="4"/>
  <c r="J82" i="4"/>
  <c r="B6266" i="106"/>
  <c r="D6266" i="106" s="1"/>
  <c r="B92" i="106"/>
  <c r="D92" i="106" s="1"/>
  <c r="C41" i="3"/>
  <c r="D57" i="36"/>
  <c r="C83" i="4"/>
  <c r="B6276" i="106" s="1"/>
  <c r="D6276" i="106" s="1"/>
  <c r="B6267" i="106"/>
  <c r="D6267" i="106" s="1"/>
  <c r="A7271" i="106"/>
  <c r="D7270" i="106"/>
  <c r="I41" i="3" l="1"/>
  <c r="D63" i="36"/>
  <c r="B2912" i="106"/>
  <c r="D2912" i="106" s="1"/>
  <c r="O17" i="118"/>
  <c r="O20" i="118" s="1"/>
  <c r="F82" i="4"/>
  <c r="B1672" i="106"/>
  <c r="D1672" i="106" s="1"/>
  <c r="D11" i="146"/>
  <c r="I83" i="4"/>
  <c r="B6282" i="106" s="1"/>
  <c r="D6282" i="106" s="1"/>
  <c r="B6273" i="106"/>
  <c r="D6273" i="106" s="1"/>
  <c r="H82" i="4"/>
  <c r="B1700" i="106"/>
  <c r="D1700" i="106" s="1"/>
  <c r="H12" i="118"/>
  <c r="K12" i="118" s="1"/>
  <c r="O11" i="118" s="1"/>
  <c r="O13" i="118" s="1"/>
  <c r="D82" i="4"/>
  <c r="C11" i="146"/>
  <c r="J16" i="37"/>
  <c r="B4269" i="106" s="1"/>
  <c r="D4269" i="106" s="1"/>
  <c r="B1644" i="106"/>
  <c r="D1644" i="106" s="1"/>
  <c r="G82" i="4"/>
  <c r="B1686" i="106"/>
  <c r="D1686" i="106" s="1"/>
  <c r="B6269" i="106"/>
  <c r="D6269" i="106" s="1"/>
  <c r="E83" i="4"/>
  <c r="B6278" i="106" s="1"/>
  <c r="D6278" i="106" s="1"/>
  <c r="J41" i="3"/>
  <c r="B6215" i="106"/>
  <c r="D6215" i="106" s="1"/>
  <c r="D64" i="36"/>
  <c r="E41" i="3"/>
  <c r="D59" i="36"/>
  <c r="B140" i="106"/>
  <c r="D140" i="106" s="1"/>
  <c r="B6275" i="106"/>
  <c r="D6275" i="106" s="1"/>
  <c r="K83" i="4"/>
  <c r="B6284" i="106" s="1"/>
  <c r="D6284" i="106" s="1"/>
  <c r="B6274" i="106"/>
  <c r="D6274" i="106" s="1"/>
  <c r="J83" i="4"/>
  <c r="B6283" i="106" s="1"/>
  <c r="D6283" i="106" s="1"/>
  <c r="B3567" i="106"/>
  <c r="D3567" i="106" s="1"/>
  <c r="D65" i="36"/>
  <c r="K41" i="3"/>
  <c r="D44" i="36"/>
  <c r="B93" i="106"/>
  <c r="D93" i="106" s="1"/>
  <c r="A7272" i="106"/>
  <c r="D7271" i="106"/>
  <c r="O35" i="118" l="1"/>
  <c r="O37" i="118" s="1"/>
  <c r="F11" i="146"/>
  <c r="B189" i="106"/>
  <c r="D189" i="106" s="1"/>
  <c r="D61" i="36"/>
  <c r="G41" i="3"/>
  <c r="D62" i="36"/>
  <c r="B212" i="106"/>
  <c r="D212" i="106" s="1"/>
  <c r="H41" i="3"/>
  <c r="B6268" i="106"/>
  <c r="D6268" i="106" s="1"/>
  <c r="D83" i="4"/>
  <c r="B6277" i="106" s="1"/>
  <c r="D6277" i="106" s="1"/>
  <c r="H83" i="4"/>
  <c r="B6281" i="106" s="1"/>
  <c r="D6281" i="106" s="1"/>
  <c r="B6272" i="106"/>
  <c r="D6272" i="106" s="1"/>
  <c r="D58" i="36"/>
  <c r="B123" i="106"/>
  <c r="D123" i="106" s="1"/>
  <c r="D41" i="3"/>
  <c r="D76" i="36"/>
  <c r="B6270" i="106"/>
  <c r="D6270" i="106" s="1"/>
  <c r="F83" i="4"/>
  <c r="B6279" i="106" s="1"/>
  <c r="D6279" i="106" s="1"/>
  <c r="G83" i="4"/>
  <c r="B6280" i="106" s="1"/>
  <c r="D6280" i="106" s="1"/>
  <c r="B6271" i="106"/>
  <c r="D6271" i="106" s="1"/>
  <c r="D60" i="36"/>
  <c r="F41" i="3"/>
  <c r="B170" i="106"/>
  <c r="D170" i="106" s="1"/>
  <c r="B2913" i="106"/>
  <c r="D2913" i="106" s="1"/>
  <c r="D50" i="36"/>
  <c r="B3568" i="106"/>
  <c r="D3568" i="106" s="1"/>
  <c r="D52" i="36"/>
  <c r="D51" i="36"/>
  <c r="B6216" i="106"/>
  <c r="D6216" i="106" s="1"/>
  <c r="D46" i="36"/>
  <c r="B141" i="106"/>
  <c r="D141" i="106" s="1"/>
  <c r="A7273" i="106"/>
  <c r="D7272" i="106"/>
  <c r="D29" i="36" l="1"/>
  <c r="J24" i="24" s="1"/>
  <c r="C12" i="146"/>
  <c r="D47" i="36"/>
  <c r="B171" i="106"/>
  <c r="D171" i="106" s="1"/>
  <c r="D48" i="36"/>
  <c r="B190" i="106"/>
  <c r="D190" i="106" s="1"/>
  <c r="D49" i="36"/>
  <c r="B213" i="106"/>
  <c r="D213" i="106" s="1"/>
  <c r="D45" i="36"/>
  <c r="B124" i="106"/>
  <c r="D124" i="106" s="1"/>
  <c r="A7274" i="106"/>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<sst xmlns="http://schemas.openxmlformats.org/spreadsheetml/2006/main" count="5465" uniqueCount="2216">
  <si>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</si>
  <si>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</si>
  <si>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</si>
  <si>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</si>
  <si>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</si>
  <si>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</si>
  <si>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</si>
  <si>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</si>
  <si>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</si>
  <si>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</si>
  <si>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</si>
  <si>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</si>
  <si>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</si>
  <si>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</si>
  <si>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</si>
  <si>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</si>
  <si>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</si>
  <si>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</si>
  <si>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</si>
  <si>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</si>
  <si>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</si>
  <si>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</si>
  <si>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</si>
  <si>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</si>
  <si>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</si>
  <si>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</si>
  <si>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</si>
  <si>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</si>
  <si>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</si>
  <si>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</si>
  <si>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</si>
  <si>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</si>
  <si>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</si>
  <si>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</si>
  <si>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</si>
  <si>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</si>
  <si>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</si>
  <si>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</si>
  <si>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</si>
  <si>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</si>
  <si>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</si>
  <si>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</si>
  <si>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</si>
  <si>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</si>
  <si>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</si>
  <si>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</si>
  <si>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</si>
  <si>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</si>
  <si>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</si>
  <si>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</si>
  <si>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</si>
  <si>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</si>
  <si>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</si>
  <si>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</si>
  <si>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</si>
  <si>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</si>
  <si>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</si>
  <si>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</si>
  <si>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</si>
  <si>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</si>
  <si>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</si>
  <si>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</si>
  <si>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</si>
  <si>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</si>
  <si>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</si>
  <si>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</si>
  <si>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</si>
  <si>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</si>
  <si>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</si>
  <si>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</si>
  <si>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</si>
  <si>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</si>
  <si>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</si>
  <si>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</si>
  <si>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</si>
  <si>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</si>
  <si>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</si>
  <si>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</si>
  <si>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</si>
  <si>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</si>
  <si>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</si>
  <si>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</si>
  <si>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</si>
  <si>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</si>
  <si>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</si>
  <si>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</si>
  <si>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</si>
  <si>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</si>
  <si>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</si>
  <si>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</si>
  <si>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</si>
  <si>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</si>
  <si>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</si>
  <si>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</si>
  <si>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</si>
  <si>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</si>
  <si>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</si>
  <si>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</si>
  <si>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</si>
  <si>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</si>
  <si>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</si>
  <si>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</si>
  <si>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</si>
  <si>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</si>
  <si>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</si>
  <si>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</si>
  <si>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</si>
  <si>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</si>
  <si>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</si>
  <si>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</si>
  <si>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</si>
  <si>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</si>
  <si>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</si>
  <si>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</si>
  <si>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</si>
  <si>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</si>
  <si>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</si>
  <si>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</si>
  <si>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</si>
  <si>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</si>
  <si>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</si>
  <si>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</si>
  <si>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</si>
  <si>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</si>
  <si>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</si>
  <si>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</si>
  <si>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</si>
  <si>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</si>
  <si>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</si>
  <si>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</si>
  <si>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</si>
  <si>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</si>
  <si>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</si>
  <si>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</si>
  <si>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</si>
  <si>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</si>
  <si>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</si>
  <si>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</si>
  <si>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</si>
  <si>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</si>
  <si>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</si>
  <si>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</si>
  <si>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</si>
  <si>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</si>
  <si>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</si>
  <si>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</si>
  <si>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</si>
  <si>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</si>
  <si>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</si>
  <si>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</si>
  <si>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</si>
  <si>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</si>
  <si>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</si>
  <si>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</si>
  <si>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</si>
  <si>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</si>
  <si>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</si>
  <si>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</si>
  <si>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</si>
  <si>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</si>
  <si>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</si>
  <si>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</si>
  <si>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</si>
  <si>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</si>
  <si>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</si>
  <si>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</si>
  <si>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</si>
  <si>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</si>
  <si>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</si>
  <si>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</si>
  <si>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</si>
  <si>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</si>
  <si>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</si>
  <si>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</si>
  <si>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</si>
  <si>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</si>
  <si>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</si>
  <si>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</si>
  <si>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</si>
  <si>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</si>
  <si>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</si>
  <si>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</si>
  <si>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</si>
  <si>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</si>
  <si>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</si>
  <si>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</si>
  <si>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</si>
  <si>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</si>
  <si>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</si>
  <si>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</si>
  <si>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</si>
  <si>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</si>
  <si>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</si>
  <si>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</si>
  <si>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</si>
  <si>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</si>
  <si>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</si>
  <si>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</si>
  <si>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</si>
  <si>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</si>
  <si>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</si>
  <si>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</si>
  <si>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</si>
  <si>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</si>
  <si>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</si>
  <si>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</si>
  <si>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</si>
  <si>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</si>
  <si>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</si>
  <si>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</si>
  <si>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</si>
  <si>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</si>
  <si>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</si>
  <si>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</si>
  <si>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</si>
  <si>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</si>
  <si>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</si>
  <si>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</si>
  <si>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</si>
  <si>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</si>
  <si>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</si>
  <si>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</si>
  <si>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</si>
  <si>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</si>
  <si>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</si>
  <si>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</si>
  <si>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</si>
  <si>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</si>
  <si>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</si>
  <si>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</si>
  <si>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</si>
  <si>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</si>
  <si>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</si>
  <si>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</si>
  <si>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</si>
  <si>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</si>
  <si>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</si>
  <si>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</si>
  <si>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</si>
  <si>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</si>
  <si>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</si>
  <si>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</si>
  <si>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</si>
  <si>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</si>
  <si>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</si>
  <si>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</si>
  <si>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</si>
  <si>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</si>
  <si>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</si>
  <si>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</si>
  <si>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</si>
  <si>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</si>
  <si>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</si>
  <si>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</si>
  <si>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</si>
  <si>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</si>
  <si>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</si>
  <si>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</si>
  <si>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</si>
  <si>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</si>
  <si>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</si>
  <si>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</si>
  <si>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</si>
  <si>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</si>
  <si>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</si>
  <si>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</si>
  <si>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</si>
  <si>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</si>
  <si>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</si>
  <si>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</si>
  <si>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</si>
  <si>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</si>
  <si>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</si>
  <si>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</si>
  <si>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</si>
  <si>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</si>
  <si>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</si>
  <si>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</si>
  <si>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</si>
  <si>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</si>
  <si>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</si>
  <si>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</si>
  <si>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</si>
  <si>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</si>
  <si>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</si>
  <si>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</si>
  <si>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</si>
  <si>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</si>
  <si>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</si>
  <si>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</si>
  <si>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</si>
  <si>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</si>
  <si>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</si>
  <si>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</si>
  <si>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</si>
  <si>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</si>
  <si>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</si>
  <si>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</si>
  <si>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</si>
  <si>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</si>
  <si>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</si>
  <si>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</si>
  <si>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</si>
  <si>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</si>
  <si>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</si>
  <si>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</si>
  <si>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</si>
  <si>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</si>
  <si>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</si>
  <si>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</si>
  <si>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</si>
  <si>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</si>
  <si>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</si>
  <si>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</si>
  <si>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</si>
  <si>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</si>
  <si>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</si>
  <si>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</si>
  <si>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</si>
  <si>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</si>
  <si>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</si>
  <si>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</si>
  <si>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</si>
  <si>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</si>
  <si>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</si>
  <si>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</si>
  <si>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</si>
  <si>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</si>
  <si>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</si>
  <si>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</si>
  <si>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</si>
  <si>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</si>
  <si>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</si>
  <si>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</si>
  <si>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</si>
  <si>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</si>
  <si>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</si>
  <si>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</si>
  <si>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</si>
  <si>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</si>
  <si>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</si>
  <si>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</si>
  <si>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</si>
  <si>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</si>
  <si>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</si>
  <si>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</si>
  <si>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</si>
  <si>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</si>
  <si>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</si>
  <si>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</si>
  <si>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</si>
  <si>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</si>
  <si>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</si>
  <si>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</si>
  <si>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</si>
  <si>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</si>
  <si>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</si>
  <si>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</si>
  <si>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</si>
  <si>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</si>
  <si>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</si>
  <si>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</si>
  <si>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</si>
  <si>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</si>
  <si>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</si>
  <si>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</si>
  <si>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</si>
  <si>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</si>
  <si>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</si>
  <si>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</si>
  <si>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</si>
  <si>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</si>
  <si>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</si>
  <si>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</si>
  <si>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</si>
  <si>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</si>
  <si>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</si>
  <si>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</si>
  <si>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</si>
  <si>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</si>
  <si>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</si>
  <si>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</si>
  <si>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</si>
  <si>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</si>
  <si>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</si>
  <si>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</si>
  <si>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</si>
  <si>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</si>
  <si>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</si>
  <si>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</si>
  <si>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</si>
  <si>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</si>
  <si>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</si>
  <si>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</si>
  <si>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</si>
  <si>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</si>
  <si>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</si>
  <si>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</si>
  <si>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</si>
  <si>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</si>
  <si>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</si>
  <si>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</si>
  <si>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</si>
  <si>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</si>
  <si>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</si>
  <si>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</si>
  <si>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</si>
  <si>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</si>
  <si>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</si>
  <si>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</si>
  <si>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</si>
  <si>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</si>
  <si>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</si>
  <si>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</si>
  <si>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</si>
  <si>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</si>
  <si>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</si>
  <si>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</si>
  <si>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</si>
  <si>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</si>
  <si>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</si>
  <si>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</si>
  <si>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</si>
  <si>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</si>
  <si>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</si>
  <si>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</si>
  <si>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</si>
  <si>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</si>
  <si>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</si>
  <si>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</si>
  <si>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</si>
  <si>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</si>
  <si>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</si>
  <si>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</si>
  <si>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</si>
  <si>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</si>
  <si>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</si>
  <si>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</si>
  <si>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</si>
  <si>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</si>
  <si>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</si>
  <si>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</si>
  <si>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</si>
  <si>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</si>
  <si>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</si>
  <si>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</si>
  <si>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</si>
  <si>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</si>
  <si>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</si>
  <si>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</si>
  <si>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</si>
  <si>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</si>
  <si>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</si>
  <si>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</si>
  <si>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</si>
  <si>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</si>
  <si>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</si>
  <si>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</si>
  <si>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</si>
  <si>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</si>
  <si>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</si>
  <si>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</si>
  <si>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</si>
  <si>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</si>
  <si>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</si>
  <si>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</si>
  <si>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</si>
  <si>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</si>
  <si>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</si>
  <si>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</si>
  <si>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</si>
  <si>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</si>
  <si>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</si>
  <si>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</si>
  <si>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</si>
  <si>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</si>
  <si>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</si>
  <si>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</si>
  <si>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</si>
  <si>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</si>
  <si>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</si>
  <si>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</si>
  <si>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</si>
  <si>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</si>
  <si>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</si>
  <si>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</si>
  <si>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</si>
  <si>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</si>
  <si>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</si>
  <si>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</si>
  <si>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</si>
  <si>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</si>
  <si>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</si>
  <si>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</si>
  <si>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</si>
  <si>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</si>
  <si>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</si>
  <si>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</si>
  <si>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</si>
  <si>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</si>
  <si>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</si>
  <si>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</si>
  <si>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</si>
  <si>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</si>
  <si>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</si>
  <si>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</si>
  <si>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</si>
  <si>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</si>
  <si>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</si>
  <si>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</si>
  <si>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</si>
  <si>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</si>
  <si>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</si>
  <si>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</si>
  <si>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</si>
  <si>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</si>
  <si>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</si>
  <si>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</si>
  <si>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</si>
  <si>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</si>
  <si>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</si>
  <si>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</si>
  <si>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</si>
  <si>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</si>
  <si>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</si>
  <si>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</si>
  <si>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</si>
  <si>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</si>
  <si>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</si>
  <si>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</si>
  <si>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</si>
  <si>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</si>
  <si>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</si>
  <si>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</si>
  <si>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</si>
  <si>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</si>
  <si>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</si>
  <si>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</si>
  <si>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</si>
  <si>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</si>
  <si>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</si>
  <si>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</si>
  <si>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</si>
  <si>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</si>
  <si>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</si>
  <si>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</si>
  <si>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</si>
  <si>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</si>
  <si>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</si>
  <si>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</si>
  <si>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</si>
  <si>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</si>
  <si>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</si>
  <si>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</si>
  <si>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</si>
  <si>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</si>
  <si>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</si>
  <si>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</si>
  <si>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</si>
  <si>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</si>
  <si>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</si>
  <si>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</si>
  <si>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</si>
  <si>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</si>
  <si>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</si>
  <si>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</si>
  <si>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</si>
  <si>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</si>
  <si>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</si>
  <si>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</si>
  <si>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</si>
  <si>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</si>
  <si>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</si>
  <si>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</si>
  <si>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</si>
  <si>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</si>
  <si>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</si>
  <si>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</si>
  <si>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</si>
  <si>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</si>
  <si>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</si>
  <si>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</si>
  <si>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</si>
  <si>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</si>
  <si>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</si>
  <si>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</si>
  <si>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</si>
  <si>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</si>
  <si>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</si>
  <si>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</si>
  <si>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</si>
  <si>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</si>
  <si>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</si>
  <si>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</si>
  <si>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</si>
  <si>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</si>
  <si>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</si>
  <si>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</si>
  <si>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</si>
  <si>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</si>
  <si>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</si>
  <si>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</si>
  <si>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</si>
  <si>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</si>
  <si>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</si>
  <si>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</si>
  <si>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</si>
  <si>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</si>
  <si>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</si>
  <si>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</si>
  <si>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</si>
  <si>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</si>
  <si>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</si>
  <si>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</si>
  <si>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</si>
  <si>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</si>
  <si>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</si>
  <si>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</si>
  <si>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</si>
  <si>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</si>
  <si>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</si>
  <si>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</si>
  <si>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</si>
  <si>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</si>
  <si>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</si>
  <si>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</si>
  <si>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</si>
  <si>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</si>
  <si>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</si>
  <si>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</si>
  <si>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</si>
  <si>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</si>
  <si>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</si>
  <si>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</si>
  <si>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</si>
  <si>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</si>
  <si>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</si>
  <si>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</si>
  <si>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</si>
  <si>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</si>
  <si>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</si>
  <si>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</si>
  <si>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</si>
  <si>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</si>
  <si>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</si>
  <si>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</si>
  <si>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</si>
  <si>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</si>
  <si>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</si>
  <si>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</si>
  <si>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</si>
  <si>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</si>
  <si>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</si>
  <si>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</si>
  <si>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</si>
  <si>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</si>
  <si>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</si>
  <si>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</si>
  <si>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</si>
  <si>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</si>
  <si>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</si>
  <si>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</si>
  <si>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</si>
  <si>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</si>
  <si>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</si>
  <si>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</si>
  <si>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</si>
  <si>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</si>
  <si>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</si>
  <si>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</si>
  <si>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</si>
  <si>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</si>
  <si>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</si>
  <si>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</si>
  <si>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</si>
  <si>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</si>
  <si>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</si>
  <si>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</si>
  <si>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</si>
  <si>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</si>
  <si>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</si>
  <si>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</si>
  <si>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</si>
  <si>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</si>
  <si>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</si>
  <si>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</si>
  <si>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</si>
  <si>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</si>
  <si>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</si>
  <si>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</si>
  <si>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</si>
  <si>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</si>
  <si>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</si>
  <si>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</si>
  <si>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</si>
  <si>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</si>
  <si>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</si>
  <si>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</si>
  <si>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</si>
  <si>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</si>
  <si>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</si>
  <si>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</si>
  <si>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</si>
  <si>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</si>
  <si>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</si>
  <si>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</si>
  <si>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</si>
  <si>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</si>
  <si>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</si>
  <si>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</si>
  <si>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</si>
  <si>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</si>
  <si>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</si>
  <si>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</si>
  <si>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</si>
  <si>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</si>
  <si>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</si>
  <si>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</si>
  <si>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</si>
  <si>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</si>
  <si>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</si>
  <si>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</si>
  <si>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</si>
  <si>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</si>
  <si>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</si>
  <si>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</si>
  <si>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</si>
  <si>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</si>
  <si>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</si>
  <si>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</si>
  <si>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</si>
  <si>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</si>
  <si>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</si>
  <si>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</si>
  <si>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</si>
  <si>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</si>
  <si>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</si>
  <si>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</si>
  <si>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</si>
  <si>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</si>
  <si>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</si>
  <si>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</si>
  <si>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</si>
  <si>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</si>
  <si>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</si>
  <si>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</si>
  <si>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</si>
  <si>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</si>
  <si>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</si>
  <si>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</si>
  <si>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</si>
  <si>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</si>
  <si>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</si>
  <si>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</si>
  <si>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</si>
  <si>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</si>
  <si>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</si>
  <si>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</si>
  <si>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</si>
  <si>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</si>
  <si>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</si>
  <si>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</si>
  <si>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</si>
  <si>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</si>
  <si>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</si>
  <si>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</si>
  <si>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</si>
  <si>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</si>
  <si>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</si>
  <si>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</si>
  <si>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</si>
  <si>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</si>
  <si>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</si>
  <si>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</si>
  <si>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</si>
  <si>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</si>
  <si>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</si>
  <si>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</si>
  <si>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</si>
  <si>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</si>
  <si>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</si>
  <si>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</si>
  <si>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</si>
  <si>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</si>
  <si>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</si>
  <si>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</si>
  <si>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</si>
  <si>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</si>
  <si>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</si>
  <si>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</si>
  <si>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</si>
  <si>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</si>
  <si>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</si>
  <si>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</si>
  <si>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</si>
  <si>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</si>
  <si>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</si>
  <si>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</si>
  <si>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</si>
  <si>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</si>
  <si>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</si>
  <si>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</si>
  <si>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</si>
  <si>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</si>
  <si>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</si>
  <si>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</si>
  <si>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</si>
  <si>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</si>
  <si>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</si>
  <si>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</si>
  <si>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</si>
  <si>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</si>
  <si>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</si>
  <si>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</si>
  <si>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</si>
  <si>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</si>
  <si>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</si>
  <si>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</si>
  <si>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</si>
  <si>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</si>
  <si>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</si>
  <si>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</si>
  <si>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</si>
  <si>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</si>
  <si>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</si>
  <si>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</si>
  <si>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</si>
  <si>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</si>
  <si>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</si>
  <si>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</si>
  <si>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</si>
  <si>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</si>
  <si>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</si>
  <si>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</si>
  <si>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</si>
  <si>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</si>
  <si>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</si>
  <si>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</si>
  <si>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</si>
  <si>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</si>
  <si>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</si>
  <si>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</si>
  <si>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</si>
  <si>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</si>
  <si>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</si>
  <si>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</si>
  <si>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</si>
  <si>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</si>
  <si>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</si>
  <si>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</si>
  <si>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</si>
  <si>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</si>
  <si>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</si>
  <si>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</si>
  <si>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</si>
  <si>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</si>
  <si>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</si>
  <si>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</si>
  <si>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</si>
  <si>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</si>
  <si>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</si>
  <si>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</si>
  <si>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</si>
  <si>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</si>
  <si>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</si>
  <si>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</si>
  <si>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</si>
  <si>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</si>
  <si>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</si>
  <si>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</si>
  <si>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</si>
  <si>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</si>
  <si>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</si>
  <si>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</si>
  <si>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</si>
  <si>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</si>
  <si>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</si>
  <si>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</si>
  <si>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</si>
  <si>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</si>
  <si>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</si>
  <si>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</si>
  <si>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</si>
  <si>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</si>
  <si>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</si>
  <si>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</si>
  <si>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</si>
  <si>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</si>
  <si>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</si>
  <si>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</si>
  <si>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</si>
  <si>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</si>
  <si>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</si>
  <si>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</si>
  <si>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</si>
  <si>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</si>
  <si>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</si>
  <si>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</si>
  <si>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</si>
  <si>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</si>
  <si>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</si>
  <si>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</si>
  <si>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</si>
  <si>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</si>
  <si>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</si>
  <si>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</si>
  <si>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</si>
  <si>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</si>
  <si>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</si>
  <si>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</si>
  <si>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</si>
  <si>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</si>
  <si>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</si>
  <si>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</si>
  <si>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</si>
  <si>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</si>
  <si>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</si>
  <si>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</si>
  <si>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</si>
  <si>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</si>
  <si>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</si>
  <si>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</si>
  <si>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</si>
  <si>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</si>
  <si>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</si>
  <si>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</si>
  <si>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</si>
  <si>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</si>
  <si>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</si>
  <si>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</si>
  <si>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</si>
  <si>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</si>
  <si>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</si>
  <si>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</si>
  <si>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</si>
  <si>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</si>
  <si>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</si>
  <si>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</si>
  <si>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</si>
  <si>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</si>
  <si>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</si>
  <si>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</si>
  <si>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</si>
  <si>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</si>
  <si>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</si>
  <si>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</si>
  <si>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</si>
  <si>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</si>
  <si>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</si>
  <si>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</si>
  <si>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</si>
  <si>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</si>
  <si>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</si>
  <si>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</si>
  <si>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</si>
  <si>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</si>
  <si>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</si>
  <si>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</si>
  <si>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</si>
  <si>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</si>
  <si>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</si>
  <si>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</si>
  <si>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</si>
  <si>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</si>
  <si>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</si>
  <si>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</si>
  <si>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</si>
  <si>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</si>
  <si>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</si>
  <si>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</si>
  <si>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</si>
  <si>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</si>
  <si>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</si>
  <si>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</si>
  <si>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</si>
  <si>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</si>
  <si>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</si>
  <si>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</si>
  <si>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</si>
  <si>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</si>
  <si>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</si>
  <si>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</si>
  <si>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</si>
  <si>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</si>
  <si>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</si>
  <si>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</si>
  <si>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</si>
  <si>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</si>
  <si>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</si>
  <si>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</si>
  <si>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</si>
  <si>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</si>
  <si>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</si>
  <si>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</si>
  <si>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</si>
  <si>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</si>
  <si>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</si>
  <si>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</si>
  <si>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</si>
  <si>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</si>
  <si>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</si>
  <si>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</si>
  <si>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</si>
  <si>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</si>
  <si>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</si>
  <si>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</si>
  <si>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</si>
  <si>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</si>
  <si>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</si>
  <si>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</si>
  <si>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</si>
  <si>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</si>
  <si>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</si>
  <si>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</si>
  <si>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</si>
  <si>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</si>
  <si>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</si>
  <si>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</si>
  <si>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</si>
  <si>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</si>
  <si>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</si>
  <si>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</si>
  <si>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</si>
  <si>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</si>
  <si>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</si>
  <si>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</si>
  <si>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</si>
  <si>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</si>
  <si>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</si>
  <si>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</si>
  <si>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</si>
  <si>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</si>
  <si>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</si>
  <si>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</si>
  <si>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</si>
  <si>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</si>
  <si>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</si>
  <si>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</si>
  <si>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</si>
  <si>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</si>
  <si>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</si>
  <si>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</si>
  <si>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</si>
  <si>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</si>
  <si>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</si>
  <si>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</si>
  <si>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</si>
  <si>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</si>
  <si>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</si>
  <si>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</si>
  <si>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</si>
  <si>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</si>
  <si>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</si>
  <si>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</si>
  <si>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</si>
  <si>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</si>
  <si>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</si>
  <si>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</si>
  <si>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</si>
  <si>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</si>
  <si>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</si>
  <si>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</si>
  <si>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</si>
  <si>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</si>
  <si>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</si>
  <si>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</si>
  <si>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</si>
  <si>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</si>
  <si>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</si>
  <si>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</si>
  <si>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</si>
  <si>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</si>
  <si>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</si>
  <si>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</si>
  <si>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</si>
  <si>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</si>
  <si>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</si>
  <si>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</si>
  <si>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</si>
  <si>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</si>
  <si>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</si>
  <si>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</si>
  <si>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</si>
  <si>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</si>
  <si>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</si>
  <si>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</si>
  <si>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</si>
  <si>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</si>
  <si>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</si>
  <si>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</si>
  <si>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</si>
  <si>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</si>
  <si>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</si>
  <si>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</si>
  <si>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</si>
  <si>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</si>
  <si>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</si>
  <si>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</si>
  <si>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</si>
  <si>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</si>
  <si>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</si>
  <si>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</si>
  <si>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</si>
  <si>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</si>
  <si>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</si>
  <si>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</si>
  <si>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</si>
  <si>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</si>
  <si>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</si>
  <si>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</si>
  <si>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</si>
  <si>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</si>
  <si>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</si>
  <si>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</si>
  <si>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</si>
  <si>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</si>
  <si>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</si>
  <si>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</si>
  <si>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</si>
  <si>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</si>
  <si>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</si>
  <si>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</si>
  <si>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</si>
  <si>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</si>
  <si>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</si>
  <si>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</si>
  <si>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</si>
  <si>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</si>
  <si>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</si>
  <si>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</si>
  <si>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</si>
  <si>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</si>
  <si>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</si>
  <si>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</si>
  <si>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</si>
  <si>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</si>
  <si>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</si>
  <si>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</si>
  <si>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</si>
  <si>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</si>
  <si>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</si>
  <si>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</si>
  <si>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</si>
  <si>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</si>
  <si>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</si>
  <si>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</si>
  <si>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</si>
  <si>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</si>
  <si>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</si>
  <si>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</si>
  <si>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</si>
  <si>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</si>
  <si>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</si>
  <si>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</si>
  <si>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</si>
  <si>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</si>
  <si>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</si>
  <si>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</si>
  <si>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</si>
  <si>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</si>
  <si>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</si>
  <si>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</si>
  <si>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</si>
  <si>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</si>
  <si>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</si>
  <si>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</si>
  <si>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</si>
  <si>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</si>
  <si>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</si>
  <si>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</si>
  <si>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</si>
  <si>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</si>
  <si>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</si>
  <si>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</si>
  <si>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</si>
  <si>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</si>
  <si>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</si>
  <si>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</si>
  <si>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</si>
  <si>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</si>
  <si>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</si>
  <si>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</si>
  <si>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</si>
  <si>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</si>
  <si>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</si>
  <si>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</si>
  <si>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</si>
  <si>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</si>
  <si>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</si>
  <si>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</si>
  <si>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</si>
  <si>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</si>
  <si>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</si>
  <si>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</si>
  <si>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</si>
  <si>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</si>
  <si>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</si>
  <si>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</si>
  <si>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</si>
  <si>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</si>
  <si>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</si>
  <si>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</si>
  <si>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</si>
  <si>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</si>
  <si>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</si>
  <si>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</si>
  <si>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</si>
  <si>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</si>
  <si>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</si>
  <si>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</si>
  <si>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</si>
  <si>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</si>
  <si>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</si>
  <si>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</si>
  <si>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</si>
  <si>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</si>
  <si>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</si>
  <si>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</si>
  <si>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</si>
  <si>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</si>
  <si>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</si>
  <si>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</si>
  <si>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</si>
  <si>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</si>
  <si>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</si>
  <si>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</si>
  <si>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</si>
  <si>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</si>
  <si>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</si>
  <si>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</si>
  <si>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</si>
  <si>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</si>
  <si>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</si>
  <si>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</si>
  <si>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</si>
  <si>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</si>
  <si>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</si>
  <si>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</si>
  <si>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</si>
  <si>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</si>
  <si>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</si>
  <si>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</si>
  <si>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</si>
  <si>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</si>
  <si>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</si>
  <si>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</si>
  <si>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</si>
  <si>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</si>
  <si>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</si>
  <si>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</si>
  <si>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</si>
  <si>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</si>
  <si>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</si>
  <si>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</si>
  <si>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</si>
  <si>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</si>
  <si>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</si>
  <si>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</si>
  <si>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</si>
  <si>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</si>
  <si>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</si>
  <si>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</si>
  <si>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</si>
  <si>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</si>
  <si>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</si>
  <si>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</si>
  <si>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</si>
  <si>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</si>
  <si>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</si>
  <si>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</si>
  <si>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</si>
  <si>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</si>
  <si>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</si>
  <si>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</si>
  <si>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</si>
  <si>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</si>
  <si>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</si>
  <si>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</si>
  <si>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</si>
  <si>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</si>
  <si>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</si>
  <si>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</si>
  <si>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</si>
  <si>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</si>
  <si>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</si>
  <si>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</si>
  <si>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</si>
  <si>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</si>
  <si>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</si>
  <si>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</si>
  <si>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</si>
  <si>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</si>
  <si>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</si>
  <si>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</si>
  <si>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</si>
  <si>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</si>
  <si>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</si>
  <si>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</si>
  <si>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</si>
  <si>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</si>
  <si>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</si>
  <si>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</si>
  <si>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</si>
  <si>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</si>
  <si>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</si>
  <si>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</si>
  <si>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</si>
  <si>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</si>
  <si>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</si>
  <si>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</si>
  <si>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</si>
  <si>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</si>
  <si>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</si>
  <si>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</si>
  <si>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</si>
  <si>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</si>
  <si>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</si>
  <si>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</si>
  <si>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</si>
  <si>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</si>
  <si>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</si>
  <si>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</si>
  <si>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</si>
  <si>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</si>
  <si>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</si>
  <si>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</si>
  <si>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</si>
  <si>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</si>
  <si>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</si>
  <si>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</si>
  <si>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</si>
  <si>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</si>
  <si>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</si>
  <si>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</si>
  <si>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</si>
  <si>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</si>
  <si>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</si>
  <si>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</si>
  <si>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</si>
  <si>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</si>
  <si>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</si>
  <si>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</si>
  <si>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</si>
  <si>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</si>
  <si>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</si>
  <si>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</si>
  <si>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</si>
  <si>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</si>
  <si>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</si>
  <si>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</si>
  <si>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</si>
  <si>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</si>
  <si>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</si>
  <si>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</si>
  <si>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</si>
  <si>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</si>
  <si>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</si>
  <si>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</si>
  <si>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</si>
  <si>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</si>
  <si>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</si>
  <si>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</si>
  <si>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</si>
  <si>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</si>
  <si>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</si>
  <si>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</si>
  <si>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</si>
  <si>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</si>
  <si>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</si>
  <si>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</si>
  <si>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</si>
  <si>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</si>
  <si>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</si>
  <si>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</si>
  <si>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</si>
  <si>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</si>
  <si>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</si>
  <si>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</si>
  <si>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</si>
  <si>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</si>
  <si>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</si>
  <si>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</si>
  <si>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</si>
  <si>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</si>
  <si>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</si>
  <si>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</si>
  <si>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</si>
  <si>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</si>
  <si>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</si>
  <si>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</si>
  <si>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</si>
  <si>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</si>
  <si>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</si>
  <si>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</si>
  <si>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</si>
  <si>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</si>
  <si>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</si>
  <si>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</si>
  <si>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</si>
  <si>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</si>
  <si>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</si>
  <si>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</si>
  <si>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</si>
  <si>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</si>
  <si>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</si>
  <si>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</si>
  <si>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</si>
  <si>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</si>
  <si>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</si>
  <si>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</si>
  <si>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</si>
  <si>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</si>
  <si>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</si>
  <si>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</si>
  <si>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</si>
  <si>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</si>
  <si>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</si>
  <si>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</si>
  <si>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</si>
  <si>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</si>
  <si>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</si>
  <si>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</si>
  <si>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</si>
  <si>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</si>
  <si>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</si>
  <si>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</si>
  <si>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</si>
  <si>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</si>
  <si>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</si>
  <si>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</si>
  <si>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</si>
  <si>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</si>
  <si>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</si>
  <si>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</si>
  <si>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</si>
  <si>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</si>
  <si>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</si>
  <si>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</si>
  <si>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</si>
  <si>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</si>
  <si>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</si>
  <si>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</si>
  <si>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</si>
  <si>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</si>
  <si>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</si>
  <si>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</si>
  <si>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</si>
  <si>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</si>
  <si>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</si>
  <si>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</si>
  <si>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</si>
  <si>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</si>
  <si>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</si>
  <si>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</si>
  <si>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</si>
  <si>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</si>
  <si>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</si>
  <si>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</si>
  <si>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</si>
  <si>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</si>
  <si>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</si>
  <si>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</si>
  <si>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</si>
  <si>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</si>
  <si>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</si>
  <si>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</si>
  <si>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</si>
  <si>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</si>
  <si>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</si>
  <si>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</si>
  <si>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</si>
  <si>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</si>
  <si>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</si>
  <si>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</si>
  <si>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</si>
  <si>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</si>
  <si>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</si>
  <si>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</si>
  <si>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</si>
  <si>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</si>
  <si>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</si>
  <si>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</si>
  <si>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</si>
  <si>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</si>
  <si>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</si>
  <si>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</si>
  <si>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</si>
  <si>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</si>
  <si>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</si>
  <si>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</si>
  <si>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</si>
  <si>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</si>
  <si>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</si>
  <si>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</si>
  <si>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</si>
  <si>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</si>
  <si>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</si>
  <si>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</si>
  <si>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</si>
  <si>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</si>
  <si>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</si>
  <si>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</si>
  <si>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</si>
  <si>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</si>
  <si>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</si>
  <si>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</si>
  <si>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</si>
  <si>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</si>
  <si>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</si>
  <si>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</si>
  <si>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</si>
  <si>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</si>
  <si>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</si>
  <si>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</si>
  <si>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</si>
  <si>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</si>
  <si>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</si>
  <si>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</si>
  <si>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</si>
  <si>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</si>
  <si>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</si>
  <si>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</si>
  <si>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</si>
  <si>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</si>
  <si>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</si>
  <si>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</si>
  <si>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</si>
  <si>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</si>
  <si>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</si>
  <si>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</si>
  <si>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</si>
  <si>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</si>
  <si>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</si>
  <si>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</si>
  <si>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</si>
  <si>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</si>
  <si>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</si>
  <si>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</si>
  <si>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</si>
  <si>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</si>
  <si>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</si>
  <si>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</si>
  <si>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</si>
  <si>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</si>
  <si>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</si>
  <si>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</si>
  <si>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</si>
  <si>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</si>
  <si>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</si>
  <si>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</si>
  <si>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</si>
  <si>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</si>
  <si>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</si>
  <si>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</si>
  <si>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</si>
  <si>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</si>
  <si>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</si>
  <si>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</si>
  <si>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</si>
  <si>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</si>
  <si>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</si>
  <si>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</si>
  <si>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</si>
  <si>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</si>
  <si>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</si>
  <si>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</si>
  <si>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</si>
  <si>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</si>
  <si>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</si>
  <si>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</si>
  <si>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</si>
  <si>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</si>
  <si>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</si>
  <si>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</si>
  <si>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</si>
  <si>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</si>
  <si>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</si>
  <si>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</si>
  <si>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</si>
  <si>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</si>
  <si>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</si>
  <si>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</si>
  <si>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</si>
  <si>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</si>
  <si>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</si>
  <si>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</si>
  <si>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</si>
  <si>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</si>
  <si>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</si>
  <si>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</si>
  <si>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</si>
  <si>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</si>
  <si>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</si>
  <si>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</si>
  <si>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</si>
  <si>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</si>
  <si>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</si>
  <si>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</si>
  <si>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</si>
  <si>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</si>
  <si>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</si>
  <si>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</si>
  <si>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</si>
  <si>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</si>
  <si>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</si>
  <si>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</si>
  <si>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</si>
  <si>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</si>
  <si>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</si>
  <si>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</si>
  <si>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</si>
  <si>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</si>
  <si>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</si>
  <si>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</si>
  <si>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</si>
  <si>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</si>
  <si>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</si>
  <si>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</si>
  <si>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</si>
  <si>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</si>
  <si>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</si>
  <si>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</si>
  <si>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</si>
  <si>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</si>
  <si>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</si>
  <si>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</si>
  <si>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</si>
  <si>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</si>
  <si>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</si>
  <si>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</si>
  <si>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</si>
  <si>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</si>
  <si>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</si>
  <si>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</si>
  <si>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</si>
  <si>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</si>
  <si>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</si>
  <si>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</si>
  <si>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</si>
  <si>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</si>
  <si>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</si>
  <si>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</si>
  <si>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</si>
  <si>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</si>
  <si>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</si>
  <si>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</si>
  <si>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</si>
  <si>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</si>
  <si>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</si>
  <si>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</si>
  <si>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</si>
  <si>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</si>
  <si>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</si>
  <si>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</si>
  <si>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</si>
  <si>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</si>
  <si>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</si>
  <si>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</si>
  <si>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</si>
  <si>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</si>
  <si>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</si>
  <si>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</si>
  <si>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</si>
  <si>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</si>
  <si>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</si>
  <si>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</si>
  <si>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</si>
  <si>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</si>
  <si>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</si>
  <si>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</si>
  <si>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</si>
  <si>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</si>
  <si>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</si>
  <si>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</si>
  <si>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</si>
  <si>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</si>
  <si>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</si>
  <si>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</si>
  <si>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</si>
  <si>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</si>
  <si>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</si>
  <si>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</si>
  <si>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</si>
  <si>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</si>
  <si>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</si>
  <si>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</si>
  <si>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</si>
  <si>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</si>
  <si>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</si>
  <si>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</si>
  <si>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</si>
  <si>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</si>
  <si>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</si>
  <si>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</si>
  <si>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</si>
  <si>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</si>
  <si>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</si>
  <si>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</si>
  <si>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</si>
  <si>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</si>
  <si>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</si>
  <si>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</si>
  <si>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</si>
  <si>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</si>
  <si>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</si>
  <si>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</si>
  <si>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</si>
  <si>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</si>
  <si>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</si>
  <si>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</si>
  <si>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</si>
  <si>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</si>
  <si>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</si>
  <si>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</si>
  <si>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</si>
  <si>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</si>
  <si>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</si>
  <si>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</si>
  <si>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</si>
  <si>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</si>
  <si>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</si>
  <si>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</si>
  <si>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</si>
  <si>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</si>
  <si>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</si>
  <si>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</si>
  <si>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</si>
  <si>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</si>
  <si>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</si>
  <si>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</si>
  <si>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</si>
  <si>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</si>
  <si>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</si>
  <si>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</si>
  <si>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</si>
  <si>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</si>
  <si>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</si>
  <si>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</si>
  <si>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</si>
  <si>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</si>
  <si>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</si>
  <si>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</si>
  <si>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</si>
  <si>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</si>
  <si>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</si>
  <si>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</si>
  <si>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</si>
  <si>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</si>
  <si>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</si>
  <si>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</si>
  <si>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</si>
  <si>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</si>
  <si>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</si>
  <si>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</si>
  <si>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</si>
  <si>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</si>
  <si>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</si>
  <si>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</si>
  <si>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</si>
  <si>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</si>
  <si>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</si>
  <si>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</si>
  <si>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</si>
  <si>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</si>
  <si>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</si>
  <si>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</si>
  <si>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</si>
  <si>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</si>
  <si>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</si>
  <si>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</si>
  <si>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</si>
  <si>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</si>
  <si>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</si>
  <si>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</si>
  <si>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</si>
  <si>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</si>
  <si>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</si>
  <si>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</si>
  <si>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</si>
  <si>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</si>
  <si>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</si>
  <si>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</si>
  <si>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</si>
  <si>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</si>
  <si>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</si>
  <si>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</si>
  <si>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</si>
  <si>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</si>
  <si>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</si>
  <si>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</si>
  <si>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</si>
  <si>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</si>
  <si>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</si>
  <si>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</si>
  <si>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</si>
  <si>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</si>
  <si>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</si>
  <si>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</si>
  <si>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</si>
  <si>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</si>
  <si>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</si>
  <si>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</si>
  <si>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</si>
  <si>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</si>
  <si>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</si>
  <si>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</si>
  <si>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</si>
  <si>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</si>
  <si>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</si>
  <si>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</si>
  <si>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</si>
  <si>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</si>
  <si>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</si>
  <si>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</si>
  <si>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</si>
  <si>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</si>
  <si>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</si>
  <si>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</si>
  <si>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</si>
  <si>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</si>
  <si>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</si>
  <si>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</si>
  <si>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</si>
  <si>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</si>
  <si>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</si>
  <si>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</si>
  <si>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</si>
  <si>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</si>
  <si>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</si>
  <si>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</si>
  <si>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</si>
  <si>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</si>
  <si>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</si>
  <si>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</si>
  <si>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</si>
  <si>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</si>
  <si>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</si>
  <si>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</si>
  <si>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</si>
  <si>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</si>
  <si>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</si>
  <si>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</si>
  <si>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</si>
  <si>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</si>
  <si>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</si>
  <si>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</si>
  <si>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</si>
  <si>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</si>
  <si>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</si>
  <si>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</si>
  <si>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</si>
  <si>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</si>
  <si>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</si>
  <si>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</si>
  <si>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</si>
  <si>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</si>
  <si>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</si>
  <si>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</si>
  <si>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</si>
  <si>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</si>
  <si>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</si>
  <si>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</si>
  <si>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</si>
  <si>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</si>
  <si>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</si>
  <si>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</si>
  <si>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</si>
  <si>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</si>
  <si>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</si>
  <si>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</si>
  <si>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</si>
  <si>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</si>
  <si>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</si>
  <si>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</si>
  <si>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</si>
  <si>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</si>
  <si>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</si>
  <si>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</si>
  <si>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</si>
  <si>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</si>
  <si>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</si>
  <si>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</si>
  <si>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</si>
  <si>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</si>
  <si>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</si>
  <si>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</si>
  <si>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</si>
  <si>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</si>
  <si>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</si>
  <si>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</si>
  <si>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</si>
  <si>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</si>
  <si>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</si>
  <si>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</si>
  <si>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</si>
  <si>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</si>
  <si>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</si>
  <si>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</si>
  <si>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</si>
  <si>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</si>
  <si>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</si>
  <si>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</si>
  <si>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</si>
  <si>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</si>
  <si>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</si>
  <si>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</si>
  <si>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</si>
  <si>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</si>
  <si>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</si>
  <si>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</si>
  <si>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</si>
  <si>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</si>
  <si>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</si>
  <si>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</si>
  <si>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</si>
  <si>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</si>
  <si>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</si>
  <si>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</si>
  <si>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</si>
  <si>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</si>
  <si>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</si>
  <si>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</si>
  <si>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</si>
  <si>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</si>
  <si>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</si>
  <si>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</si>
  <si>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</si>
  <si>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</si>
  <si>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</si>
  <si>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</si>
  <si>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</si>
  <si>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</si>
  <si>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</si>
  <si>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</si>
  <si>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</si>
  <si>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</si>
  <si>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</si>
  <si>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</si>
  <si>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</si>
  <si>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</si>
  <si>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</si>
  <si>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</si>
  <si>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</si>
  <si>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</si>
  <si>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</si>
  <si>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</si>
  <si>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</si>
  <si>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</si>
  <si>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</si>
  <si>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</si>
  <si>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</si>
  <si>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</si>
  <si>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</si>
  <si>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</si>
  <si>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</si>
  <si>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</si>
  <si>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</si>
  <si>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</si>
  <si>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</si>
  <si>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</si>
  <si>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</si>
  <si>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</si>
  <si>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</si>
  <si>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</si>
  <si>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</si>
  <si>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</si>
  <si>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</si>
  <si>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</si>
  <si>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</si>
  <si>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</si>
  <si>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</si>
  <si>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</si>
  <si>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</si>
  <si>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</si>
  <si>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</si>
  <si>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</si>
  <si>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</si>
  <si>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</si>
  <si>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</si>
  <si>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</si>
  <si>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</si>
  <si>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</si>
  <si>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</si>
  <si>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</si>
  <si>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</si>
  <si>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</si>
  <si>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</si>
  <si>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</si>
  <si>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</si>
  <si>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</si>
  <si>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</si>
  <si>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</si>
  <si>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</si>
  <si>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</si>
  <si>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</si>
  <si>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</si>
  <si>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</si>
  <si>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</si>
  <si>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</si>
  <si>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</si>
  <si>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</si>
  <si>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</si>
  <si>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</si>
  <si>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</si>
  <si>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</si>
  <si>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</si>
  <si>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</si>
  <si>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</si>
  <si>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</si>
  <si>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</si>
  <si>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</si>
  <si>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</si>
  <si>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</si>
  <si>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</si>
  <si>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</si>
  <si>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</si>
  <si>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</si>
  <si>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</si>
  <si>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</si>
  <si>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</si>
  <si>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</si>
  <si>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</si>
  <si>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</si>
  <si>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McHenry/Lake</t>
  </si>
  <si>
    <t>1011 North Green Street</t>
  </si>
  <si>
    <t>McHenry</t>
  </si>
  <si>
    <t>mschaffer@d15.org</t>
  </si>
  <si>
    <t>x</t>
  </si>
  <si>
    <t>Kevin Smith</t>
  </si>
  <si>
    <t>X</t>
  </si>
  <si>
    <t>U.S. Department of Agriculture Passed Through</t>
  </si>
  <si>
    <t xml:space="preserve"> Illinois State Board of Education:</t>
  </si>
  <si>
    <t>Total Child Nutrition Cluster</t>
  </si>
  <si>
    <t>Subtotal CFDA "10"</t>
  </si>
  <si>
    <t>20-4299-00</t>
  </si>
  <si>
    <t>19-4210-00</t>
  </si>
  <si>
    <t>20-4210-00</t>
  </si>
  <si>
    <t>19-4220-00</t>
  </si>
  <si>
    <t>20-4220-00</t>
  </si>
  <si>
    <t>U.S. Department of Education Passed Through</t>
  </si>
  <si>
    <t xml:space="preserve">    Illinois State Board of Education:</t>
  </si>
  <si>
    <t xml:space="preserve">        Special Education - IDEA - Room and Board**</t>
  </si>
  <si>
    <t xml:space="preserve">        Special Education - Grants to States</t>
  </si>
  <si>
    <t xml:space="preserve">        Special Education - Preschool</t>
  </si>
  <si>
    <t>19-4625-00</t>
  </si>
  <si>
    <t>20-4625-00</t>
  </si>
  <si>
    <t>19-4620-00</t>
  </si>
  <si>
    <t>20-4620-00</t>
  </si>
  <si>
    <t>19-4600-00</t>
  </si>
  <si>
    <t>20-4600-00</t>
  </si>
  <si>
    <t>19--4300-00</t>
  </si>
  <si>
    <t>20-4300-00</t>
  </si>
  <si>
    <t xml:space="preserve">       Special Education - IDEA - Room and Board</t>
  </si>
  <si>
    <t>19-4625-XC</t>
  </si>
  <si>
    <t xml:space="preserve">    Special Education District of McHenry County</t>
  </si>
  <si>
    <t>19-4331-19</t>
  </si>
  <si>
    <t xml:space="preserve">        Title II - Teacher Quality</t>
  </si>
  <si>
    <t>19-4932-00</t>
  </si>
  <si>
    <t>20-4932-00</t>
  </si>
  <si>
    <t xml:space="preserve">        Title III - LIP/LEP**</t>
  </si>
  <si>
    <t>Subtotal CFDA "84"</t>
  </si>
  <si>
    <t>19-4909-00</t>
  </si>
  <si>
    <t>20-4909-00</t>
  </si>
  <si>
    <t>U.S. Department of Health &amp; Human Services</t>
  </si>
  <si>
    <t xml:space="preserve">    Passed Through Illinois Department of </t>
  </si>
  <si>
    <t xml:space="preserve">    Healthcare &amp; Family Services</t>
  </si>
  <si>
    <t xml:space="preserve">        Medicaid Matching</t>
  </si>
  <si>
    <t>19-4991-00</t>
  </si>
  <si>
    <t>20-4991-00</t>
  </si>
  <si>
    <t>Subtotal CFDA "93"</t>
  </si>
  <si>
    <t>20-4225-00</t>
  </si>
  <si>
    <t>Rounding</t>
  </si>
  <si>
    <t>CHILD NUTRITION CLUSTER</t>
  </si>
  <si>
    <t xml:space="preserve">        Food Donations Program</t>
  </si>
  <si>
    <t xml:space="preserve">        School Breakfast Program *</t>
  </si>
  <si>
    <t xml:space="preserve">        Title I - Low Income </t>
  </si>
  <si>
    <t>SPECIAL EDUCATION CLUSTER</t>
  </si>
  <si>
    <t>MEDICAID CLUSTER</t>
  </si>
  <si>
    <t>TOTAL MEDICAID CLUSTER</t>
  </si>
  <si>
    <t>N/A</t>
  </si>
  <si>
    <t>*Project End Date 9/30</t>
  </si>
  <si>
    <t>**Project End Date 8/31</t>
  </si>
  <si>
    <t>The accompanying Schedule of Expenditures of Federal Awards includes the federal grant activity of McHenry Community Consolidated School District No. 15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</si>
  <si>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</si>
  <si>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Of the federal expenditures presented in the schedule, McHenry Community Consolidated School District No. 15 provided federal awards to subrecipients as follows:</t>
  </si>
  <si>
    <r>
      <t xml:space="preserve">The following amounts were expended in the form of non-cash assistance by McHenry Community Consolidated School District No. 15 and </t>
    </r>
    <r>
      <rPr>
        <b/>
        <sz val="9"/>
        <rFont val="Calibri"/>
        <family val="2"/>
        <scheme val="minor"/>
      </rPr>
      <t>should be</t>
    </r>
    <r>
      <rPr>
        <sz val="9"/>
        <rFont val="Calibri"/>
        <family val="2"/>
        <scheme val="minor"/>
      </rPr>
      <t xml:space="preserve"> included in the Schedule of Expenditures of Federal Awards:</t>
    </r>
  </si>
  <si>
    <t>Unmodified</t>
  </si>
  <si>
    <t>84.027, 84.173</t>
  </si>
  <si>
    <t>U.S. Department of Agriculture/Department of</t>
  </si>
  <si>
    <t xml:space="preserve">  Defense Passed Through Illinois State Board of Education</t>
  </si>
  <si>
    <t xml:space="preserve">      Food Donation Program</t>
  </si>
  <si>
    <t>Subtotal CFDA - "10.555"</t>
  </si>
  <si>
    <t>Subtotal CFDA - "10.553"</t>
  </si>
  <si>
    <t xml:space="preserve">        Title I - School Improvement &amp; Accountability</t>
  </si>
  <si>
    <t>Total Special Education Cluster (M)</t>
  </si>
  <si>
    <t>Subtotal CFDA - "84.027"</t>
  </si>
  <si>
    <t>Subtotal CFDA - "84.173"</t>
  </si>
  <si>
    <t>Subtotal CFDA - "84.010"</t>
  </si>
  <si>
    <t>Subtotal CFDA - "84.367"</t>
  </si>
  <si>
    <t xml:space="preserve"> Subtotal CFDA - "84.365"</t>
  </si>
  <si>
    <t xml:space="preserve">       Summer Food Service Program*</t>
  </si>
  <si>
    <t>2019-001</t>
  </si>
  <si>
    <t>There is a lack of review process to ensure Treasurer's bond requirements.</t>
  </si>
  <si>
    <t>The District was short on the Treasurer's bond for the year.</t>
  </si>
  <si>
    <t>The District will increase the Treasurer's bond to meet the requirement.</t>
  </si>
  <si>
    <t>There is a lack of review process to ensure Collateral requirements.</t>
  </si>
  <si>
    <t>District was not adequately bonded throughout the year.</t>
  </si>
  <si>
    <t>District was not adequately collateralized throughout the year.</t>
  </si>
  <si>
    <t>There should be a review to make sure that the District is in compliance with Collateral requirements.</t>
  </si>
  <si>
    <t>The District was under collateralized for the year.</t>
  </si>
  <si>
    <t>A lack of review process to ensure requirement was met.</t>
  </si>
  <si>
    <t>There should be a review to make sure that the District is in compliance with Treasurer's bond requirements.</t>
  </si>
  <si>
    <t>2010A-G.O Refunding School Bonds</t>
  </si>
  <si>
    <t>Not resolved.</t>
  </si>
  <si>
    <t>The District will make sure their accounts are properly collateralized in the future.</t>
  </si>
  <si>
    <t>Operations - Building Maint - Leasing</t>
  </si>
  <si>
    <t>Transportation - Pupil Trans Serv - Other Object</t>
  </si>
  <si>
    <t>Imagetec</t>
  </si>
  <si>
    <t>PMA Leasing</t>
  </si>
  <si>
    <t>Santander Leasing</t>
  </si>
  <si>
    <t>Midwest Transit Equipment Lease</t>
  </si>
  <si>
    <t>Page 11, Line 106 - Other Local Fees</t>
  </si>
  <si>
    <t>Page 11, Line 107 - Other Local Revenues</t>
  </si>
  <si>
    <t>Page 12, Line 168 - Other Restricted Revenue from State Sources</t>
  </si>
  <si>
    <t>Page 13, Line 203 - Title I - Other</t>
  </si>
  <si>
    <t>Page 16, Line 56 - Other Support Services</t>
  </si>
  <si>
    <t>Page 18, Line 180 - Other Support Services - Pupils</t>
  </si>
  <si>
    <t>Page 20, Line 260 - Other Support Services - School Administration</t>
  </si>
  <si>
    <t>Account #</t>
  </si>
  <si>
    <t>40-000-1993</t>
  </si>
  <si>
    <t>20-000-1999</t>
  </si>
  <si>
    <t>10-000-1999</t>
  </si>
  <si>
    <t>50-000-1999</t>
  </si>
  <si>
    <t>10-000-3999</t>
  </si>
  <si>
    <t>10-000-4399</t>
  </si>
  <si>
    <t>10-000-2490-100</t>
  </si>
  <si>
    <t>10-000-2490-200</t>
  </si>
  <si>
    <t>10-000-2490-600</t>
  </si>
  <si>
    <t>10-000-2490-400</t>
  </si>
  <si>
    <t>40-000-2100-400</t>
  </si>
  <si>
    <t>60-000-2490-200</t>
  </si>
  <si>
    <t>10-000-2490-300</t>
  </si>
  <si>
    <t>Bus Insurance</t>
  </si>
  <si>
    <t>Energy reimbursement/rebate</t>
  </si>
  <si>
    <t>Payroll split and reimbursement</t>
  </si>
  <si>
    <t>State library grant</t>
  </si>
  <si>
    <t>Title I School Improvement &amp; Accountability Grant</t>
  </si>
  <si>
    <t>Payroll</t>
  </si>
  <si>
    <t>Benefits - Life, health, dental, disability, vision,  insurance</t>
  </si>
  <si>
    <t>Travel reimbursement</t>
  </si>
  <si>
    <t>Office supplies</t>
  </si>
  <si>
    <t>Registration and conference fees</t>
  </si>
  <si>
    <t>MED - Payroll</t>
  </si>
  <si>
    <t>THL - Payroll</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</si>
  <si>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</si>
  <si>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</si>
  <si>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</si>
  <si>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</si>
  <si>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</si>
  <si>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</si>
  <si>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</si>
  <si>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</si>
  <si>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</si>
  <si>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</si>
  <si>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</si>
  <si>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</si>
  <si>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</si>
  <si>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</si>
  <si>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</si>
  <si>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</si>
  <si>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</si>
  <si>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</si>
  <si>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</si>
  <si>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</si>
  <si>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</si>
  <si>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</si>
  <si>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</si>
  <si>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</si>
  <si>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</si>
  <si>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</si>
  <si>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</si>
  <si>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</si>
  <si>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</si>
  <si>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</si>
  <si>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</si>
  <si>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</si>
  <si>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</si>
  <si>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</si>
  <si>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</si>
  <si>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</si>
  <si>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</si>
  <si>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</si>
  <si>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37</t>
  </si>
  <si>
    <t>38 - 50</t>
  </si>
  <si>
    <t>NIHIP</t>
  </si>
  <si>
    <t>ILLINOIS ENERGY CONSORTIUM</t>
  </si>
  <si>
    <t>CLIC</t>
  </si>
  <si>
    <t>PMA</t>
  </si>
  <si>
    <t>SEDOM</t>
  </si>
  <si>
    <t>NATIONAL IPA</t>
  </si>
  <si>
    <t>MCHENRY 156</t>
  </si>
  <si>
    <t xml:space="preserve">20. See findings section II of the single audit section of this AFR. </t>
  </si>
  <si>
    <t>Misc. Revenue</t>
  </si>
  <si>
    <t xml:space="preserve">        National School Lunch Program *</t>
  </si>
  <si>
    <t xml:space="preserve">         National School Lunch Program *</t>
  </si>
  <si>
    <t>Page 8, Line 80 - Other Changes in Fund Balances</t>
  </si>
  <si>
    <t>Correct prior year property tax allocations</t>
  </si>
  <si>
    <t xml:space="preserve"> Subtotal CFDA - "93.778"</t>
  </si>
  <si>
    <t>2019-002</t>
  </si>
  <si>
    <t>Ther is a lack of review process over recording property taxes.</t>
  </si>
  <si>
    <t>Resolves</t>
  </si>
  <si>
    <t>The District needs to increase the Treasurer's bond to meet the requirement.  This was not noted as a significant deficiency or material weakness within the mangement letter, but as an other matter only.</t>
  </si>
  <si>
    <t>The District needs to increase collateralization to meet the requirement.  This was not noted as a significant deficiency or material weakness within the mangement letter, but as an other matter only.</t>
  </si>
  <si>
    <t>Total Federal Assistance</t>
  </si>
  <si>
    <t>PDF in Opinion Page with signature</t>
  </si>
  <si>
    <t xml:space="preserve">  McHenry CCSD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</si>
</sst>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indexed="64"/>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2" fillId="0" borderId="0"/>
    <xf numFmtId="0" fontId="2" fillId="0" borderId="0"/>
  </cellStyleXfs>
  <cellXfs count="265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3" fontId="63" fillId="0" borderId="8" xfId="3" applyNumberFormat="1" applyFont="1" applyFill="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22" xfId="3" applyNumberFormat="1" applyFont="1" applyFill="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0" fontId="66" fillId="0" borderId="0" xfId="3" applyFont="1" applyAlignment="1" applyProtection="1">
      <alignment textRotation="180" wrapText="1"/>
    </xf>
    <xf numFmtId="1" fontId="65" fillId="0" borderId="22" xfId="3" applyNumberFormat="1" applyFont="1" applyFill="1" applyBorder="1" applyAlignment="1" applyProtection="1">
      <alignment horizontal="center" shrinkToFit="1"/>
      <protection locked="0"/>
    </xf>
    <xf numFmtId="0" fontId="58" fillId="0" borderId="0" xfId="3" applyFont="1" applyBorder="1" applyAlignment="1" applyProtection="1">
      <alignment wrapText="1"/>
      <protection locked="0"/>
    </xf>
    <xf numFmtId="179" fontId="58" fillId="0" borderId="0" xfId="3" applyNumberFormat="1" applyFont="1" applyBorder="1" applyAlignment="1" applyProtection="1">
      <alignment horizontal="left" vertical="top"/>
      <protection locked="0"/>
    </xf>
    <xf numFmtId="0" fontId="55" fillId="0" borderId="0" xfId="3" applyFont="1" applyAlignment="1" applyProtection="1">
      <alignment horizontal="center" vertical="center"/>
    </xf>
    <xf numFmtId="0" fontId="58" fillId="0" borderId="0" xfId="3" applyFont="1" applyFill="1" applyBorder="1" applyAlignment="1" applyProtection="1">
      <alignment horizontal="center"/>
      <protection locked="0"/>
    </xf>
    <xf numFmtId="0" fontId="58" fillId="0" borderId="0" xfId="3" applyFont="1" applyFill="1" applyProtection="1">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164" fontId="56" fillId="0" borderId="0" xfId="0" applyNumberFormat="1" applyFont="1"/>
    <xf numFmtId="0" fontId="58" fillId="0" borderId="0" xfId="3" applyFont="1" applyAlignment="1">
      <alignment horizontal="center" vertical="center"/>
    </xf>
    <xf numFmtId="0" fontId="2"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38" fontId="66" fillId="67" borderId="187" xfId="3741" applyNumberFormat="1" applyFont="1" applyFill="1" applyBorder="1" applyAlignment="1" applyProtection="1">
      <alignment horizontal="center"/>
      <protection locked="0"/>
    </xf>
    <xf numFmtId="0" fontId="58" fillId="0" borderId="185" xfId="3741" applyFont="1" applyBorder="1" applyAlignment="1">
      <alignment horizontal="center"/>
    </xf>
    <xf numFmtId="38" fontId="58" fillId="0" borderId="189" xfId="3741" applyNumberFormat="1" applyFont="1" applyBorder="1" applyAlignment="1" applyProtection="1">
      <alignment horizontal="center"/>
      <protection locked="0"/>
    </xf>
    <xf numFmtId="38" fontId="58" fillId="0" borderId="190" xfId="3741" applyNumberFormat="1" applyFont="1" applyBorder="1" applyAlignment="1" applyProtection="1">
      <alignment horizontal="center"/>
      <protection locked="0"/>
    </xf>
    <xf numFmtId="0" fontId="58" fillId="0" borderId="189" xfId="3741" applyFont="1" applyBorder="1" applyAlignment="1">
      <alignment horizontal="center"/>
    </xf>
    <xf numFmtId="38" fontId="58" fillId="0" borderId="192" xfId="3741" applyNumberFormat="1" applyFont="1" applyBorder="1" applyAlignment="1" applyProtection="1">
      <alignment horizontal="center"/>
      <protection locked="0"/>
    </xf>
    <xf numFmtId="38" fontId="58" fillId="0" borderId="193" xfId="3741" applyNumberFormat="1" applyFont="1" applyBorder="1" applyAlignment="1" applyProtection="1">
      <alignment horizontal="center"/>
      <protection locked="0"/>
    </xf>
    <xf numFmtId="0" fontId="58" fillId="0" borderId="192"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58" fillId="0" borderId="78" xfId="0" applyFont="1" applyBorder="1"/>
    <xf numFmtId="0" fontId="58" fillId="0" borderId="0" xfId="3" applyFont="1" applyBorder="1" applyAlignment="1" applyProtection="1">
      <alignment wrapText="1"/>
    </xf>
    <xf numFmtId="0" fontId="58" fillId="0" borderId="0" xfId="3" applyFont="1" applyBorder="1" applyAlignment="1" applyProtection="1">
      <alignment vertical="top"/>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1" xfId="3741" applyFont="1" applyBorder="1"/>
    <xf numFmtId="0" fontId="58" fillId="0" borderId="189"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2" xfId="3741" applyFont="1" applyBorder="1"/>
    <xf numFmtId="0" fontId="58" fillId="0" borderId="191" xfId="3741" applyFont="1" applyBorder="1" applyAlignment="1">
      <alignment wrapText="1"/>
    </xf>
    <xf numFmtId="0" fontId="58" fillId="0" borderId="189"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8"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Fill="1" applyBorder="1" applyAlignment="1" applyProtection="1">
      <alignment horizontal="left" vertical="top" wrapText="1"/>
      <protection locked="0"/>
    </xf>
    <xf numFmtId="0" fontId="58" fillId="0" borderId="0" xfId="3" applyFont="1" applyFill="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0" xfId="3"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81666F60-B0F9-4A43-AD6D-23AAE9341D76}"/>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A0693822-1A26-45BD-AAFD-36DA2D49416C}"/>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1066800</xdr:colOff>
          <xdr:row>5</xdr:row>
          <xdr:rowOff>142875</xdr:rowOff>
        </xdr:from>
        <xdr:to>
          <xdr:col>1</xdr:col>
          <xdr:colOff>1981200</xdr:colOff>
          <xdr:row>10</xdr:row>
          <xdr:rowOff>19050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152400</xdr:rowOff>
        </xdr:from>
        <xdr:to>
          <xdr:col>1</xdr:col>
          <xdr:colOff>933450</xdr:colOff>
          <xdr:row>10</xdr:row>
          <xdr:rowOff>28575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28574</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2">
        <f>+'AFR20'!E4</f>
        <v>44119</v>
      </c>
      <c r="C1" s="2062"/>
      <c r="D1" s="2063"/>
      <c r="I1" s="2141" t="s">
        <v>402</v>
      </c>
      <c r="J1" s="2142"/>
      <c r="K1" s="2142"/>
      <c r="L1" s="2142"/>
      <c r="M1" s="2142"/>
      <c r="N1" s="2142"/>
      <c r="O1" s="2142"/>
      <c r="P1" s="2142"/>
      <c r="Q1" s="2142"/>
      <c r="R1" s="2142"/>
      <c r="S1" s="2142"/>
    </row>
    <row r="2" spans="1:32" ht="12" customHeight="1" x14ac:dyDescent="0.2">
      <c r="A2" s="1820" t="str">
        <f>"Due to ISBE on "</f>
        <v xml:space="preserve">Due to ISBE on </v>
      </c>
      <c r="B2" s="2064">
        <f>+'AFR20'!F4</f>
        <v>44151</v>
      </c>
      <c r="C2" s="2064"/>
      <c r="D2" s="2065"/>
      <c r="I2" s="2143" t="s">
        <v>2000</v>
      </c>
      <c r="J2" s="2142"/>
      <c r="K2" s="2142"/>
      <c r="L2" s="2142"/>
      <c r="M2" s="2142"/>
      <c r="N2" s="2142"/>
      <c r="O2" s="2142"/>
      <c r="P2" s="2142"/>
      <c r="Q2" s="2142"/>
      <c r="R2" s="2142"/>
      <c r="S2" s="2142"/>
    </row>
    <row r="3" spans="1:32" ht="12" customHeight="1" x14ac:dyDescent="0.2">
      <c r="A3" s="1823" t="str">
        <f>"SD/JA"&amp;MID('AFR20'!E2,3,2)</f>
        <v>SD/JA20</v>
      </c>
      <c r="B3" s="151"/>
      <c r="C3" s="151"/>
      <c r="D3" s="152"/>
      <c r="I3" s="2143" t="s">
        <v>52</v>
      </c>
      <c r="J3" s="2142"/>
      <c r="K3" s="2142"/>
      <c r="L3" s="2142"/>
      <c r="M3" s="2142"/>
      <c r="N3" s="2142"/>
      <c r="O3" s="2142"/>
      <c r="P3" s="2142"/>
      <c r="Q3" s="2142"/>
      <c r="R3" s="2142"/>
      <c r="S3" s="2142"/>
    </row>
    <row r="4" spans="1:32" ht="12" customHeight="1" x14ac:dyDescent="0.2">
      <c r="A4" s="37"/>
      <c r="I4" s="2143" t="s">
        <v>521</v>
      </c>
      <c r="J4" s="2142"/>
      <c r="K4" s="2142"/>
      <c r="L4" s="2142"/>
      <c r="M4" s="2142"/>
      <c r="N4" s="2142"/>
      <c r="O4" s="2142"/>
      <c r="P4" s="2142"/>
      <c r="Q4" s="2142"/>
      <c r="R4" s="2142"/>
      <c r="S4" s="2142"/>
    </row>
    <row r="5" spans="1:32" ht="14.1" customHeight="1" x14ac:dyDescent="0.2">
      <c r="B5" s="101" t="s">
        <v>2027</v>
      </c>
      <c r="C5" s="26" t="s">
        <v>904</v>
      </c>
      <c r="D5" s="81"/>
      <c r="E5" s="81"/>
      <c r="H5" s="38"/>
      <c r="I5" s="2150" t="s">
        <v>675</v>
      </c>
      <c r="J5" s="2095"/>
      <c r="K5" s="2095"/>
      <c r="L5" s="2095"/>
      <c r="M5" s="2095"/>
      <c r="N5" s="2095"/>
      <c r="O5" s="2095"/>
      <c r="P5" s="2095"/>
      <c r="Q5" s="2095"/>
      <c r="R5" s="2095"/>
      <c r="S5" s="2095"/>
      <c r="AF5" s="1816"/>
    </row>
    <row r="6" spans="1:32" ht="14.1" customHeight="1" x14ac:dyDescent="0.2">
      <c r="B6" s="101"/>
      <c r="C6" s="26" t="s">
        <v>905</v>
      </c>
      <c r="D6" s="81"/>
      <c r="E6" s="81"/>
      <c r="I6" s="2149" t="s">
        <v>877</v>
      </c>
      <c r="J6" s="2095"/>
      <c r="K6" s="2095"/>
      <c r="L6" s="2095"/>
      <c r="M6" s="2095"/>
      <c r="N6" s="2095"/>
      <c r="O6" s="2095"/>
      <c r="P6" s="2095"/>
      <c r="Q6" s="2095"/>
      <c r="R6" s="2095"/>
      <c r="S6" s="2095"/>
    </row>
    <row r="7" spans="1:32" ht="12.2" customHeight="1" x14ac:dyDescent="0.2">
      <c r="I7" s="2144" t="str">
        <f>"June 30, "&amp;'AFR20'!E2</f>
        <v>June 30, 2020</v>
      </c>
      <c r="J7" s="2145"/>
      <c r="K7" s="2145"/>
      <c r="L7" s="2145"/>
      <c r="M7" s="2145"/>
      <c r="N7" s="2145"/>
      <c r="O7" s="2145"/>
      <c r="P7" s="2145"/>
      <c r="Q7" s="2145"/>
      <c r="R7" s="2145"/>
      <c r="S7" s="214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6" t="s">
        <v>669</v>
      </c>
      <c r="J9" s="2147"/>
      <c r="K9" s="2147"/>
      <c r="L9" s="2147"/>
      <c r="M9" s="2147"/>
      <c r="N9" s="2147"/>
      <c r="O9" s="2147"/>
      <c r="P9" s="2147"/>
      <c r="Q9" s="2147"/>
      <c r="R9" s="2147"/>
      <c r="S9" s="2148"/>
      <c r="T9" s="2091" t="s">
        <v>530</v>
      </c>
      <c r="U9" s="2092"/>
      <c r="V9" s="2092"/>
      <c r="W9" s="2092"/>
      <c r="X9" s="2092"/>
      <c r="Y9" s="2092"/>
      <c r="Z9" s="2092"/>
      <c r="AA9" s="2093"/>
    </row>
    <row r="10" spans="1:32" ht="13.5" customHeight="1" x14ac:dyDescent="0.2">
      <c r="A10" s="2100" t="s">
        <v>670</v>
      </c>
      <c r="B10" s="2101"/>
      <c r="C10" s="2101"/>
      <c r="D10" s="2101"/>
      <c r="E10" s="2101"/>
      <c r="F10" s="2101"/>
      <c r="G10" s="2101"/>
      <c r="H10" s="2102"/>
      <c r="I10" s="29"/>
      <c r="J10" s="30"/>
      <c r="K10" s="28"/>
      <c r="R10" s="30"/>
      <c r="S10" s="30"/>
      <c r="T10" s="2094"/>
      <c r="U10" s="2095"/>
      <c r="V10" s="2095"/>
      <c r="W10" s="2095"/>
      <c r="X10" s="2095"/>
      <c r="Y10" s="2095"/>
      <c r="Z10" s="2095"/>
      <c r="AA10" s="2096"/>
    </row>
    <row r="11" spans="1:32" ht="14.25" customHeight="1" x14ac:dyDescent="0.2">
      <c r="A11" s="2103" t="s">
        <v>949</v>
      </c>
      <c r="B11" s="2104"/>
      <c r="C11" s="2104"/>
      <c r="D11" s="2104"/>
      <c r="E11" s="2104"/>
      <c r="F11" s="2104"/>
      <c r="G11" s="2104"/>
      <c r="H11" s="2105"/>
      <c r="I11" s="27"/>
      <c r="J11" s="71"/>
      <c r="K11" s="27"/>
      <c r="O11" s="144" t="s">
        <v>2027</v>
      </c>
      <c r="P11" s="97" t="s">
        <v>199</v>
      </c>
      <c r="Q11" s="30"/>
      <c r="R11" s="28"/>
      <c r="S11" s="27"/>
      <c r="T11" s="2097"/>
      <c r="U11" s="2098"/>
      <c r="V11" s="2098"/>
      <c r="W11" s="2098"/>
      <c r="X11" s="2098"/>
      <c r="Y11" s="2098"/>
      <c r="Z11" s="2098"/>
      <c r="AA11" s="209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1">
        <v>44063015004</v>
      </c>
      <c r="B13" s="2112"/>
      <c r="C13" s="2112"/>
      <c r="D13" s="2112"/>
      <c r="E13" s="2112"/>
      <c r="F13" s="2112"/>
      <c r="G13" s="2112"/>
      <c r="H13" s="2113"/>
      <c r="I13" s="31"/>
      <c r="J13" s="30"/>
      <c r="K13" s="28"/>
      <c r="L13" s="30"/>
      <c r="M13" s="30"/>
      <c r="N13" s="30"/>
      <c r="O13" s="30"/>
      <c r="P13" s="30"/>
      <c r="Q13" s="30"/>
      <c r="R13" s="30"/>
      <c r="S13" s="30"/>
      <c r="T13" s="2116" t="s">
        <v>2015</v>
      </c>
      <c r="U13" s="2117"/>
      <c r="V13" s="2117"/>
      <c r="W13" s="2117"/>
      <c r="X13" s="2117"/>
      <c r="Y13" s="2118"/>
      <c r="Z13" s="2118"/>
      <c r="AA13" s="211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9" t="s">
        <v>2023</v>
      </c>
      <c r="B15" s="2114"/>
      <c r="C15" s="2114"/>
      <c r="D15" s="2114"/>
      <c r="E15" s="2114"/>
      <c r="F15" s="2114"/>
      <c r="G15" s="2114"/>
      <c r="H15" s="2115"/>
      <c r="T15" s="2077" t="s">
        <v>2028</v>
      </c>
      <c r="U15" s="2078"/>
      <c r="V15" s="2078"/>
      <c r="W15" s="2078"/>
      <c r="X15" s="2078"/>
      <c r="Y15" s="2120"/>
      <c r="Z15" s="2120"/>
      <c r="AA15" s="212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9" t="s">
        <v>2215</v>
      </c>
      <c r="B17" s="2139"/>
      <c r="C17" s="2139"/>
      <c r="D17" s="2139"/>
      <c r="E17" s="2139"/>
      <c r="F17" s="2139"/>
      <c r="G17" s="2139"/>
      <c r="H17" s="2140"/>
      <c r="T17" s="2126" t="s">
        <v>2016</v>
      </c>
      <c r="U17" s="2127"/>
      <c r="V17" s="2127"/>
      <c r="W17" s="2127"/>
      <c r="X17" s="2127"/>
      <c r="Y17" s="2127"/>
      <c r="Z17" s="2127"/>
      <c r="AA17" s="2128"/>
    </row>
    <row r="18" spans="1:27" ht="13.5" customHeight="1" x14ac:dyDescent="0.2">
      <c r="A18" s="82" t="s">
        <v>527</v>
      </c>
      <c r="B18" s="73"/>
      <c r="C18" s="69"/>
      <c r="D18" s="73"/>
      <c r="E18" s="73"/>
      <c r="F18" s="73"/>
      <c r="G18" s="73"/>
      <c r="H18" s="53"/>
      <c r="I18" s="2136" t="s">
        <v>671</v>
      </c>
      <c r="J18" s="2137"/>
      <c r="K18" s="2137"/>
      <c r="L18" s="2137"/>
      <c r="M18" s="2137"/>
      <c r="N18" s="2137"/>
      <c r="O18" s="2137"/>
      <c r="P18" s="2137"/>
      <c r="Q18" s="2137"/>
      <c r="R18" s="2137"/>
      <c r="S18" s="2138"/>
      <c r="T18" s="82" t="s">
        <v>706</v>
      </c>
      <c r="U18" s="48"/>
      <c r="V18" s="69"/>
      <c r="W18" s="47"/>
      <c r="X18" s="82" t="s">
        <v>264</v>
      </c>
      <c r="Y18" s="78"/>
      <c r="Z18" s="154" t="s">
        <v>672</v>
      </c>
      <c r="AA18" s="44"/>
    </row>
    <row r="19" spans="1:27" ht="13.5" customHeight="1" x14ac:dyDescent="0.2">
      <c r="A19" s="2109" t="s">
        <v>2024</v>
      </c>
      <c r="B19" s="2110"/>
      <c r="C19" s="2110"/>
      <c r="D19" s="2110"/>
      <c r="E19" s="2110"/>
      <c r="F19" s="2110"/>
      <c r="G19" s="2110"/>
      <c r="H19" s="2108"/>
      <c r="I19" s="30"/>
      <c r="J19" s="96"/>
      <c r="K19" s="40"/>
      <c r="L19" s="38"/>
      <c r="M19" s="109" t="s">
        <v>312</v>
      </c>
      <c r="P19" s="27"/>
      <c r="Q19" s="27"/>
      <c r="R19" s="27"/>
      <c r="S19" s="31"/>
      <c r="T19" s="2109" t="s">
        <v>2017</v>
      </c>
      <c r="U19" s="2107"/>
      <c r="V19" s="2107"/>
      <c r="W19" s="2108"/>
      <c r="X19" s="2124" t="s">
        <v>2018</v>
      </c>
      <c r="Y19" s="2125"/>
      <c r="Z19" s="2122">
        <v>60050</v>
      </c>
      <c r="AA19" s="212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6" t="s">
        <v>2025</v>
      </c>
      <c r="B21" s="2107"/>
      <c r="C21" s="2107"/>
      <c r="D21" s="2107"/>
      <c r="E21" s="2107"/>
      <c r="F21" s="2107"/>
      <c r="G21" s="2107"/>
      <c r="H21" s="2108"/>
      <c r="I21" s="2132" t="s">
        <v>673</v>
      </c>
      <c r="J21" s="2095"/>
      <c r="K21" s="2095"/>
      <c r="L21" s="2095"/>
      <c r="M21" s="2095"/>
      <c r="N21" s="2095"/>
      <c r="O21" s="2095"/>
      <c r="P21" s="2095"/>
      <c r="Q21" s="2095"/>
      <c r="R21" s="2095"/>
      <c r="S21" s="2096"/>
      <c r="T21" s="2074" t="s">
        <v>2019</v>
      </c>
      <c r="U21" s="2075"/>
      <c r="V21" s="2075"/>
      <c r="W21" s="2075"/>
      <c r="X21" s="2088" t="s">
        <v>2020</v>
      </c>
      <c r="Y21" s="2089"/>
      <c r="Z21" s="2089"/>
      <c r="AA21" s="2090"/>
    </row>
    <row r="22" spans="1:27" ht="13.5" customHeight="1" x14ac:dyDescent="0.2">
      <c r="A22" s="84" t="s">
        <v>528</v>
      </c>
      <c r="B22" s="56"/>
      <c r="C22" s="56"/>
      <c r="D22" s="56"/>
      <c r="E22" s="56"/>
      <c r="F22" s="56"/>
      <c r="G22" s="56"/>
      <c r="H22" s="57"/>
      <c r="I22" s="2133" t="s">
        <v>1412</v>
      </c>
      <c r="J22" s="2134"/>
      <c r="K22" s="2134"/>
      <c r="L22" s="2134"/>
      <c r="M22" s="2134"/>
      <c r="N22" s="2134"/>
      <c r="O22" s="2134"/>
      <c r="P22" s="2134"/>
      <c r="Q22" s="2134"/>
      <c r="R22" s="2134"/>
      <c r="S22" s="2135"/>
      <c r="T22" s="82" t="s">
        <v>1499</v>
      </c>
      <c r="U22" s="48"/>
      <c r="V22" s="69"/>
      <c r="W22" s="48"/>
      <c r="X22" s="155" t="s">
        <v>1307</v>
      </c>
      <c r="Z22" s="43"/>
      <c r="AA22" s="44"/>
    </row>
    <row r="23" spans="1:27" ht="13.5" customHeight="1" x14ac:dyDescent="0.2">
      <c r="A23" s="2129" t="s">
        <v>2026</v>
      </c>
      <c r="B23" s="2130"/>
      <c r="C23" s="2130"/>
      <c r="D23" s="2130"/>
      <c r="E23" s="2130"/>
      <c r="F23" s="2130"/>
      <c r="G23" s="2130"/>
      <c r="H23" s="2131"/>
      <c r="T23" s="2069" t="s">
        <v>2021</v>
      </c>
      <c r="U23" s="2070"/>
      <c r="V23" s="2070"/>
      <c r="W23" s="2070"/>
      <c r="X23" s="2085">
        <v>44530</v>
      </c>
      <c r="Y23" s="2086"/>
      <c r="Z23" s="2086"/>
      <c r="AA23" s="2087"/>
    </row>
    <row r="24" spans="1:27" ht="14.1" customHeight="1" x14ac:dyDescent="0.2">
      <c r="A24" s="85" t="s">
        <v>672</v>
      </c>
      <c r="B24" s="46"/>
      <c r="C24" s="46"/>
      <c r="D24" s="46"/>
      <c r="E24" s="46"/>
      <c r="F24" s="46"/>
      <c r="G24" s="46"/>
      <c r="H24" s="58"/>
      <c r="J24" s="2171">
        <f>IF(B5="x",IF(AUDITCHECK!D29="AFR form Incomplete.","",IF(AUDITCHECK!D29="Deficit reduction plan is required.","School District must complete a deficit reduction plan in the 2020-2021 Budget",)),"")</f>
        <v>0</v>
      </c>
      <c r="K24" s="2171"/>
      <c r="L24" s="2171"/>
      <c r="M24" s="2171"/>
      <c r="N24" s="2171"/>
      <c r="O24" s="2171"/>
      <c r="P24" s="2171"/>
      <c r="Q24" s="2171"/>
      <c r="R24" s="2171"/>
      <c r="S24" s="2172"/>
      <c r="T24" s="102" t="s">
        <v>528</v>
      </c>
      <c r="U24" s="103"/>
      <c r="V24" s="103"/>
      <c r="W24" s="103"/>
      <c r="X24" s="104"/>
      <c r="Y24" s="104"/>
      <c r="Z24" s="104"/>
      <c r="AA24" s="105"/>
    </row>
    <row r="25" spans="1:27" ht="14.1" customHeight="1" x14ac:dyDescent="0.2">
      <c r="A25" s="2106">
        <v>60050</v>
      </c>
      <c r="B25" s="2107"/>
      <c r="C25" s="2107"/>
      <c r="D25" s="2107"/>
      <c r="E25" s="2107"/>
      <c r="F25" s="2107"/>
      <c r="G25" s="2107"/>
      <c r="H25" s="2108"/>
      <c r="I25" s="110"/>
      <c r="J25" s="2173"/>
      <c r="K25" s="2173"/>
      <c r="L25" s="2173"/>
      <c r="M25" s="2173"/>
      <c r="N25" s="2173"/>
      <c r="O25" s="2173"/>
      <c r="P25" s="2173"/>
      <c r="Q25" s="2173"/>
      <c r="R25" s="2173"/>
      <c r="S25" s="2174"/>
      <c r="T25" s="2066" t="s">
        <v>2022</v>
      </c>
      <c r="U25" s="2067"/>
      <c r="V25" s="2067"/>
      <c r="W25" s="2067"/>
      <c r="X25" s="2067"/>
      <c r="Y25" s="2067"/>
      <c r="Z25" s="2067"/>
      <c r="AA25" s="206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4" t="s">
        <v>1494</v>
      </c>
      <c r="J27" s="2137"/>
      <c r="K27" s="2137"/>
      <c r="L27" s="2137"/>
      <c r="M27" s="2137"/>
      <c r="N27" s="2137"/>
      <c r="O27" s="2137"/>
      <c r="P27" s="2137"/>
      <c r="Q27" s="2137"/>
      <c r="R27" s="2137"/>
      <c r="S27" s="213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2027</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144" t="s">
        <v>2027</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2027</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10"/>
      <c r="Q35" s="2107"/>
      <c r="R35" s="210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9"/>
      <c r="B38" s="2139"/>
      <c r="C38" s="2139"/>
      <c r="D38" s="2139"/>
      <c r="E38" s="2139"/>
      <c r="F38" s="2107"/>
      <c r="G38" s="2107"/>
      <c r="H38" s="2108"/>
      <c r="I38" s="2158"/>
      <c r="J38" s="2078"/>
      <c r="K38" s="2078"/>
      <c r="L38" s="2078"/>
      <c r="M38" s="2078"/>
      <c r="N38" s="2078"/>
      <c r="O38" s="2078"/>
      <c r="P38" s="2079"/>
      <c r="Q38" s="2079"/>
      <c r="R38" s="2079"/>
      <c r="S38" s="2080"/>
      <c r="T38" s="2077"/>
      <c r="U38" s="2078"/>
      <c r="V38" s="2078"/>
      <c r="W38" s="2078"/>
      <c r="X38" s="2079"/>
      <c r="Y38" s="2079"/>
      <c r="Z38" s="2079"/>
      <c r="AA38" s="2080"/>
    </row>
    <row r="39" spans="1:27" ht="12" customHeight="1" x14ac:dyDescent="0.2">
      <c r="A39" s="2162" t="s">
        <v>528</v>
      </c>
      <c r="B39" s="2163"/>
      <c r="C39" s="69"/>
      <c r="D39" s="66"/>
      <c r="E39" s="66"/>
      <c r="F39" s="76"/>
      <c r="G39" s="66"/>
      <c r="H39" s="53"/>
      <c r="I39" s="2162" t="s">
        <v>528</v>
      </c>
      <c r="J39" s="2163"/>
      <c r="K39" s="2163"/>
      <c r="L39" s="2163"/>
      <c r="M39" s="2163"/>
      <c r="N39" s="64"/>
      <c r="O39" s="69"/>
      <c r="P39" s="69"/>
      <c r="Q39" s="75"/>
      <c r="R39" s="69"/>
      <c r="S39" s="53"/>
      <c r="T39" s="69" t="s">
        <v>528</v>
      </c>
      <c r="U39" s="48"/>
      <c r="V39" s="69"/>
      <c r="W39" s="47"/>
      <c r="X39" s="75"/>
      <c r="Y39" s="43"/>
      <c r="Z39" s="43"/>
      <c r="AA39" s="44"/>
    </row>
    <row r="40" spans="1:27" ht="13.5" customHeight="1" x14ac:dyDescent="0.2">
      <c r="A40" s="2165"/>
      <c r="B40" s="2166"/>
      <c r="C40" s="2167"/>
      <c r="D40" s="2167"/>
      <c r="E40" s="2167"/>
      <c r="F40" s="2168"/>
      <c r="G40" s="2168"/>
      <c r="H40" s="2169"/>
      <c r="I40" s="2081"/>
      <c r="J40" s="2083"/>
      <c r="K40" s="2083"/>
      <c r="L40" s="2083"/>
      <c r="M40" s="2083"/>
      <c r="N40" s="2083"/>
      <c r="O40" s="2083"/>
      <c r="P40" s="2083"/>
      <c r="Q40" s="2083"/>
      <c r="R40" s="2083"/>
      <c r="S40" s="2084"/>
      <c r="T40" s="2081"/>
      <c r="U40" s="2082"/>
      <c r="V40" s="2083"/>
      <c r="W40" s="2083"/>
      <c r="X40" s="2083"/>
      <c r="Y40" s="2083"/>
      <c r="Z40" s="2083"/>
      <c r="AA40" s="208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5"/>
      <c r="B42" s="2156"/>
      <c r="C42" s="2157"/>
      <c r="D42" s="2170"/>
      <c r="E42" s="2156"/>
      <c r="F42" s="2156"/>
      <c r="G42" s="2156"/>
      <c r="H42" s="2157"/>
      <c r="I42" s="2076"/>
      <c r="J42" s="2072"/>
      <c r="K42" s="2072"/>
      <c r="L42" s="2072"/>
      <c r="M42" s="2072"/>
      <c r="N42" s="2072"/>
      <c r="O42" s="2073"/>
      <c r="P42" s="2071"/>
      <c r="Q42" s="2072"/>
      <c r="R42" s="2072"/>
      <c r="S42" s="2073"/>
      <c r="T42" s="2076"/>
      <c r="U42" s="2072"/>
      <c r="V42" s="2072"/>
      <c r="W42" s="2073"/>
      <c r="X42" s="2071"/>
      <c r="Y42" s="2072"/>
      <c r="Z42" s="2072"/>
      <c r="AA42" s="207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9"/>
      <c r="B44" s="2160"/>
      <c r="C44" s="2160"/>
      <c r="D44" s="2160"/>
      <c r="E44" s="2160"/>
      <c r="F44" s="2160"/>
      <c r="G44" s="2160"/>
      <c r="H44" s="2161"/>
      <c r="I44" s="2151"/>
      <c r="J44" s="2153"/>
      <c r="K44" s="2153"/>
      <c r="L44" s="2153"/>
      <c r="M44" s="2153"/>
      <c r="N44" s="2153"/>
      <c r="O44" s="2153"/>
      <c r="P44" s="2153"/>
      <c r="Q44" s="2153"/>
      <c r="R44" s="2153"/>
      <c r="S44" s="2154"/>
      <c r="T44" s="2151"/>
      <c r="U44" s="2152"/>
      <c r="V44" s="2152"/>
      <c r="W44" s="2152"/>
      <c r="X44" s="2152"/>
      <c r="Y44" s="2152"/>
      <c r="Z44" s="2153"/>
      <c r="AA44" s="215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zMlOBFPOLARGGQpQMOFJkej9bIset0YKqdGSgJXFtTcvLMSHPHh/MOb6D2Mrl1nHnedIZnNMYAF+fbojnjqbew==" saltValue="VXHa6WBUy5lGt623hS6Q/g=="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A19" sqref="A19:H1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3" t="s">
        <v>1594</v>
      </c>
    </row>
    <row r="23" spans="1:5" x14ac:dyDescent="0.2">
      <c r="A23" s="163"/>
      <c r="B23" s="157" t="s">
        <v>1825</v>
      </c>
      <c r="D23" s="162" t="s">
        <v>632</v>
      </c>
      <c r="E23" s="1463" t="s">
        <v>953</v>
      </c>
    </row>
    <row r="24" spans="1:5" x14ac:dyDescent="0.2">
      <c r="A24" s="163" t="s">
        <v>1592</v>
      </c>
      <c r="C24" s="157" t="s">
        <v>1159</v>
      </c>
      <c r="D24" s="162" t="s">
        <v>1377</v>
      </c>
      <c r="E24" s="165" t="s">
        <v>954</v>
      </c>
    </row>
    <row r="25" spans="1:5" x14ac:dyDescent="0.2">
      <c r="A25" s="163" t="s">
        <v>1837</v>
      </c>
      <c r="C25" s="157" t="s">
        <v>1159</v>
      </c>
      <c r="D25" s="164" t="s">
        <v>21</v>
      </c>
      <c r="E25" s="1463" t="s">
        <v>2191</v>
      </c>
    </row>
    <row r="26" spans="1:5" x14ac:dyDescent="0.2">
      <c r="A26" s="163" t="s">
        <v>1838</v>
      </c>
      <c r="C26" s="157" t="s">
        <v>1159</v>
      </c>
      <c r="D26" s="164" t="s">
        <v>559</v>
      </c>
      <c r="E26" s="1463" t="s">
        <v>678</v>
      </c>
    </row>
    <row r="27" spans="1:5" x14ac:dyDescent="0.2">
      <c r="A27" s="163" t="s">
        <v>1839</v>
      </c>
      <c r="C27" s="157" t="s">
        <v>1159</v>
      </c>
      <c r="D27" s="164" t="s">
        <v>553</v>
      </c>
      <c r="E27" s="1463" t="s">
        <v>1350</v>
      </c>
    </row>
    <row r="28" spans="1:5" x14ac:dyDescent="0.2">
      <c r="A28" s="163" t="s">
        <v>1841</v>
      </c>
      <c r="D28" s="164" t="s">
        <v>679</v>
      </c>
      <c r="E28" s="1463" t="s">
        <v>1359</v>
      </c>
    </row>
    <row r="29" spans="1:5" x14ac:dyDescent="0.2">
      <c r="A29" s="163" t="s">
        <v>1842</v>
      </c>
      <c r="D29" s="164" t="s">
        <v>1378</v>
      </c>
      <c r="E29" s="1463" t="s">
        <v>2192</v>
      </c>
    </row>
    <row r="30" spans="1:5" x14ac:dyDescent="0.2">
      <c r="A30" s="168" t="s">
        <v>1843</v>
      </c>
      <c r="C30" s="157" t="s">
        <v>1159</v>
      </c>
      <c r="D30" s="164" t="s">
        <v>40</v>
      </c>
      <c r="E30" s="1463" t="s">
        <v>975</v>
      </c>
    </row>
    <row r="31" spans="1:5" x14ac:dyDescent="0.2">
      <c r="A31" s="163" t="s">
        <v>1504</v>
      </c>
      <c r="C31" s="157" t="s">
        <v>1159</v>
      </c>
      <c r="D31" s="162"/>
      <c r="E31" s="166"/>
    </row>
    <row r="32" spans="1:5" x14ac:dyDescent="0.2">
      <c r="B32" s="162" t="s">
        <v>1844</v>
      </c>
      <c r="C32" s="157" t="s">
        <v>1159</v>
      </c>
      <c r="D32" s="164" t="s">
        <v>1505</v>
      </c>
      <c r="E32" s="1463" t="s">
        <v>2193</v>
      </c>
    </row>
    <row r="33" spans="1:5" x14ac:dyDescent="0.2">
      <c r="A33" s="167"/>
      <c r="D33" s="164"/>
      <c r="E33" s="166"/>
    </row>
    <row r="34" spans="1:5" x14ac:dyDescent="0.2">
      <c r="A34" s="167"/>
      <c r="D34" s="164"/>
      <c r="E34" s="166"/>
    </row>
    <row r="35" spans="1:5" ht="15.75" customHeight="1" thickBot="1" x14ac:dyDescent="0.25">
      <c r="A35" s="2178" t="s">
        <v>1056</v>
      </c>
      <c r="B35" s="2178"/>
      <c r="C35" s="2178"/>
      <c r="D35" s="2178"/>
      <c r="E35" s="217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5" t="s">
        <v>686</v>
      </c>
      <c r="B40" s="2175"/>
      <c r="C40" s="2175"/>
      <c r="D40" s="2175"/>
      <c r="E40" s="2175"/>
    </row>
    <row r="41" spans="1:5" x14ac:dyDescent="0.2">
      <c r="A41" s="2176" t="s">
        <v>1591</v>
      </c>
      <c r="B41" s="2176"/>
      <c r="C41" s="2176"/>
      <c r="D41" s="2176"/>
      <c r="E41" s="2176"/>
    </row>
    <row r="42" spans="1:5" ht="12.75" customHeight="1" x14ac:dyDescent="0.2">
      <c r="A42" s="2177" t="s">
        <v>1015</v>
      </c>
      <c r="B42" s="2177"/>
      <c r="C42" s="2177"/>
      <c r="D42" s="2177"/>
      <c r="E42" s="2177"/>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38eVqY8UQSEIkYkpxgq95Z9GqAYjpVJOyyXIdFu61ZzvM/3SgTk+3xAMcaMwJ5Rt80xas6IYSswrqUQwI2anaQ==" saltValue="eQ+cX4mFlJ9UdEthjlmSu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50"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1" colorId="8" zoomScaleNormal="100" workbookViewId="0">
      <selection activeCell="A19" sqref="A19:H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9" t="s">
        <v>1158</v>
      </c>
      <c r="B2" s="2179"/>
      <c r="C2" s="2179"/>
      <c r="D2" s="2179"/>
      <c r="E2" s="2179"/>
      <c r="F2" s="2179"/>
      <c r="G2" s="2179"/>
      <c r="H2" s="2179"/>
      <c r="I2" s="2179"/>
      <c r="J2" s="217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t="s">
        <v>2027</v>
      </c>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3" t="s">
        <v>1616</v>
      </c>
      <c r="B35" s="2194"/>
      <c r="C35" s="2194"/>
      <c r="D35" s="2194"/>
      <c r="E35" s="2195"/>
      <c r="F35" s="2195"/>
      <c r="G35" s="2195"/>
      <c r="H35" s="2195"/>
      <c r="I35" s="219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3" t="s">
        <v>310</v>
      </c>
      <c r="B47" s="2196"/>
      <c r="C47" s="2196"/>
      <c r="D47" s="2196"/>
      <c r="E47" s="2197"/>
      <c r="F47" s="2197"/>
      <c r="G47" s="2197"/>
      <c r="H47" s="2197"/>
      <c r="I47" s="219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2027</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2027</v>
      </c>
      <c r="C53" s="174">
        <v>22</v>
      </c>
      <c r="D53" s="242" t="s">
        <v>1445</v>
      </c>
      <c r="E53" s="243"/>
      <c r="F53" s="244"/>
      <c r="G53" s="244" t="s">
        <v>1444</v>
      </c>
      <c r="H53" s="245">
        <v>33239</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0" t="s">
        <v>2201</v>
      </c>
      <c r="C57" s="2201"/>
      <c r="D57" s="2201"/>
      <c r="E57" s="2201"/>
      <c r="F57" s="2201"/>
      <c r="G57" s="2201"/>
      <c r="H57" s="2201"/>
      <c r="I57" s="2201"/>
      <c r="J57" s="2202"/>
    </row>
    <row r="58" spans="1:10" s="176" customFormat="1" x14ac:dyDescent="0.2">
      <c r="A58" s="248"/>
      <c r="B58" s="2203"/>
      <c r="C58" s="2204"/>
      <c r="D58" s="2204"/>
      <c r="E58" s="2204"/>
      <c r="F58" s="2204"/>
      <c r="G58" s="2204"/>
      <c r="H58" s="2204"/>
      <c r="I58" s="2204"/>
      <c r="J58" s="2205"/>
    </row>
    <row r="59" spans="1:10" s="176" customFormat="1" x14ac:dyDescent="0.2">
      <c r="A59" s="248"/>
      <c r="B59" s="2203"/>
      <c r="C59" s="2204"/>
      <c r="D59" s="2204"/>
      <c r="E59" s="2204"/>
      <c r="F59" s="2204"/>
      <c r="G59" s="2204"/>
      <c r="H59" s="2204"/>
      <c r="I59" s="2204"/>
      <c r="J59" s="2205"/>
    </row>
    <row r="60" spans="1:10" s="176" customFormat="1" x14ac:dyDescent="0.2">
      <c r="A60" s="248"/>
      <c r="B60" s="2203"/>
      <c r="C60" s="2204"/>
      <c r="D60" s="2204"/>
      <c r="E60" s="2204"/>
      <c r="F60" s="2204"/>
      <c r="G60" s="2204"/>
      <c r="H60" s="2204"/>
      <c r="I60" s="2204"/>
      <c r="J60" s="2205"/>
    </row>
    <row r="61" spans="1:10" s="176" customFormat="1" x14ac:dyDescent="0.2">
      <c r="A61" s="248"/>
      <c r="B61" s="2203"/>
      <c r="C61" s="2204"/>
      <c r="D61" s="2204"/>
      <c r="E61" s="2204"/>
      <c r="F61" s="2204"/>
      <c r="G61" s="2204"/>
      <c r="H61" s="2204"/>
      <c r="I61" s="2204"/>
      <c r="J61" s="2205"/>
    </row>
    <row r="62" spans="1:10" s="176" customFormat="1" x14ac:dyDescent="0.2">
      <c r="A62" s="248"/>
      <c r="B62" s="2203"/>
      <c r="C62" s="2204"/>
      <c r="D62" s="2204"/>
      <c r="E62" s="2204"/>
      <c r="F62" s="2204"/>
      <c r="G62" s="2204"/>
      <c r="H62" s="2204"/>
      <c r="I62" s="2204"/>
      <c r="J62" s="2205"/>
    </row>
    <row r="63" spans="1:10" s="176" customFormat="1" x14ac:dyDescent="0.2">
      <c r="A63" s="248"/>
      <c r="B63" s="2203"/>
      <c r="C63" s="2204"/>
      <c r="D63" s="2204"/>
      <c r="E63" s="2204"/>
      <c r="F63" s="2204"/>
      <c r="G63" s="2204"/>
      <c r="H63" s="2204"/>
      <c r="I63" s="2204"/>
      <c r="J63" s="2205"/>
    </row>
    <row r="64" spans="1:10" s="176" customFormat="1" x14ac:dyDescent="0.2">
      <c r="A64" s="248"/>
      <c r="B64" s="2203"/>
      <c r="C64" s="2204"/>
      <c r="D64" s="2204"/>
      <c r="E64" s="2204"/>
      <c r="F64" s="2204"/>
      <c r="G64" s="2204"/>
      <c r="H64" s="2204"/>
      <c r="I64" s="2204"/>
      <c r="J64" s="2205"/>
    </row>
    <row r="65" spans="1:11" s="176" customFormat="1" x14ac:dyDescent="0.2">
      <c r="A65" s="248"/>
      <c r="B65" s="2203"/>
      <c r="C65" s="2204"/>
      <c r="D65" s="2204"/>
      <c r="E65" s="2204"/>
      <c r="F65" s="2204"/>
      <c r="G65" s="2204"/>
      <c r="H65" s="2204"/>
      <c r="I65" s="2204"/>
      <c r="J65" s="2205"/>
    </row>
    <row r="66" spans="1:11" s="176" customFormat="1" x14ac:dyDescent="0.2">
      <c r="A66" s="248"/>
      <c r="B66" s="2203"/>
      <c r="C66" s="2204"/>
      <c r="D66" s="2204"/>
      <c r="E66" s="2204"/>
      <c r="F66" s="2204"/>
      <c r="G66" s="2204"/>
      <c r="H66" s="2204"/>
      <c r="I66" s="2204"/>
      <c r="J66" s="2205"/>
    </row>
    <row r="67" spans="1:11" s="176" customFormat="1" ht="9" customHeight="1" x14ac:dyDescent="0.2">
      <c r="A67" s="249"/>
      <c r="B67" s="2206"/>
      <c r="C67" s="2207"/>
      <c r="D67" s="2207"/>
      <c r="E67" s="2207"/>
      <c r="F67" s="2207"/>
      <c r="G67" s="2207"/>
      <c r="H67" s="2207"/>
      <c r="I67" s="2207"/>
      <c r="J67" s="220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3" t="s">
        <v>1312</v>
      </c>
      <c r="B70" s="2196"/>
      <c r="C70" s="2196"/>
      <c r="D70" s="2196"/>
      <c r="E70" s="2197"/>
      <c r="F70" s="2197"/>
      <c r="G70" s="2197"/>
      <c r="H70" s="2197"/>
      <c r="I70" s="219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8" t="s">
        <v>1309</v>
      </c>
      <c r="B83" s="2198"/>
      <c r="C83" s="2198"/>
      <c r="D83" s="219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9" t="s">
        <v>1986</v>
      </c>
      <c r="B85" s="2209"/>
      <c r="C85" s="2209"/>
      <c r="D85" s="2210"/>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1310</v>
      </c>
      <c r="B87" s="271"/>
      <c r="C87" s="272"/>
      <c r="D87" s="269"/>
      <c r="E87" s="264"/>
      <c r="F87" s="264"/>
      <c r="G87" s="264"/>
      <c r="H87" s="264"/>
      <c r="I87" s="265"/>
      <c r="J87" s="1717"/>
    </row>
    <row r="88" spans="1:10" s="176" customFormat="1" ht="13.5" customHeight="1" x14ac:dyDescent="0.2">
      <c r="A88" s="2211" t="s">
        <v>1986</v>
      </c>
      <c r="B88" s="2212"/>
      <c r="C88" s="2212"/>
      <c r="D88" s="2213"/>
      <c r="E88" s="1537"/>
      <c r="F88" s="1537"/>
      <c r="G88" s="1537"/>
      <c r="H88" s="1537"/>
      <c r="I88" s="1891"/>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80"/>
      <c r="C102" s="2181"/>
      <c r="D102" s="2181"/>
      <c r="E102" s="2181"/>
      <c r="F102" s="2181"/>
      <c r="G102" s="2181"/>
      <c r="H102" s="2181"/>
      <c r="I102" s="2182"/>
    </row>
    <row r="103" spans="1:9" s="176" customFormat="1" ht="11.25" customHeight="1" x14ac:dyDescent="0.2">
      <c r="A103" s="294"/>
      <c r="B103" s="2183"/>
      <c r="C103" s="2184"/>
      <c r="D103" s="2184"/>
      <c r="E103" s="2184"/>
      <c r="F103" s="2184"/>
      <c r="G103" s="2184"/>
      <c r="H103" s="2184"/>
      <c r="I103" s="2185"/>
    </row>
    <row r="104" spans="1:9" s="176" customFormat="1" ht="11.25" customHeight="1" x14ac:dyDescent="0.2">
      <c r="A104" s="294"/>
      <c r="B104" s="2183"/>
      <c r="C104" s="2184"/>
      <c r="D104" s="2184"/>
      <c r="E104" s="2184"/>
      <c r="F104" s="2184"/>
      <c r="G104" s="2184"/>
      <c r="H104" s="2184"/>
      <c r="I104" s="2185"/>
    </row>
    <row r="105" spans="1:9" s="176" customFormat="1" x14ac:dyDescent="0.2">
      <c r="A105" s="294"/>
      <c r="B105" s="2183"/>
      <c r="C105" s="2184"/>
      <c r="D105" s="2184"/>
      <c r="E105" s="2184"/>
      <c r="F105" s="2184"/>
      <c r="G105" s="2184"/>
      <c r="H105" s="2184"/>
      <c r="I105" s="2185"/>
    </row>
    <row r="106" spans="1:9" s="176" customFormat="1" ht="11.25" customHeight="1" x14ac:dyDescent="0.2">
      <c r="A106" s="294"/>
      <c r="B106" s="2183"/>
      <c r="C106" s="2184"/>
      <c r="D106" s="2184"/>
      <c r="E106" s="2184"/>
      <c r="F106" s="2184"/>
      <c r="G106" s="2184"/>
      <c r="H106" s="2184"/>
      <c r="I106" s="2185"/>
    </row>
    <row r="107" spans="1:9" s="176" customFormat="1" ht="11.25" customHeight="1" x14ac:dyDescent="0.2">
      <c r="A107" s="294"/>
      <c r="B107" s="2183"/>
      <c r="C107" s="2184"/>
      <c r="D107" s="2184"/>
      <c r="E107" s="2184"/>
      <c r="F107" s="2184"/>
      <c r="G107" s="2184"/>
      <c r="H107" s="2184"/>
      <c r="I107" s="2185"/>
    </row>
    <row r="108" spans="1:9" s="176" customFormat="1" ht="11.25" customHeight="1" x14ac:dyDescent="0.2">
      <c r="A108" s="294"/>
      <c r="B108" s="2183"/>
      <c r="C108" s="2184"/>
      <c r="D108" s="2184"/>
      <c r="E108" s="2184"/>
      <c r="F108" s="2184"/>
      <c r="G108" s="2184"/>
      <c r="H108" s="2184"/>
      <c r="I108" s="2185"/>
    </row>
    <row r="109" spans="1:9" s="176" customFormat="1" ht="11.25" customHeight="1" x14ac:dyDescent="0.2">
      <c r="A109" s="294"/>
      <c r="B109" s="2183"/>
      <c r="C109" s="2184"/>
      <c r="D109" s="2184"/>
      <c r="E109" s="2184"/>
      <c r="F109" s="2184"/>
      <c r="G109" s="2184"/>
      <c r="H109" s="2184"/>
      <c r="I109" s="2185"/>
    </row>
    <row r="110" spans="1:9" s="176" customFormat="1" ht="11.25" customHeight="1" x14ac:dyDescent="0.2">
      <c r="A110" s="294"/>
      <c r="B110" s="2183"/>
      <c r="C110" s="2184"/>
      <c r="D110" s="2184"/>
      <c r="E110" s="2184"/>
      <c r="F110" s="2184"/>
      <c r="G110" s="2184"/>
      <c r="H110" s="2184"/>
      <c r="I110" s="2185"/>
    </row>
    <row r="111" spans="1:9" s="176" customFormat="1" ht="11.25" customHeight="1" x14ac:dyDescent="0.2">
      <c r="A111" s="294"/>
      <c r="B111" s="2183"/>
      <c r="C111" s="2184"/>
      <c r="D111" s="2184"/>
      <c r="E111" s="2184"/>
      <c r="F111" s="2184"/>
      <c r="G111" s="2184"/>
      <c r="H111" s="2184"/>
      <c r="I111" s="2185"/>
    </row>
    <row r="112" spans="1:9" s="176" customFormat="1" ht="11.25" customHeight="1" x14ac:dyDescent="0.2">
      <c r="A112" s="294"/>
      <c r="B112" s="2186"/>
      <c r="C112" s="2187"/>
      <c r="D112" s="2187"/>
      <c r="E112" s="2187"/>
      <c r="F112" s="2187"/>
      <c r="G112" s="2187"/>
      <c r="H112" s="2187"/>
      <c r="I112" s="218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9" t="s">
        <v>2015</v>
      </c>
      <c r="D114" s="218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0" t="s">
        <v>1319</v>
      </c>
      <c r="D117" s="2191"/>
      <c r="E117" s="2192"/>
      <c r="F117" s="2192"/>
      <c r="G117" s="2192"/>
      <c r="H117" s="2192"/>
      <c r="I117" s="282"/>
    </row>
    <row r="118" spans="1:9" s="176" customFormat="1" ht="24" customHeight="1" x14ac:dyDescent="0.2">
      <c r="A118" s="294"/>
      <c r="B118" s="294"/>
      <c r="C118" s="294"/>
      <c r="D118" s="301" t="s">
        <v>2214</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35" sqref="L3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4" t="s">
        <v>383</v>
      </c>
      <c r="B1" s="2214"/>
      <c r="C1" s="2214"/>
      <c r="D1" s="2214"/>
      <c r="E1" s="2214"/>
      <c r="F1" s="2214"/>
      <c r="G1" s="2214"/>
      <c r="H1" s="2214"/>
      <c r="I1" s="2214"/>
      <c r="J1" s="2214"/>
      <c r="K1" s="2214"/>
      <c r="L1" s="2214"/>
      <c r="M1" s="221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1102371365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3.5739E-2</v>
      </c>
      <c r="E10" s="333" t="s">
        <v>998</v>
      </c>
      <c r="F10" s="332">
        <v>4.9509999999999997E-3</v>
      </c>
      <c r="G10" s="333" t="s">
        <v>998</v>
      </c>
      <c r="H10" s="332">
        <v>1.905E-3</v>
      </c>
      <c r="I10" s="333" t="s">
        <v>999</v>
      </c>
      <c r="J10" s="1417">
        <f>ROUND(D10+F10+H10,5)</f>
        <v>4.2599999999999999E-2</v>
      </c>
      <c r="K10" s="217"/>
      <c r="L10" s="332">
        <v>4.4799999999999999E-4</v>
      </c>
      <c r="M10" s="217"/>
    </row>
    <row r="11" spans="1:14" ht="7.5" customHeight="1" x14ac:dyDescent="0.2">
      <c r="B11" s="217"/>
      <c r="C11" s="217"/>
      <c r="D11" s="2224" t="str">
        <f>IF(SUM(J10)&lt;=0.0999999,"","Enter the Tax Rates by moving the decimal two places to the left.")</f>
        <v/>
      </c>
      <c r="E11" s="2225"/>
      <c r="F11" s="2225"/>
      <c r="G11" s="2225"/>
      <c r="H11" s="2225"/>
      <c r="I11" s="2225"/>
      <c r="J11" s="222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64173695</v>
      </c>
      <c r="E16" s="1540"/>
      <c r="F16" s="1539">
        <f>SUM('Acct Summary 7-8'!C17,'Acct Summary 7-8'!D17,'Acct Summary 7-8'!F17)</f>
        <v>59040908</v>
      </c>
      <c r="G16" s="1540"/>
      <c r="H16" s="1539">
        <f>SUM(D16-F16)</f>
        <v>5132787</v>
      </c>
      <c r="I16" s="1541"/>
      <c r="J16" s="1539">
        <f>SUM('Acct Summary 7-8'!C81,'Acct Summary 7-8'!D81,'Acct Summary 7-8'!F81,'Acct Summary 7-8'!I81)</f>
        <v>58819611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582</v>
      </c>
      <c r="D31" s="232" t="s">
        <v>1063</v>
      </c>
      <c r="E31" s="217"/>
      <c r="F31" s="217"/>
      <c r="G31" s="340"/>
      <c r="H31" s="1418">
        <f>IF(B31="X",(J7*0.069),IF(B32="X",(J7*0.138),"Enter x in a.or b."))</f>
        <v>76063624.185000002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5"/>
      <c r="C54" s="2216"/>
      <c r="D54" s="2216"/>
      <c r="E54" s="2216"/>
      <c r="F54" s="2216"/>
      <c r="G54" s="2216"/>
      <c r="H54" s="2216"/>
      <c r="I54" s="2216"/>
      <c r="J54" s="2216"/>
      <c r="K54" s="2216"/>
      <c r="L54" s="2217"/>
      <c r="M54" s="357"/>
    </row>
    <row r="55" spans="1:13" ht="12.75" customHeight="1" x14ac:dyDescent="0.2">
      <c r="B55" s="2218"/>
      <c r="C55" s="2219"/>
      <c r="D55" s="2219"/>
      <c r="E55" s="2219"/>
      <c r="F55" s="2219"/>
      <c r="G55" s="2219"/>
      <c r="H55" s="2219"/>
      <c r="I55" s="2219"/>
      <c r="J55" s="2219"/>
      <c r="K55" s="2219"/>
      <c r="L55" s="2220"/>
      <c r="M55" s="357"/>
    </row>
    <row r="56" spans="1:13" ht="12.75" customHeight="1" x14ac:dyDescent="0.2">
      <c r="B56" s="2218"/>
      <c r="C56" s="2219"/>
      <c r="D56" s="2219"/>
      <c r="E56" s="2219"/>
      <c r="F56" s="2219"/>
      <c r="G56" s="2219"/>
      <c r="H56" s="2219"/>
      <c r="I56" s="2219"/>
      <c r="J56" s="2219"/>
      <c r="K56" s="2219"/>
      <c r="L56" s="2220"/>
      <c r="M56" s="217"/>
    </row>
    <row r="57" spans="1:13" ht="12.75" customHeight="1" x14ac:dyDescent="0.2">
      <c r="B57" s="2218"/>
      <c r="C57" s="2219"/>
      <c r="D57" s="2219"/>
      <c r="E57" s="2219"/>
      <c r="F57" s="2219"/>
      <c r="G57" s="2219"/>
      <c r="H57" s="2219"/>
      <c r="I57" s="2219"/>
      <c r="J57" s="2219"/>
      <c r="K57" s="2219"/>
      <c r="L57" s="2220"/>
      <c r="M57" s="217"/>
    </row>
    <row r="58" spans="1:13" x14ac:dyDescent="0.2">
      <c r="B58" s="2221"/>
      <c r="C58" s="2222"/>
      <c r="D58" s="2222"/>
      <c r="E58" s="2222"/>
      <c r="F58" s="2222"/>
      <c r="G58" s="2222"/>
      <c r="H58" s="2222"/>
      <c r="I58" s="2222"/>
      <c r="J58" s="2222"/>
      <c r="K58" s="2222"/>
      <c r="L58" s="222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6"/>
      <c r="D61" s="222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 zoomScale="110" zoomScaleNormal="110" workbookViewId="0">
      <selection activeCell="F39" sqref="F3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9"/>
      <c r="B1" s="2230"/>
      <c r="C1" s="2230"/>
      <c r="D1" s="361"/>
      <c r="E1" s="361"/>
      <c r="F1" s="361"/>
      <c r="G1" s="361"/>
      <c r="H1" s="361"/>
      <c r="I1" s="361"/>
      <c r="J1" s="361"/>
      <c r="K1" s="361"/>
      <c r="L1" s="361"/>
      <c r="M1" s="361"/>
      <c r="N1" s="361"/>
      <c r="O1" s="2229"/>
      <c r="P1" s="2230"/>
      <c r="Q1" s="2230"/>
    </row>
    <row r="2" spans="1:18" ht="15" x14ac:dyDescent="0.2">
      <c r="A2" s="2233" t="s">
        <v>552</v>
      </c>
      <c r="B2" s="2233"/>
      <c r="C2" s="2233"/>
      <c r="D2" s="2233"/>
      <c r="E2" s="2233"/>
      <c r="F2" s="2233"/>
      <c r="G2" s="2233"/>
      <c r="H2" s="2233"/>
      <c r="I2" s="2233"/>
      <c r="J2" s="2233"/>
      <c r="K2" s="2233"/>
      <c r="L2" s="2233"/>
      <c r="M2" s="2233"/>
      <c r="N2" s="2233"/>
      <c r="O2" s="2233"/>
      <c r="P2" s="2233"/>
      <c r="Q2" s="2233"/>
      <c r="R2" s="2233"/>
    </row>
    <row r="3" spans="1:18" ht="12.75" x14ac:dyDescent="0.2">
      <c r="A3" s="2234" t="s">
        <v>1396</v>
      </c>
      <c r="B3" s="2234"/>
      <c r="C3" s="2234"/>
      <c r="D3" s="2234"/>
      <c r="E3" s="2234"/>
      <c r="F3" s="2234"/>
      <c r="G3" s="2234"/>
      <c r="H3" s="2234"/>
      <c r="I3" s="2234"/>
      <c r="J3" s="2234"/>
      <c r="K3" s="2234"/>
      <c r="L3" s="2234"/>
      <c r="M3" s="2234"/>
      <c r="N3" s="2234"/>
      <c r="O3" s="2234"/>
      <c r="P3" s="2234"/>
      <c r="Q3" s="2234"/>
      <c r="R3" s="2234"/>
    </row>
    <row r="4" spans="1:18" x14ac:dyDescent="0.2">
      <c r="A4" s="2235" t="s">
        <v>1537</v>
      </c>
      <c r="B4" s="2235"/>
      <c r="C4" s="2235"/>
      <c r="D4" s="2235"/>
      <c r="E4" s="2235"/>
      <c r="F4" s="2235"/>
      <c r="G4" s="2235"/>
      <c r="H4" s="2235"/>
      <c r="I4" s="2235"/>
      <c r="J4" s="2235"/>
      <c r="K4" s="2235"/>
      <c r="L4" s="2235"/>
      <c r="M4" s="2235"/>
      <c r="N4" s="2235"/>
      <c r="O4" s="2235"/>
      <c r="P4" s="2235"/>
      <c r="Q4" s="2235"/>
      <c r="R4" s="223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McHenry CCSD 15</v>
      </c>
      <c r="E7" s="368"/>
      <c r="G7" s="247"/>
      <c r="H7" s="364"/>
      <c r="I7" s="364"/>
      <c r="J7" s="364"/>
      <c r="K7" s="364"/>
      <c r="L7" s="307"/>
      <c r="M7" s="307"/>
      <c r="N7" s="307"/>
      <c r="O7" s="307"/>
      <c r="P7" s="307"/>
    </row>
    <row r="8" spans="1:18" ht="12.75" x14ac:dyDescent="0.2">
      <c r="A8" s="307"/>
      <c r="B8" s="307"/>
      <c r="C8" s="366" t="s">
        <v>1115</v>
      </c>
      <c r="D8" s="369">
        <f>COVER!A13</f>
        <v>44063015004</v>
      </c>
      <c r="E8" s="370"/>
      <c r="G8" s="307"/>
      <c r="H8" s="307"/>
      <c r="I8" s="307"/>
      <c r="J8" s="307"/>
      <c r="K8" s="307"/>
      <c r="L8" s="307"/>
      <c r="M8" s="307"/>
      <c r="N8" s="307"/>
      <c r="O8" s="307"/>
      <c r="P8" s="307"/>
    </row>
    <row r="9" spans="1:18" ht="12.75" x14ac:dyDescent="0.2">
      <c r="A9" s="307"/>
      <c r="B9" s="307"/>
      <c r="C9" s="366" t="s">
        <v>708</v>
      </c>
      <c r="D9" s="371" t="str">
        <f>COVER!A15</f>
        <v>McHenry/Lake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4" t="str">
        <f>IF(K12&gt;0.24999,"4",IF(K12&gt;0.09999,"3",IF(K12&gt;=0,"2",1)))</f>
        <v>4</v>
      </c>
      <c r="P11" s="211"/>
      <c r="Q11" s="211"/>
    </row>
    <row r="12" spans="1:18" s="382" customFormat="1" ht="11.25" x14ac:dyDescent="0.2">
      <c r="A12" s="213"/>
      <c r="B12" s="377"/>
      <c r="C12" s="213" t="s">
        <v>1349</v>
      </c>
      <c r="D12" s="213"/>
      <c r="E12" s="213"/>
      <c r="F12" s="213" t="s">
        <v>1082</v>
      </c>
      <c r="G12" s="378"/>
      <c r="H12" s="1544">
        <f>SUM('Acct Summary 7-8'!C81+'Acct Summary 7-8'!D81+'Acct Summary 7-8'!F81+'Acct Summary 7-8'!I81+IF('Acct Summary 7-8'!G81&lt;0,'Acct Summary 7-8'!G81,"0")+IF('Acct Summary 7-8'!J81&lt;0,'Acct Summary 7-8'!J81,"0"))</f>
        <v>58819611</v>
      </c>
      <c r="I12" s="380"/>
      <c r="J12" s="380"/>
      <c r="K12" s="1552">
        <f>TRUNC((H12/H13*100000),5)/100000</f>
        <v>0.91656886819999994</v>
      </c>
      <c r="L12" s="381"/>
      <c r="M12" s="337" t="s">
        <v>1134</v>
      </c>
      <c r="N12" s="337"/>
      <c r="O12" s="1555">
        <v>0.35</v>
      </c>
      <c r="P12" s="213"/>
      <c r="Q12" s="213"/>
    </row>
    <row r="13" spans="1:18" s="382" customFormat="1" ht="12.75" x14ac:dyDescent="0.2">
      <c r="A13" s="213"/>
      <c r="B13" s="377"/>
      <c r="C13" s="2231" t="s">
        <v>1313</v>
      </c>
      <c r="D13" s="2232"/>
      <c r="E13" s="213"/>
      <c r="F13" s="383" t="s">
        <v>788</v>
      </c>
      <c r="G13" s="378"/>
      <c r="H13" s="1544">
        <f>SUM('Acct Summary 7-8'!C8+'Acct Summary 7-8'!D8+'Acct Summary 7-8'!F8+'Acct Summary 7-8'!I8)+H14</f>
        <v>64173695</v>
      </c>
      <c r="I13" s="380"/>
      <c r="J13" s="380"/>
      <c r="K13" s="1551"/>
      <c r="L13" s="213"/>
      <c r="M13" s="337" t="s">
        <v>1135</v>
      </c>
      <c r="N13" s="337"/>
      <c r="O13" s="1556">
        <f>(O11*O12)</f>
        <v>1.4</v>
      </c>
      <c r="P13" s="213"/>
      <c r="Q13" s="213"/>
      <c r="R13" s="385"/>
    </row>
    <row r="14" spans="1:18" s="382" customFormat="1" ht="12.75" x14ac:dyDescent="0.2">
      <c r="A14" s="213"/>
      <c r="B14" s="377"/>
      <c r="C14" s="235" t="s">
        <v>1380</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1394</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1136</v>
      </c>
      <c r="D16" s="211"/>
      <c r="E16" s="211"/>
      <c r="F16" s="211"/>
      <c r="G16" s="211"/>
      <c r="H16" s="1546" t="s">
        <v>155</v>
      </c>
      <c r="I16" s="314"/>
      <c r="J16" s="314"/>
      <c r="K16" s="1553" t="s">
        <v>1132</v>
      </c>
      <c r="L16" s="314"/>
      <c r="M16" s="314" t="s">
        <v>1133</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59040908</v>
      </c>
      <c r="I17" s="380"/>
      <c r="J17" s="389"/>
      <c r="K17" s="1552">
        <f>TRUNC((H17/H18*100000),5)/100000</f>
        <v>0.92001727490000007</v>
      </c>
      <c r="L17" s="381"/>
      <c r="M17" s="390" t="s">
        <v>1161</v>
      </c>
      <c r="O17" s="1558" t="str">
        <f>IF(AND(O16="2", J20 &gt; 2),"1",IF(AND(O16 = "1", J20 &gt; 2),"2",IF(AND(O16="1", J20 &gt;1),"1","0")))</f>
        <v>0</v>
      </c>
      <c r="P17" s="213"/>
    </row>
    <row r="18" spans="1:18" s="382" customFormat="1" ht="11.25" x14ac:dyDescent="0.2">
      <c r="A18" s="213"/>
      <c r="B18" s="377"/>
      <c r="C18" s="2231" t="s">
        <v>1306</v>
      </c>
      <c r="D18" s="2232"/>
      <c r="E18" s="213"/>
      <c r="F18" s="391" t="s">
        <v>789</v>
      </c>
      <c r="G18" s="378"/>
      <c r="H18" s="1544">
        <f>SUM('Acct Summary 7-8'!C8+'Acct Summary 7-8'!D8+'Acct Summary 7-8'!F8+'Acct Summary 7-8'!I8)+H19</f>
        <v>64173695</v>
      </c>
      <c r="I18" s="380"/>
      <c r="J18" s="380"/>
      <c r="K18" s="1551"/>
      <c r="L18" s="213"/>
      <c r="M18" s="337" t="s">
        <v>1134</v>
      </c>
      <c r="N18" s="337"/>
      <c r="O18" s="1551">
        <v>0.35</v>
      </c>
      <c r="P18" s="213"/>
    </row>
    <row r="19" spans="1:18" s="382" customFormat="1" ht="11.25" x14ac:dyDescent="0.2">
      <c r="A19" s="213"/>
      <c r="B19" s="377"/>
      <c r="C19" s="235" t="s">
        <v>1380</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1394</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1135</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1137</v>
      </c>
      <c r="D23" s="211"/>
      <c r="E23" s="211"/>
      <c r="F23" s="211"/>
      <c r="G23" s="211"/>
      <c r="H23" s="1546" t="s">
        <v>155</v>
      </c>
      <c r="I23" s="314"/>
      <c r="J23" s="314"/>
      <c r="K23" s="1553" t="s">
        <v>1138</v>
      </c>
      <c r="L23" s="314"/>
      <c r="M23" s="314" t="s">
        <v>1133</v>
      </c>
      <c r="N23" s="314"/>
      <c r="O23" s="1554" t="str">
        <f>IF(K24&gt;=180,"4",IF(K24&gt;=90,"3",IF(K24&gt;=30,"2",1)))</f>
        <v>4</v>
      </c>
      <c r="P23" s="211"/>
      <c r="R23" s="361"/>
    </row>
    <row r="24" spans="1:18" s="382" customFormat="1" ht="11.25" x14ac:dyDescent="0.2">
      <c r="A24" s="213"/>
      <c r="B24" s="377"/>
      <c r="C24" s="2228" t="s">
        <v>1395</v>
      </c>
      <c r="D24" s="2228"/>
      <c r="E24" s="213"/>
      <c r="F24" s="213" t="s">
        <v>442</v>
      </c>
      <c r="G24" s="378"/>
      <c r="H24" s="1544">
        <f>SUM('Assets-Liab 5-6'!C4+'Assets-Liab 5-6'!D4+'Assets-Liab 5-6'!F4+'Assets-Liab 5-6'!I4+'Assets-Liab 5-6'!C5+'Assets-Liab 5-6'!D5+'Assets-Liab 5-6'!F5+'Assets-Liab 5-6'!I5)</f>
        <v>58816399</v>
      </c>
      <c r="I24" s="394"/>
      <c r="J24" s="394"/>
      <c r="K24" s="1548">
        <f>TRUNC(((H24/H25*100000)/100000),2)</f>
        <v>358.63</v>
      </c>
      <c r="L24" s="395"/>
      <c r="M24" s="337" t="s">
        <v>1134</v>
      </c>
      <c r="N24" s="337"/>
      <c r="O24" s="1556">
        <v>0.1</v>
      </c>
      <c r="P24" s="213"/>
    </row>
    <row r="25" spans="1:18" s="382" customFormat="1" ht="12.75" x14ac:dyDescent="0.2">
      <c r="A25" s="213"/>
      <c r="B25" s="377"/>
      <c r="C25" s="213" t="s">
        <v>793</v>
      </c>
      <c r="D25" s="213"/>
      <c r="E25" s="213"/>
      <c r="F25" s="213" t="s">
        <v>443</v>
      </c>
      <c r="G25" s="378"/>
      <c r="H25" s="1548">
        <f>ROUND((H17/360),5)</f>
        <v>164002.52222000001</v>
      </c>
      <c r="I25" s="396"/>
      <c r="J25" s="396"/>
      <c r="K25" s="1551"/>
      <c r="L25" s="213"/>
      <c r="M25" s="337" t="s">
        <v>1135</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1133</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1134</v>
      </c>
      <c r="N28" s="337"/>
      <c r="O28" s="1560">
        <v>0.1</v>
      </c>
      <c r="P28" s="213"/>
    </row>
    <row r="29" spans="1:18" s="382" customFormat="1" ht="11.25" x14ac:dyDescent="0.2">
      <c r="A29" s="213"/>
      <c r="B29" s="377"/>
      <c r="C29" s="213" t="s">
        <v>791</v>
      </c>
      <c r="D29" s="213"/>
      <c r="E29" s="213"/>
      <c r="F29" s="213" t="s">
        <v>795</v>
      </c>
      <c r="G29" s="378"/>
      <c r="H29" s="1550">
        <f>ROUND((0.85*'FP Info 3'!J7*'FP Info 3'!J10),5)</f>
        <v>39916867.126649998</v>
      </c>
      <c r="I29" s="397"/>
      <c r="J29" s="397"/>
      <c r="K29" s="1551"/>
      <c r="L29" s="213"/>
      <c r="M29" s="337" t="s">
        <v>1135</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1133</v>
      </c>
      <c r="N31" s="314"/>
      <c r="O31" s="1554" t="str">
        <f>IF(K32&gt;=75,"4",IF(K32&gt;=50,"3",IF(K32&gt;=25,"2",1)))</f>
        <v>4</v>
      </c>
      <c r="P31" s="211"/>
    </row>
    <row r="32" spans="1:18" s="382" customFormat="1" ht="11.25" x14ac:dyDescent="0.2">
      <c r="A32" s="213"/>
      <c r="B32" s="377"/>
      <c r="C32" s="213" t="s">
        <v>842</v>
      </c>
      <c r="D32" s="213"/>
      <c r="E32" s="213"/>
      <c r="F32" s="213"/>
      <c r="G32" s="378"/>
      <c r="H32" s="1544">
        <f>'FP Info 3'!H37</f>
        <v>0</v>
      </c>
      <c r="I32" s="392"/>
      <c r="J32" s="392"/>
      <c r="K32" s="1548">
        <f>TRUNC(100-((((H32/H33*100))*100)/100),2)</f>
        <v>100</v>
      </c>
      <c r="L32" s="381"/>
      <c r="M32" s="337" t="s">
        <v>1134</v>
      </c>
      <c r="N32" s="337"/>
      <c r="O32" s="1561">
        <v>0.1</v>
      </c>
    </row>
    <row r="33" spans="1:17" s="382" customFormat="1" ht="11.25" x14ac:dyDescent="0.2">
      <c r="A33" s="213"/>
      <c r="B33" s="377"/>
      <c r="C33" s="213" t="s">
        <v>794</v>
      </c>
      <c r="D33" s="213"/>
      <c r="E33" s="213"/>
      <c r="F33" s="213"/>
      <c r="G33" s="378"/>
      <c r="H33" s="379">
        <f>IF('FP Info 3'!H31="Enter X in a or b"," ",'FP Info 3'!H31)</f>
        <v>76063624.185000002</v>
      </c>
      <c r="I33" s="392"/>
      <c r="J33" s="392"/>
      <c r="K33" s="379"/>
      <c r="L33" s="213"/>
      <c r="M33" s="401" t="s">
        <v>1135</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5" zoomScaleNormal="85" workbookViewId="0">
      <pane ySplit="2" topLeftCell="A3" activePane="bottomLeft" state="frozen"/>
      <selection activeCell="A19" sqref="A19:H19"/>
      <selection pane="bottomLeft" activeCell="A19" sqref="A19:H1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8" t="s">
        <v>967</v>
      </c>
      <c r="B3" s="2239"/>
      <c r="C3" s="1299"/>
      <c r="D3" s="1300"/>
      <c r="E3" s="1300"/>
      <c r="F3" s="1300"/>
      <c r="G3" s="1300"/>
      <c r="H3" s="1300"/>
      <c r="I3" s="1300"/>
      <c r="J3" s="1300"/>
      <c r="K3" s="1300"/>
      <c r="L3" s="1300"/>
      <c r="M3" s="1301"/>
      <c r="N3" s="1302"/>
    </row>
    <row r="4" spans="1:14" ht="13.5" customHeight="1" x14ac:dyDescent="0.2">
      <c r="A4" s="427" t="s">
        <v>1632</v>
      </c>
      <c r="B4" s="428"/>
      <c r="C4" s="1912">
        <v>31740948</v>
      </c>
      <c r="D4" s="1907">
        <v>6739955</v>
      </c>
      <c r="E4" s="1907">
        <v>264010</v>
      </c>
      <c r="F4" s="1907">
        <v>5602507</v>
      </c>
      <c r="G4" s="1907">
        <v>1071328</v>
      </c>
      <c r="H4" s="1907">
        <v>889178</v>
      </c>
      <c r="I4" s="1907">
        <v>1905105</v>
      </c>
      <c r="J4" s="1908">
        <v>526541</v>
      </c>
      <c r="K4" s="1913">
        <v>125509</v>
      </c>
      <c r="L4" s="1906">
        <v>53368</v>
      </c>
      <c r="M4" s="1567"/>
      <c r="N4" s="1568"/>
    </row>
    <row r="5" spans="1:14" x14ac:dyDescent="0.2">
      <c r="A5" s="427" t="s">
        <v>985</v>
      </c>
      <c r="B5" s="429">
        <v>120</v>
      </c>
      <c r="C5" s="1912">
        <v>7354039</v>
      </c>
      <c r="D5" s="1907">
        <v>1245845</v>
      </c>
      <c r="E5" s="1907">
        <v>850578</v>
      </c>
      <c r="F5" s="1907">
        <v>1537426</v>
      </c>
      <c r="G5" s="1907">
        <v>0</v>
      </c>
      <c r="H5" s="1907">
        <v>0</v>
      </c>
      <c r="I5" s="1907">
        <v>2690574</v>
      </c>
      <c r="J5" s="1908">
        <v>0</v>
      </c>
      <c r="K5" s="1913">
        <v>0</v>
      </c>
      <c r="L5" s="1570"/>
      <c r="M5" s="1567"/>
      <c r="N5" s="1568"/>
    </row>
    <row r="6" spans="1:14" ht="13.5" customHeight="1" x14ac:dyDescent="0.2">
      <c r="A6" s="430" t="s">
        <v>414</v>
      </c>
      <c r="B6" s="429">
        <v>130</v>
      </c>
      <c r="C6" s="1912">
        <v>0</v>
      </c>
      <c r="D6" s="1907">
        <v>0</v>
      </c>
      <c r="E6" s="1907">
        <v>0</v>
      </c>
      <c r="F6" s="1907">
        <v>0</v>
      </c>
      <c r="G6" s="1913">
        <v>0</v>
      </c>
      <c r="H6" s="1913">
        <v>0</v>
      </c>
      <c r="I6" s="1907">
        <v>0</v>
      </c>
      <c r="J6" s="1914">
        <v>0</v>
      </c>
      <c r="K6" s="1913">
        <v>0</v>
      </c>
      <c r="L6" s="1572"/>
      <c r="M6" s="1567"/>
      <c r="N6" s="1568"/>
    </row>
    <row r="7" spans="1:14" ht="13.5" customHeight="1" x14ac:dyDescent="0.2">
      <c r="A7" s="430" t="s">
        <v>415</v>
      </c>
      <c r="B7" s="429">
        <v>140</v>
      </c>
      <c r="C7" s="1915">
        <v>0</v>
      </c>
      <c r="D7" s="1908">
        <v>0</v>
      </c>
      <c r="E7" s="1915">
        <v>0</v>
      </c>
      <c r="F7" s="1908">
        <v>0</v>
      </c>
      <c r="G7" s="1908">
        <v>0</v>
      </c>
      <c r="H7" s="1908">
        <v>0</v>
      </c>
      <c r="I7" s="1908">
        <v>0</v>
      </c>
      <c r="J7" s="1908">
        <v>0</v>
      </c>
      <c r="K7" s="1908">
        <v>0</v>
      </c>
      <c r="L7" s="1573"/>
      <c r="M7" s="1567"/>
      <c r="N7" s="1568"/>
    </row>
    <row r="8" spans="1:14" ht="13.5" customHeight="1" x14ac:dyDescent="0.2">
      <c r="A8" s="430" t="s">
        <v>267</v>
      </c>
      <c r="B8" s="429">
        <v>150</v>
      </c>
      <c r="C8" s="1915">
        <v>0</v>
      </c>
      <c r="D8" s="1908">
        <v>0</v>
      </c>
      <c r="E8" s="1915">
        <v>0</v>
      </c>
      <c r="F8" s="1908">
        <v>0</v>
      </c>
      <c r="G8" s="1909">
        <v>0</v>
      </c>
      <c r="H8" s="1908">
        <v>0</v>
      </c>
      <c r="I8" s="1914">
        <v>0</v>
      </c>
      <c r="J8" s="1914">
        <v>0</v>
      </c>
      <c r="K8" s="1910">
        <v>0</v>
      </c>
      <c r="L8" s="1576"/>
      <c r="M8" s="1567"/>
      <c r="N8" s="1568"/>
    </row>
    <row r="9" spans="1:14" ht="13.5" customHeight="1" x14ac:dyDescent="0.2">
      <c r="A9" s="430" t="s">
        <v>268</v>
      </c>
      <c r="B9" s="429">
        <v>160</v>
      </c>
      <c r="C9" s="1915">
        <v>0</v>
      </c>
      <c r="D9" s="1908">
        <v>0</v>
      </c>
      <c r="E9" s="1915">
        <v>0</v>
      </c>
      <c r="F9" s="1908">
        <v>0</v>
      </c>
      <c r="G9" s="1908">
        <v>0</v>
      </c>
      <c r="H9" s="1909">
        <v>0</v>
      </c>
      <c r="I9" s="1908">
        <v>0</v>
      </c>
      <c r="J9" s="1908">
        <v>0</v>
      </c>
      <c r="K9" s="1908">
        <v>0</v>
      </c>
      <c r="L9" s="1566"/>
      <c r="M9" s="1567"/>
      <c r="N9" s="1568"/>
    </row>
    <row r="10" spans="1:14" ht="13.5" customHeight="1" x14ac:dyDescent="0.2">
      <c r="A10" s="430" t="s">
        <v>984</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0</v>
      </c>
      <c r="D11" s="1908">
        <v>0</v>
      </c>
      <c r="E11" s="1908">
        <v>0</v>
      </c>
      <c r="F11" s="1908">
        <v>0</v>
      </c>
      <c r="G11" s="1908">
        <v>0</v>
      </c>
      <c r="H11" s="1908">
        <v>0</v>
      </c>
      <c r="I11" s="1909">
        <v>0</v>
      </c>
      <c r="J11" s="1909">
        <v>0</v>
      </c>
      <c r="K11" s="1908">
        <v>0</v>
      </c>
      <c r="L11" s="1566"/>
      <c r="M11" s="1568"/>
      <c r="N11" s="1568"/>
    </row>
    <row r="12" spans="1:14" ht="13.5" customHeight="1" x14ac:dyDescent="0.2">
      <c r="A12" s="430" t="s">
        <v>416</v>
      </c>
      <c r="B12" s="429">
        <v>190</v>
      </c>
      <c r="C12" s="1912">
        <v>3212</v>
      </c>
      <c r="D12" s="1907">
        <v>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39098199</v>
      </c>
      <c r="D13" s="1578">
        <f t="shared" ref="D13:L13" si="0">SUM(D4:D12)</f>
        <v>7985800</v>
      </c>
      <c r="E13" s="1578">
        <f t="shared" si="0"/>
        <v>1114588</v>
      </c>
      <c r="F13" s="1578">
        <f t="shared" si="0"/>
        <v>7139933</v>
      </c>
      <c r="G13" s="1578">
        <f t="shared" si="0"/>
        <v>1071328</v>
      </c>
      <c r="H13" s="1578">
        <f t="shared" si="0"/>
        <v>889178</v>
      </c>
      <c r="I13" s="1578">
        <f t="shared" si="0"/>
        <v>4595679</v>
      </c>
      <c r="J13" s="1578">
        <f t="shared" si="0"/>
        <v>526541</v>
      </c>
      <c r="K13" s="1578">
        <f t="shared" si="0"/>
        <v>125509</v>
      </c>
      <c r="L13" s="1578">
        <f t="shared" si="0"/>
        <v>53368</v>
      </c>
      <c r="M13" s="1567"/>
      <c r="N13" s="1568"/>
    </row>
    <row r="14" spans="1:14" ht="18" customHeight="1" thickTop="1" x14ac:dyDescent="0.2">
      <c r="A14" s="2240" t="s">
        <v>146</v>
      </c>
      <c r="B14" s="2241"/>
      <c r="C14" s="1579"/>
      <c r="D14" s="1580"/>
      <c r="E14" s="1580"/>
      <c r="F14" s="1580"/>
      <c r="G14" s="1580"/>
      <c r="H14" s="1580"/>
      <c r="I14" s="1580"/>
      <c r="J14" s="1580"/>
      <c r="K14" s="1580"/>
      <c r="L14" s="1580"/>
      <c r="M14" s="1581"/>
      <c r="N14" s="1582"/>
    </row>
    <row r="15" spans="1:14" s="433" customFormat="1" ht="12.75" customHeight="1" x14ac:dyDescent="0.2">
      <c r="A15" s="431" t="s">
        <v>1384</v>
      </c>
      <c r="B15" s="432">
        <v>210</v>
      </c>
      <c r="C15" s="1573"/>
      <c r="D15" s="1573"/>
      <c r="E15" s="1573"/>
      <c r="F15" s="1573"/>
      <c r="G15" s="1573"/>
      <c r="H15" s="1573"/>
      <c r="I15" s="1573"/>
      <c r="J15" s="1573"/>
      <c r="K15" s="1573"/>
      <c r="L15" s="1573"/>
      <c r="M15" s="1574"/>
      <c r="N15" s="1583"/>
    </row>
    <row r="16" spans="1:14" s="433" customFormat="1" ht="12.75" customHeight="1" x14ac:dyDescent="0.2">
      <c r="A16" s="431" t="s">
        <v>1385</v>
      </c>
      <c r="B16" s="432">
        <v>220</v>
      </c>
      <c r="C16" s="1573"/>
      <c r="D16" s="1573"/>
      <c r="E16" s="1573"/>
      <c r="F16" s="1573"/>
      <c r="G16" s="1573"/>
      <c r="H16" s="1573"/>
      <c r="I16" s="1573"/>
      <c r="J16" s="1573"/>
      <c r="K16" s="1573"/>
      <c r="L16" s="1573"/>
      <c r="M16" s="1566">
        <v>1262074</v>
      </c>
      <c r="N16" s="1583"/>
    </row>
    <row r="17" spans="1:14" s="433" customFormat="1" ht="12.75" customHeight="1" x14ac:dyDescent="0.2">
      <c r="A17" s="431" t="s">
        <v>1386</v>
      </c>
      <c r="B17" s="432">
        <v>230</v>
      </c>
      <c r="C17" s="1573"/>
      <c r="D17" s="1573"/>
      <c r="E17" s="1573"/>
      <c r="F17" s="1573"/>
      <c r="G17" s="1573"/>
      <c r="H17" s="1573"/>
      <c r="I17" s="1573"/>
      <c r="J17" s="1573"/>
      <c r="K17" s="1573"/>
      <c r="L17" s="1573"/>
      <c r="M17" s="1566">
        <v>94243958</v>
      </c>
      <c r="N17" s="1583"/>
    </row>
    <row r="18" spans="1:14" s="433" customFormat="1" ht="12.75" customHeight="1" x14ac:dyDescent="0.2">
      <c r="A18" s="431" t="s">
        <v>1387</v>
      </c>
      <c r="B18" s="432">
        <v>240</v>
      </c>
      <c r="C18" s="1573"/>
      <c r="D18" s="1573"/>
      <c r="E18" s="1573"/>
      <c r="F18" s="1573"/>
      <c r="G18" s="1573"/>
      <c r="H18" s="1573"/>
      <c r="I18" s="1573"/>
      <c r="J18" s="1573"/>
      <c r="K18" s="1573"/>
      <c r="L18" s="1573"/>
      <c r="M18" s="1566">
        <v>2174474</v>
      </c>
      <c r="N18" s="1583"/>
    </row>
    <row r="19" spans="1:14" s="433" customFormat="1" ht="12.75" customHeight="1" x14ac:dyDescent="0.2">
      <c r="A19" s="431" t="s">
        <v>1388</v>
      </c>
      <c r="B19" s="432">
        <v>250</v>
      </c>
      <c r="C19" s="1573"/>
      <c r="D19" s="1573"/>
      <c r="E19" s="1573"/>
      <c r="F19" s="1573"/>
      <c r="G19" s="1573"/>
      <c r="H19" s="1573"/>
      <c r="I19" s="1573"/>
      <c r="J19" s="1573"/>
      <c r="K19" s="1573"/>
      <c r="L19" s="1573"/>
      <c r="M19" s="1566">
        <v>11924081</v>
      </c>
      <c r="N19" s="1583"/>
    </row>
    <row r="20" spans="1:14" s="433" customFormat="1" ht="12.75" customHeight="1" x14ac:dyDescent="0.2">
      <c r="A20" s="431" t="s">
        <v>1389</v>
      </c>
      <c r="B20" s="432">
        <v>260</v>
      </c>
      <c r="C20" s="1573"/>
      <c r="D20" s="1573"/>
      <c r="E20" s="1573"/>
      <c r="F20" s="1573"/>
      <c r="G20" s="1573"/>
      <c r="H20" s="1573"/>
      <c r="I20" s="1573"/>
      <c r="J20" s="1573"/>
      <c r="K20" s="1573"/>
      <c r="L20" s="1573"/>
      <c r="M20" s="1566">
        <v>0</v>
      </c>
      <c r="N20" s="1583"/>
    </row>
    <row r="21" spans="1:14" s="433" customFormat="1" ht="12.75" customHeight="1" x14ac:dyDescent="0.2">
      <c r="A21" s="431" t="s">
        <v>1390</v>
      </c>
      <c r="B21" s="432">
        <v>340</v>
      </c>
      <c r="C21" s="1573"/>
      <c r="D21" s="1573"/>
      <c r="E21" s="1573"/>
      <c r="F21" s="1573"/>
      <c r="G21" s="1573"/>
      <c r="H21" s="1573"/>
      <c r="I21" s="1573"/>
      <c r="J21" s="1573"/>
      <c r="K21" s="1573"/>
      <c r="L21" s="1573"/>
      <c r="M21" s="1584"/>
      <c r="N21" s="1566">
        <v>0</v>
      </c>
    </row>
    <row r="22" spans="1:14" s="433" customFormat="1" ht="12.75" customHeight="1" x14ac:dyDescent="0.2">
      <c r="A22" s="431" t="s">
        <v>1391</v>
      </c>
      <c r="B22" s="432">
        <v>350</v>
      </c>
      <c r="C22" s="1573"/>
      <c r="D22" s="1573"/>
      <c r="E22" s="1573"/>
      <c r="F22" s="1573"/>
      <c r="G22" s="1573"/>
      <c r="H22" s="1573"/>
      <c r="I22" s="1573"/>
      <c r="J22" s="1573"/>
      <c r="K22" s="1573"/>
      <c r="L22" s="1573"/>
      <c r="M22" s="1584"/>
      <c r="N22" s="1597">
        <f>'Short-Term Long-Term Debt 24'!J49</f>
        <v>0</v>
      </c>
    </row>
    <row r="23" spans="1:14" ht="13.5" customHeight="1" thickBot="1" x14ac:dyDescent="0.25">
      <c r="A23" s="1419" t="s">
        <v>638</v>
      </c>
      <c r="B23" s="1422"/>
      <c r="C23" s="1567"/>
      <c r="D23" s="1567"/>
      <c r="E23" s="1567"/>
      <c r="F23" s="1567"/>
      <c r="G23" s="1567"/>
      <c r="H23" s="1567"/>
      <c r="I23" s="1567"/>
      <c r="J23" s="1567"/>
      <c r="K23" s="1567"/>
      <c r="L23" s="1567"/>
      <c r="M23" s="1585">
        <f>SUM(M15:M22)</f>
        <v>109604587</v>
      </c>
      <c r="N23" s="1585">
        <f>SUM(N21:N22)</f>
        <v>0</v>
      </c>
    </row>
    <row r="24" spans="1:14" ht="18" customHeight="1" thickTop="1" x14ac:dyDescent="0.2">
      <c r="A24" s="2242" t="s">
        <v>594</v>
      </c>
      <c r="B24" s="2243"/>
      <c r="C24" s="1586"/>
      <c r="D24" s="1581"/>
      <c r="E24" s="1581"/>
      <c r="F24" s="1581"/>
      <c r="G24" s="1581"/>
      <c r="H24" s="1581"/>
      <c r="I24" s="1581"/>
      <c r="J24" s="1581"/>
      <c r="K24" s="1581"/>
      <c r="L24" s="1581"/>
      <c r="M24" s="1580"/>
      <c r="N24" s="1587"/>
    </row>
    <row r="25" spans="1:14" x14ac:dyDescent="0.2">
      <c r="A25" s="430" t="s">
        <v>640</v>
      </c>
      <c r="B25" s="429">
        <v>410</v>
      </c>
      <c r="C25" s="1909">
        <v>0</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0</v>
      </c>
      <c r="G26" s="1908">
        <v>0</v>
      </c>
      <c r="H26" s="1908">
        <v>0</v>
      </c>
      <c r="I26" s="1919">
        <v>0</v>
      </c>
      <c r="J26" s="1922">
        <v>0</v>
      </c>
      <c r="K26" s="1919">
        <v>0</v>
      </c>
      <c r="L26" s="1567"/>
      <c r="M26" s="1567"/>
      <c r="N26" s="1567"/>
    </row>
    <row r="27" spans="1:14" ht="13.5" customHeight="1" x14ac:dyDescent="0.2">
      <c r="A27" s="430" t="s">
        <v>642</v>
      </c>
      <c r="B27" s="429">
        <v>430</v>
      </c>
      <c r="C27" s="1908">
        <v>0</v>
      </c>
      <c r="D27" s="1908">
        <v>0</v>
      </c>
      <c r="E27" s="1908">
        <v>0</v>
      </c>
      <c r="F27" s="1908">
        <v>0</v>
      </c>
      <c r="G27" s="1908">
        <v>0</v>
      </c>
      <c r="H27" s="1908">
        <v>0</v>
      </c>
      <c r="I27" s="1919">
        <v>0</v>
      </c>
      <c r="J27" s="1919">
        <v>0</v>
      </c>
      <c r="K27" s="1919">
        <v>0</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0</v>
      </c>
      <c r="D30" s="1914">
        <v>0</v>
      </c>
      <c r="E30" s="1908">
        <v>0</v>
      </c>
      <c r="F30" s="1908">
        <v>0</v>
      </c>
      <c r="G30" s="1908">
        <v>0</v>
      </c>
      <c r="H30" s="1908">
        <v>0</v>
      </c>
      <c r="I30" s="1919">
        <v>0</v>
      </c>
      <c r="J30" s="1919">
        <v>0</v>
      </c>
      <c r="K30" s="1920">
        <v>0</v>
      </c>
      <c r="L30" s="1567"/>
      <c r="M30" s="1567"/>
      <c r="N30" s="1567"/>
    </row>
    <row r="31" spans="1:14" ht="13.5" customHeight="1" x14ac:dyDescent="0.2">
      <c r="A31" s="430" t="s">
        <v>646</v>
      </c>
      <c r="B31" s="429">
        <v>480</v>
      </c>
      <c r="C31" s="1907">
        <v>0</v>
      </c>
      <c r="D31" s="1908">
        <v>0</v>
      </c>
      <c r="E31" s="1908">
        <v>0</v>
      </c>
      <c r="F31" s="1907">
        <v>0</v>
      </c>
      <c r="G31" s="1908">
        <v>0</v>
      </c>
      <c r="H31" s="1908">
        <v>0</v>
      </c>
      <c r="I31" s="1919">
        <v>0</v>
      </c>
      <c r="J31" s="1919">
        <v>0</v>
      </c>
      <c r="K31" s="1919">
        <v>0</v>
      </c>
      <c r="L31" s="1567"/>
      <c r="M31" s="1567"/>
      <c r="N31" s="1567"/>
    </row>
    <row r="32" spans="1:14" ht="13.5" customHeight="1" x14ac:dyDescent="0.2">
      <c r="A32" s="434" t="s">
        <v>647</v>
      </c>
      <c r="B32" s="435">
        <v>490</v>
      </c>
      <c r="C32" s="1918">
        <v>0</v>
      </c>
      <c r="D32" s="1918">
        <v>0</v>
      </c>
      <c r="E32" s="1914">
        <v>0</v>
      </c>
      <c r="F32" s="1914">
        <v>0</v>
      </c>
      <c r="G32" s="1914">
        <v>0</v>
      </c>
      <c r="H32" s="1914">
        <v>0</v>
      </c>
      <c r="I32" s="1922">
        <v>0</v>
      </c>
      <c r="J32" s="1922">
        <v>0</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53368</v>
      </c>
      <c r="M33" s="1567"/>
      <c r="N33" s="1568"/>
    </row>
    <row r="34" spans="1:14" ht="13.5" customHeight="1" thickBot="1" x14ac:dyDescent="0.25">
      <c r="A34" s="1420" t="s">
        <v>649</v>
      </c>
      <c r="B34" s="1421"/>
      <c r="C34" s="1590">
        <f>SUM(C25:C33)</f>
        <v>0</v>
      </c>
      <c r="D34" s="1590">
        <f t="shared" ref="D34:K34" si="1">SUM(D25:D33)</f>
        <v>0</v>
      </c>
      <c r="E34" s="1590">
        <f t="shared" si="1"/>
        <v>0</v>
      </c>
      <c r="F34" s="1590">
        <f t="shared" si="1"/>
        <v>0</v>
      </c>
      <c r="G34" s="1590">
        <f t="shared" si="1"/>
        <v>0</v>
      </c>
      <c r="H34" s="1590">
        <f t="shared" si="1"/>
        <v>0</v>
      </c>
      <c r="I34" s="1590">
        <f t="shared" si="1"/>
        <v>0</v>
      </c>
      <c r="J34" s="1590">
        <f t="shared" si="1"/>
        <v>0</v>
      </c>
      <c r="K34" s="1590">
        <f t="shared" si="1"/>
        <v>0</v>
      </c>
      <c r="L34" s="1591">
        <f>SUM(L33)</f>
        <v>53368</v>
      </c>
      <c r="M34" s="1567"/>
      <c r="N34" s="1576"/>
    </row>
    <row r="35" spans="1:14" ht="18" customHeight="1" thickTop="1" x14ac:dyDescent="0.2">
      <c r="A35" s="2244" t="s">
        <v>526</v>
      </c>
      <c r="B35" s="2245"/>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0</v>
      </c>
    </row>
    <row r="37" spans="1:14" ht="13.5" thickBot="1" x14ac:dyDescent="0.25">
      <c r="A37" s="1419" t="s">
        <v>648</v>
      </c>
      <c r="B37" s="1422"/>
      <c r="C37" s="1573"/>
      <c r="D37" s="1573"/>
      <c r="E37" s="1573"/>
      <c r="F37" s="1573"/>
      <c r="G37" s="1573"/>
      <c r="H37" s="1573"/>
      <c r="I37" s="1573"/>
      <c r="J37" s="1573"/>
      <c r="K37" s="1573"/>
      <c r="L37" s="1576"/>
      <c r="M37" s="1567"/>
      <c r="N37" s="1585">
        <f>SUM(N36:N36)</f>
        <v>0</v>
      </c>
    </row>
    <row r="38" spans="1:14" s="307" customFormat="1" ht="13.5" customHeight="1" thickTop="1" x14ac:dyDescent="0.2">
      <c r="A38" s="438" t="s">
        <v>417</v>
      </c>
      <c r="B38" s="432">
        <v>714</v>
      </c>
      <c r="C38" s="1565">
        <v>0</v>
      </c>
      <c r="D38" s="1565"/>
      <c r="E38" s="1565"/>
      <c r="F38" s="1565"/>
      <c r="G38" s="1565"/>
      <c r="H38" s="1565"/>
      <c r="I38" s="1565"/>
      <c r="J38" s="1566"/>
      <c r="K38" s="1565"/>
      <c r="L38" s="1577"/>
      <c r="M38" s="1594"/>
      <c r="N38" s="1594"/>
    </row>
    <row r="39" spans="1:14" s="307" customFormat="1" ht="13.5" customHeight="1" x14ac:dyDescent="0.2">
      <c r="A39" s="438" t="s">
        <v>339</v>
      </c>
      <c r="B39" s="432">
        <v>730</v>
      </c>
      <c r="C39" s="1565">
        <v>39098199</v>
      </c>
      <c r="D39" s="1565">
        <v>7985800</v>
      </c>
      <c r="E39" s="1565">
        <v>1114588</v>
      </c>
      <c r="F39" s="1565">
        <v>7139933</v>
      </c>
      <c r="G39" s="1565">
        <v>1071328</v>
      </c>
      <c r="H39" s="1565">
        <v>889178</v>
      </c>
      <c r="I39" s="1565">
        <v>4595679</v>
      </c>
      <c r="J39" s="1566">
        <v>526541</v>
      </c>
      <c r="K39" s="1565">
        <v>125509</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109604587</v>
      </c>
      <c r="N40" s="1594"/>
    </row>
    <row r="41" spans="1:14" ht="13.5" customHeight="1" thickBot="1" x14ac:dyDescent="0.25">
      <c r="A41" s="1419" t="s">
        <v>650</v>
      </c>
      <c r="B41" s="1398"/>
      <c r="C41" s="1585">
        <f>(SUM(C34,C37,C38,C39))</f>
        <v>39098199</v>
      </c>
      <c r="D41" s="1585">
        <f t="shared" ref="D41:L41" si="2">SUM(D34,D37,D38:D39)</f>
        <v>7985800</v>
      </c>
      <c r="E41" s="1585">
        <f t="shared" si="2"/>
        <v>1114588</v>
      </c>
      <c r="F41" s="1585">
        <f t="shared" si="2"/>
        <v>7139933</v>
      </c>
      <c r="G41" s="1585">
        <f t="shared" si="2"/>
        <v>1071328</v>
      </c>
      <c r="H41" s="1585">
        <f t="shared" si="2"/>
        <v>889178</v>
      </c>
      <c r="I41" s="1585">
        <f t="shared" si="2"/>
        <v>4595679</v>
      </c>
      <c r="J41" s="1585">
        <f t="shared" si="2"/>
        <v>526541</v>
      </c>
      <c r="K41" s="1585">
        <f t="shared" si="2"/>
        <v>125509</v>
      </c>
      <c r="L41" s="1585">
        <f t="shared" si="2"/>
        <v>53368</v>
      </c>
      <c r="M41" s="1585">
        <f>SUM(M40)</f>
        <v>109604587</v>
      </c>
      <c r="N41" s="158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57" activePane="bottomLeft" state="frozen"/>
      <selection activeCell="A19" sqref="A19:H19"/>
      <selection pane="bottomLeft" activeCell="A19" sqref="A19:H1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6" t="s">
        <v>1165</v>
      </c>
      <c r="B3" s="2267"/>
      <c r="C3" s="1304"/>
      <c r="D3" s="1305"/>
      <c r="E3" s="1305"/>
      <c r="F3" s="1305"/>
      <c r="G3" s="1305"/>
      <c r="H3" s="1305"/>
      <c r="I3" s="1305"/>
      <c r="J3" s="1305"/>
      <c r="K3" s="1306"/>
      <c r="L3" s="446"/>
    </row>
    <row r="4" spans="1:13" ht="15.75" customHeight="1" x14ac:dyDescent="0.2">
      <c r="A4" s="1530" t="s">
        <v>1482</v>
      </c>
      <c r="B4" s="1531">
        <v>1000</v>
      </c>
      <c r="C4" s="1596">
        <f>'Revenues 9-14'!C109</f>
        <v>40855884</v>
      </c>
      <c r="D4" s="1596">
        <f>'Revenues 9-14'!D109</f>
        <v>5524594</v>
      </c>
      <c r="E4" s="1596">
        <f>'Revenues 9-14'!E109</f>
        <v>2850577</v>
      </c>
      <c r="F4" s="1596">
        <f>'Revenues 9-14'!F109</f>
        <v>3278048</v>
      </c>
      <c r="G4" s="1596">
        <f>'Revenues 9-14'!G109</f>
        <v>1845494</v>
      </c>
      <c r="H4" s="1596">
        <f>'Revenues 9-14'!H109</f>
        <v>240647</v>
      </c>
      <c r="I4" s="1596">
        <f>'Revenues 9-14'!I109</f>
        <v>560817</v>
      </c>
      <c r="J4" s="1596">
        <f>'Revenues 9-14'!J109</f>
        <v>507287</v>
      </c>
      <c r="K4" s="1596">
        <f>'Revenues 9-14'!K109</f>
        <v>13330</v>
      </c>
      <c r="L4" s="325"/>
    </row>
    <row r="5" spans="1:13" ht="15.75" customHeight="1" x14ac:dyDescent="0.2">
      <c r="A5" s="1307" t="s">
        <v>1483</v>
      </c>
      <c r="B5" s="1308">
        <v>2000</v>
      </c>
      <c r="C5" s="1597">
        <f>'Revenues 9-14'!C114</f>
        <v>0</v>
      </c>
      <c r="D5" s="1597">
        <f>'Revenues 9-14'!D114</f>
        <v>0</v>
      </c>
      <c r="E5" s="1598"/>
      <c r="F5" s="1597">
        <f>'Revenues 9-14'!F114</f>
        <v>0</v>
      </c>
      <c r="G5" s="1597">
        <f>'Revenues 9-14'!G114</f>
        <v>0</v>
      </c>
      <c r="H5" s="1599" t="s">
        <v>1159</v>
      </c>
      <c r="I5" s="1600" t="s">
        <v>1159</v>
      </c>
      <c r="J5" s="1601" t="s">
        <v>1159</v>
      </c>
      <c r="K5" s="1602" t="s">
        <v>1159</v>
      </c>
      <c r="L5" s="325"/>
    </row>
    <row r="6" spans="1:13" ht="15.75" customHeight="1" x14ac:dyDescent="0.2">
      <c r="A6" s="1307" t="s">
        <v>1484</v>
      </c>
      <c r="B6" s="1309">
        <v>3000</v>
      </c>
      <c r="C6" s="1597">
        <f>'Revenues 9-14'!C170</f>
        <v>8792497</v>
      </c>
      <c r="D6" s="1597">
        <f>'Revenues 9-14'!D170</f>
        <v>0</v>
      </c>
      <c r="E6" s="1597">
        <f>'Revenues 9-14'!E170</f>
        <v>0</v>
      </c>
      <c r="F6" s="1597">
        <f>'Revenues 9-14'!F170</f>
        <v>1564333</v>
      </c>
      <c r="G6" s="1597">
        <f>'Revenues 9-14'!G170</f>
        <v>0</v>
      </c>
      <c r="H6" s="1597">
        <f>'Revenues 9-14'!H170</f>
        <v>1250000</v>
      </c>
      <c r="I6" s="1597">
        <f>'Revenues 9-14'!I170</f>
        <v>0</v>
      </c>
      <c r="J6" s="1597">
        <f>'Revenues 9-14'!J170</f>
        <v>0</v>
      </c>
      <c r="K6" s="1597">
        <f>'Revenues 9-14'!K170</f>
        <v>0</v>
      </c>
      <c r="L6" s="325"/>
      <c r="M6" s="448"/>
    </row>
    <row r="7" spans="1:13" ht="15.75" customHeight="1" x14ac:dyDescent="0.2">
      <c r="A7" s="1307" t="s">
        <v>1485</v>
      </c>
      <c r="B7" s="1309">
        <v>4000</v>
      </c>
      <c r="C7" s="1597">
        <f>'Revenues 9-14'!C267</f>
        <v>3597522</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1162</v>
      </c>
      <c r="B8" s="1400"/>
      <c r="C8" s="1585">
        <f>SUM(C4:C7)</f>
        <v>53245903</v>
      </c>
      <c r="D8" s="1585">
        <f t="shared" ref="D8:K8" si="0">SUM(D4:D7)</f>
        <v>5524594</v>
      </c>
      <c r="E8" s="1585">
        <f t="shared" si="0"/>
        <v>2850577</v>
      </c>
      <c r="F8" s="1585">
        <f t="shared" si="0"/>
        <v>4842381</v>
      </c>
      <c r="G8" s="1585">
        <f t="shared" si="0"/>
        <v>1845494</v>
      </c>
      <c r="H8" s="1585">
        <f t="shared" si="0"/>
        <v>1490647</v>
      </c>
      <c r="I8" s="1585">
        <f t="shared" si="0"/>
        <v>560817</v>
      </c>
      <c r="J8" s="1585">
        <f t="shared" si="0"/>
        <v>507287</v>
      </c>
      <c r="K8" s="1585">
        <f t="shared" si="0"/>
        <v>13330</v>
      </c>
      <c r="L8" s="325"/>
    </row>
    <row r="9" spans="1:13" ht="15.75" thickTop="1" x14ac:dyDescent="0.2">
      <c r="A9" s="449" t="s">
        <v>1634</v>
      </c>
      <c r="B9" s="450">
        <v>3998</v>
      </c>
      <c r="C9" s="1577">
        <v>25408335</v>
      </c>
      <c r="D9" s="1603">
        <v>0</v>
      </c>
      <c r="E9" s="1577">
        <v>0</v>
      </c>
      <c r="F9" s="1577">
        <v>0</v>
      </c>
      <c r="G9" s="1604">
        <v>0</v>
      </c>
      <c r="H9" s="1577">
        <v>0</v>
      </c>
      <c r="I9" s="1599" t="s">
        <v>1159</v>
      </c>
      <c r="J9" s="1574">
        <v>0</v>
      </c>
      <c r="K9" s="1577">
        <v>0</v>
      </c>
      <c r="L9" s="325"/>
    </row>
    <row r="10" spans="1:13" s="452" customFormat="1" ht="13.5" thickBot="1" x14ac:dyDescent="0.25">
      <c r="A10" s="1419" t="s">
        <v>1163</v>
      </c>
      <c r="B10" s="1400"/>
      <c r="C10" s="1585">
        <f>SUM(C8:C9)</f>
        <v>78654238</v>
      </c>
      <c r="D10" s="1585">
        <f t="shared" ref="D10:K10" si="1">SUM(D8:D9)</f>
        <v>5524594</v>
      </c>
      <c r="E10" s="1585">
        <f t="shared" si="1"/>
        <v>2850577</v>
      </c>
      <c r="F10" s="1585">
        <f t="shared" si="1"/>
        <v>4842381</v>
      </c>
      <c r="G10" s="1585">
        <f t="shared" si="1"/>
        <v>1845494</v>
      </c>
      <c r="H10" s="1585">
        <f t="shared" si="1"/>
        <v>1490647</v>
      </c>
      <c r="I10" s="1585">
        <f t="shared" si="1"/>
        <v>560817</v>
      </c>
      <c r="J10" s="1585">
        <f t="shared" si="1"/>
        <v>507287</v>
      </c>
      <c r="K10" s="1585">
        <f t="shared" si="1"/>
        <v>13330</v>
      </c>
      <c r="L10" s="451"/>
    </row>
    <row r="11" spans="1:13" s="452" customFormat="1" ht="16.7" customHeight="1" thickTop="1" x14ac:dyDescent="0.2">
      <c r="A11" s="2240" t="s">
        <v>1166</v>
      </c>
      <c r="B11" s="2241"/>
      <c r="C11" s="1592"/>
      <c r="D11" s="1593"/>
      <c r="E11" s="1593"/>
      <c r="F11" s="1593"/>
      <c r="G11" s="1593"/>
      <c r="H11" s="1593"/>
      <c r="I11" s="1593"/>
      <c r="J11" s="1593"/>
      <c r="K11" s="1605"/>
      <c r="L11" s="451"/>
    </row>
    <row r="12" spans="1:13" ht="15.75" customHeight="1" x14ac:dyDescent="0.2">
      <c r="A12" s="1307" t="s">
        <v>453</v>
      </c>
      <c r="B12" s="1309">
        <v>1000</v>
      </c>
      <c r="C12" s="1596">
        <f>'Expenditures 15-22'!K33</f>
        <v>36641413</v>
      </c>
      <c r="D12" s="1606" t="s">
        <v>1159</v>
      </c>
      <c r="E12" s="1567" t="s">
        <v>1159</v>
      </c>
      <c r="F12" s="1567" t="s">
        <v>1159</v>
      </c>
      <c r="G12" s="1596">
        <f>'Expenditures 15-22'!K229</f>
        <v>784051</v>
      </c>
      <c r="H12" s="1607"/>
      <c r="I12" s="1567" t="s">
        <v>1159</v>
      </c>
      <c r="J12" s="1567" t="s">
        <v>1159</v>
      </c>
      <c r="K12" s="1607" t="s">
        <v>1159</v>
      </c>
      <c r="L12" s="325"/>
    </row>
    <row r="13" spans="1:13" ht="15.75" customHeight="1" x14ac:dyDescent="0.2">
      <c r="A13" s="1307" t="s">
        <v>454</v>
      </c>
      <c r="B13" s="1309">
        <v>2000</v>
      </c>
      <c r="C13" s="1597">
        <f>'Expenditures 15-22'!K74</f>
        <v>14301662</v>
      </c>
      <c r="D13" s="1597">
        <f>'Expenditures 15-22'!K129</f>
        <v>2456597</v>
      </c>
      <c r="E13" s="1568" t="s">
        <v>1159</v>
      </c>
      <c r="F13" s="1597">
        <f>'Expenditures 15-22'!K184</f>
        <v>4220426</v>
      </c>
      <c r="G13" s="1597">
        <f>'Expenditures 15-22'!K279</f>
        <v>1341037</v>
      </c>
      <c r="H13" s="1597">
        <f>'Expenditures 15-22'!K303</f>
        <v>5123768</v>
      </c>
      <c r="I13" s="1567" t="s">
        <v>1159</v>
      </c>
      <c r="J13" s="1597">
        <f>'Expenditures 15-22'!K330</f>
        <v>851768</v>
      </c>
      <c r="K13" s="1608">
        <f>'Expenditures 15-22'!K352</f>
        <v>0</v>
      </c>
      <c r="L13" s="325"/>
    </row>
    <row r="14" spans="1:13" ht="15.75" customHeight="1" x14ac:dyDescent="0.2">
      <c r="A14" s="1307" t="s">
        <v>446</v>
      </c>
      <c r="B14" s="1309">
        <v>3000</v>
      </c>
      <c r="C14" s="1597">
        <f>'Expenditures 15-22'!K75</f>
        <v>54117</v>
      </c>
      <c r="D14" s="1597">
        <f>'Expenditures 15-22'!K130</f>
        <v>0</v>
      </c>
      <c r="E14" s="1606" t="s">
        <v>1159</v>
      </c>
      <c r="F14" s="1597">
        <f>'Expenditures 15-22'!K185</f>
        <v>0</v>
      </c>
      <c r="G14" s="1597">
        <f>'Expenditures 15-22'!K280</f>
        <v>373</v>
      </c>
      <c r="H14" s="1602"/>
      <c r="I14" s="1567" t="s">
        <v>1159</v>
      </c>
      <c r="J14" s="1567" t="s">
        <v>1159</v>
      </c>
      <c r="K14" s="1602" t="s">
        <v>1159</v>
      </c>
      <c r="L14" s="325"/>
    </row>
    <row r="15" spans="1:13" ht="15.75" customHeight="1" x14ac:dyDescent="0.2">
      <c r="A15" s="1307" t="s">
        <v>107</v>
      </c>
      <c r="B15" s="1309">
        <v>4000</v>
      </c>
      <c r="C15" s="1597">
        <f>'Expenditures 15-22'!K102</f>
        <v>1366693</v>
      </c>
      <c r="D15" s="1597">
        <f>'Expenditures 15-22'!K139</f>
        <v>0</v>
      </c>
      <c r="E15" s="1597">
        <f>'Expenditures 15-22'!K160</f>
        <v>0</v>
      </c>
      <c r="F15" s="1597">
        <f>'Expenditures 15-22'!K196</f>
        <v>0</v>
      </c>
      <c r="G15" s="1597">
        <f>'Expenditures 15-22'!K285</f>
        <v>0</v>
      </c>
      <c r="H15" s="1597">
        <f>'Expenditures 15-22'!K310</f>
        <v>0</v>
      </c>
      <c r="I15" s="1567" t="s">
        <v>1159</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5618406</v>
      </c>
      <c r="F16" s="1597">
        <f>'Expenditures 15-22'!K208</f>
        <v>0</v>
      </c>
      <c r="G16" s="1597">
        <f>'Expenditures 15-22'!K293</f>
        <v>0</v>
      </c>
      <c r="H16" s="1610"/>
      <c r="I16" s="1567" t="s">
        <v>1159</v>
      </c>
      <c r="J16" s="1611">
        <f>'Expenditures 15-22'!K340</f>
        <v>0</v>
      </c>
      <c r="K16" s="1597">
        <f>'Expenditures 15-22'!K365</f>
        <v>0</v>
      </c>
      <c r="L16" s="325"/>
    </row>
    <row r="17" spans="1:12" ht="13.5" thickBot="1" x14ac:dyDescent="0.25">
      <c r="A17" s="1399" t="s">
        <v>48</v>
      </c>
      <c r="B17" s="1400"/>
      <c r="C17" s="1585">
        <f t="shared" ref="C17:H17" si="2">SUM(C12:C16)</f>
        <v>52363885</v>
      </c>
      <c r="D17" s="1585">
        <f t="shared" si="2"/>
        <v>2456597</v>
      </c>
      <c r="E17" s="1585">
        <f t="shared" si="2"/>
        <v>5618406</v>
      </c>
      <c r="F17" s="1585">
        <f t="shared" si="2"/>
        <v>4220426</v>
      </c>
      <c r="G17" s="1585">
        <f t="shared" si="2"/>
        <v>2125461</v>
      </c>
      <c r="H17" s="1585">
        <f t="shared" si="2"/>
        <v>5123768</v>
      </c>
      <c r="I17" s="1567"/>
      <c r="J17" s="1585">
        <f>SUM(J12:J16)</f>
        <v>851768</v>
      </c>
      <c r="K17" s="1585">
        <f>SUM(K12:K16)</f>
        <v>0</v>
      </c>
      <c r="L17" s="325"/>
    </row>
    <row r="18" spans="1:12" ht="15" customHeight="1" thickTop="1" x14ac:dyDescent="0.2">
      <c r="A18" s="1423" t="s">
        <v>1635</v>
      </c>
      <c r="B18" s="1424">
        <v>4180</v>
      </c>
      <c r="C18" s="1596">
        <f t="shared" ref="C18:H18" si="3">C9</f>
        <v>25408335</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77772220</v>
      </c>
      <c r="D19" s="1585">
        <f t="shared" si="4"/>
        <v>2456597</v>
      </c>
      <c r="E19" s="1585">
        <f t="shared" si="4"/>
        <v>5618406</v>
      </c>
      <c r="F19" s="1585">
        <f t="shared" si="4"/>
        <v>4220426</v>
      </c>
      <c r="G19" s="1585">
        <f t="shared" si="4"/>
        <v>2125461</v>
      </c>
      <c r="H19" s="1585">
        <f t="shared" si="4"/>
        <v>5123768</v>
      </c>
      <c r="I19" s="1567"/>
      <c r="J19" s="1585">
        <f>SUM(J17:J18)</f>
        <v>851768</v>
      </c>
      <c r="K19" s="1585">
        <f>SUM(K17:K18)</f>
        <v>0</v>
      </c>
      <c r="L19" s="325"/>
    </row>
    <row r="20" spans="1:12" ht="16.5" thickTop="1" thickBot="1" x14ac:dyDescent="0.25">
      <c r="A20" s="2256" t="s">
        <v>1636</v>
      </c>
      <c r="B20" s="2257"/>
      <c r="C20" s="1612">
        <f>C8-C17</f>
        <v>882018</v>
      </c>
      <c r="D20" s="1612">
        <f t="shared" ref="D20:K20" si="5">D8-D17</f>
        <v>3067997</v>
      </c>
      <c r="E20" s="1612">
        <f t="shared" si="5"/>
        <v>-2767829</v>
      </c>
      <c r="F20" s="1612">
        <f t="shared" si="5"/>
        <v>621955</v>
      </c>
      <c r="G20" s="1612">
        <f t="shared" si="5"/>
        <v>-279967</v>
      </c>
      <c r="H20" s="1612">
        <f t="shared" si="5"/>
        <v>-3633121</v>
      </c>
      <c r="I20" s="1612">
        <f t="shared" si="5"/>
        <v>560817</v>
      </c>
      <c r="J20" s="1612">
        <f t="shared" si="5"/>
        <v>-344481</v>
      </c>
      <c r="K20" s="1612">
        <f t="shared" si="5"/>
        <v>13330</v>
      </c>
      <c r="L20" s="325"/>
    </row>
    <row r="21" spans="1:12" ht="16.7" customHeight="1" thickTop="1" x14ac:dyDescent="0.2">
      <c r="A21" s="2268" t="s">
        <v>591</v>
      </c>
      <c r="B21" s="2269"/>
      <c r="C21" s="1592"/>
      <c r="D21" s="1593"/>
      <c r="E21" s="1593"/>
      <c r="F21" s="1593"/>
      <c r="G21" s="1593"/>
      <c r="H21" s="1593"/>
      <c r="I21" s="1593"/>
      <c r="J21" s="1593"/>
      <c r="K21" s="1605"/>
      <c r="L21" s="453"/>
    </row>
    <row r="22" spans="1:12" ht="15.75" customHeight="1" collapsed="1" x14ac:dyDescent="0.2">
      <c r="A22" s="2264" t="s">
        <v>592</v>
      </c>
      <c r="B22" s="2265"/>
      <c r="C22" s="1573"/>
      <c r="D22" s="1573"/>
      <c r="E22" s="1573"/>
      <c r="F22" s="1573"/>
      <c r="G22" s="1573"/>
      <c r="H22" s="1573"/>
      <c r="I22" s="1573"/>
      <c r="J22" s="1573"/>
      <c r="K22" s="1573"/>
      <c r="L22" s="325"/>
    </row>
    <row r="23" spans="1:12" s="433" customFormat="1" ht="15.75" customHeight="1" x14ac:dyDescent="0.2">
      <c r="A23" s="2260" t="s">
        <v>290</v>
      </c>
      <c r="B23" s="2261"/>
      <c r="C23" s="1576"/>
      <c r="D23" s="1573"/>
      <c r="E23" s="1573"/>
      <c r="F23" s="1573"/>
      <c r="G23" s="1573"/>
      <c r="H23" s="1573"/>
      <c r="I23" s="1573"/>
      <c r="J23" s="1573"/>
      <c r="K23" s="1573"/>
      <c r="L23" s="453"/>
    </row>
    <row r="24" spans="1:12" s="433" customFormat="1" ht="13.5" customHeight="1" x14ac:dyDescent="0.2">
      <c r="A24" s="1253" t="s">
        <v>1637</v>
      </c>
      <c r="B24" s="454">
        <v>7110</v>
      </c>
      <c r="C24" s="1566"/>
      <c r="D24" s="1573"/>
      <c r="E24" s="1573"/>
      <c r="F24" s="1573"/>
      <c r="G24" s="1573"/>
      <c r="H24" s="1573"/>
      <c r="I24" s="1573"/>
      <c r="J24" s="1573"/>
      <c r="K24" s="1573"/>
      <c r="L24" s="453"/>
    </row>
    <row r="25" spans="1:12" s="433" customFormat="1" ht="13.5" customHeight="1" x14ac:dyDescent="0.2">
      <c r="A25" s="1253" t="s">
        <v>1638</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2000000</v>
      </c>
      <c r="E27" s="1613"/>
      <c r="F27" s="1566">
        <v>0</v>
      </c>
      <c r="G27" s="1576"/>
      <c r="H27" s="1576"/>
      <c r="I27" s="1576"/>
      <c r="J27" s="1576"/>
      <c r="K27" s="1576"/>
      <c r="L27" s="453"/>
    </row>
    <row r="28" spans="1:12" s="433" customFormat="1" ht="13.5" customHeight="1" x14ac:dyDescent="0.2">
      <c r="A28" s="1253" t="s">
        <v>1381</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62" t="s">
        <v>974</v>
      </c>
      <c r="B32" s="2263"/>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994</v>
      </c>
      <c r="B34" s="454">
        <v>7220</v>
      </c>
      <c r="C34" s="1566">
        <v>0</v>
      </c>
      <c r="D34" s="1566">
        <v>0</v>
      </c>
      <c r="E34" s="1566">
        <v>0</v>
      </c>
      <c r="F34" s="1566">
        <v>0</v>
      </c>
      <c r="G34" s="1573"/>
      <c r="H34" s="1574">
        <v>0</v>
      </c>
      <c r="I34" s="1574">
        <v>0</v>
      </c>
      <c r="J34" s="1574">
        <v>0</v>
      </c>
      <c r="K34" s="1574">
        <v>0</v>
      </c>
      <c r="L34" s="453"/>
    </row>
    <row r="35" spans="1:12" s="433" customFormat="1" x14ac:dyDescent="0.2">
      <c r="A35" s="1253" t="s">
        <v>983</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1639</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4000000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70" t="s">
        <v>371</v>
      </c>
      <c r="B44" s="2271"/>
      <c r="C44" s="1614">
        <f>SUM(C24:C43)</f>
        <v>0</v>
      </c>
      <c r="D44" s="1614">
        <f t="shared" ref="D44:K44" si="6">SUM(D24:D43)</f>
        <v>2000000</v>
      </c>
      <c r="E44" s="1614">
        <f t="shared" si="6"/>
        <v>0</v>
      </c>
      <c r="F44" s="1614">
        <f t="shared" si="6"/>
        <v>0</v>
      </c>
      <c r="G44" s="1614">
        <f t="shared" si="6"/>
        <v>0</v>
      </c>
      <c r="H44" s="1614">
        <f t="shared" si="6"/>
        <v>4000000</v>
      </c>
      <c r="I44" s="1614">
        <f t="shared" si="6"/>
        <v>0</v>
      </c>
      <c r="J44" s="1614">
        <f t="shared" si="6"/>
        <v>0</v>
      </c>
      <c r="K44" s="1614">
        <f t="shared" si="6"/>
        <v>0</v>
      </c>
      <c r="L44" s="453"/>
    </row>
    <row r="45" spans="1:12" ht="15.75" customHeight="1" thickTop="1" x14ac:dyDescent="0.2">
      <c r="A45" s="2264" t="s">
        <v>108</v>
      </c>
      <c r="B45" s="2265"/>
      <c r="C45" s="1615"/>
      <c r="D45" s="1615"/>
      <c r="E45" s="1615"/>
      <c r="F45" s="1615"/>
      <c r="G45" s="1615"/>
      <c r="H45" s="1615"/>
      <c r="I45" s="1615"/>
      <c r="J45" s="1615"/>
      <c r="K45" s="1615"/>
      <c r="L45" s="325"/>
    </row>
    <row r="46" spans="1:12" s="433" customFormat="1" ht="15.75" customHeight="1" x14ac:dyDescent="0.2">
      <c r="A46" s="2272" t="s">
        <v>109</v>
      </c>
      <c r="B46" s="2273"/>
      <c r="C46" s="1573"/>
      <c r="D46" s="1573"/>
      <c r="E46" s="1573"/>
      <c r="F46" s="1573"/>
      <c r="G46" s="1573"/>
      <c r="H46" s="1573"/>
      <c r="I46" s="1576"/>
      <c r="J46" s="1573"/>
      <c r="K46" s="1573"/>
      <c r="L46" s="456"/>
    </row>
    <row r="47" spans="1:12" s="433" customFormat="1" ht="15" x14ac:dyDescent="0.2">
      <c r="A47" s="1254" t="s">
        <v>1640</v>
      </c>
      <c r="B47" s="432">
        <v>8110</v>
      </c>
      <c r="C47" s="1573"/>
      <c r="D47" s="1573"/>
      <c r="E47" s="1573"/>
      <c r="F47" s="1573"/>
      <c r="G47" s="1573"/>
      <c r="H47" s="1573"/>
      <c r="I47" s="1597">
        <f>SUM(C24,C25:H25,J25:K25)</f>
        <v>0</v>
      </c>
      <c r="J47" s="1573"/>
      <c r="K47" s="1573"/>
      <c r="L47" s="456"/>
    </row>
    <row r="48" spans="1:12" s="433" customFormat="1" ht="15" x14ac:dyDescent="0.2">
      <c r="A48" s="1254" t="s">
        <v>1641</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1000000</v>
      </c>
      <c r="D49" s="1566">
        <v>0</v>
      </c>
      <c r="E49" s="1576"/>
      <c r="F49" s="1566">
        <v>1000000</v>
      </c>
      <c r="G49" s="1576"/>
      <c r="H49" s="1576"/>
      <c r="I49" s="1573"/>
      <c r="J49" s="1576"/>
      <c r="K49" s="1573"/>
      <c r="L49" s="453"/>
    </row>
    <row r="50" spans="1:12" s="433" customFormat="1" x14ac:dyDescent="0.2">
      <c r="A50" s="1254" t="s">
        <v>1381</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687</v>
      </c>
      <c r="B54" s="432">
        <v>8410</v>
      </c>
      <c r="C54" s="1616">
        <v>0</v>
      </c>
      <c r="D54" s="1616">
        <v>0</v>
      </c>
      <c r="E54" s="1573"/>
      <c r="F54" s="1573"/>
      <c r="G54" s="1573"/>
      <c r="H54" s="1616">
        <v>0</v>
      </c>
      <c r="I54" s="1573"/>
      <c r="J54" s="1573"/>
      <c r="K54" s="1572"/>
      <c r="L54" s="453"/>
    </row>
    <row r="55" spans="1:12" s="433" customFormat="1" ht="14.25" thickTop="1" thickBot="1" x14ac:dyDescent="0.25">
      <c r="A55" s="1255" t="s">
        <v>688</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689</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738</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739</v>
      </c>
      <c r="B62" s="432">
        <v>8610</v>
      </c>
      <c r="C62" s="1617">
        <v>0</v>
      </c>
      <c r="D62" s="1617">
        <v>0</v>
      </c>
      <c r="E62" s="1573"/>
      <c r="F62" s="1573"/>
      <c r="G62" s="1573"/>
      <c r="H62" s="1573"/>
      <c r="I62" s="1573"/>
      <c r="J62" s="1573"/>
      <c r="K62" s="1573"/>
      <c r="L62" s="453"/>
    </row>
    <row r="63" spans="1:12" s="433" customFormat="1" ht="14.25" thickTop="1" thickBot="1" x14ac:dyDescent="0.25">
      <c r="A63" s="1255" t="s">
        <v>690</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740</v>
      </c>
      <c r="B64" s="432">
        <v>8630</v>
      </c>
      <c r="C64" s="1617">
        <v>0</v>
      </c>
      <c r="D64" s="1617">
        <v>0</v>
      </c>
      <c r="E64" s="1573"/>
      <c r="F64" s="1573"/>
      <c r="G64" s="1573"/>
      <c r="H64" s="1573"/>
      <c r="I64" s="1573"/>
      <c r="J64" s="1573"/>
      <c r="K64" s="1573"/>
      <c r="L64" s="453"/>
    </row>
    <row r="65" spans="1:12" s="433" customFormat="1" ht="14.25" thickTop="1" thickBot="1" x14ac:dyDescent="0.25">
      <c r="A65" s="1255" t="s">
        <v>741</v>
      </c>
      <c r="B65" s="432">
        <v>8640</v>
      </c>
      <c r="C65" s="1617">
        <v>0</v>
      </c>
      <c r="D65" s="1617">
        <v>0</v>
      </c>
      <c r="E65" s="1573"/>
      <c r="F65" s="1573"/>
      <c r="G65" s="1573"/>
      <c r="H65" s="1573"/>
      <c r="I65" s="1573"/>
      <c r="J65" s="1573"/>
      <c r="K65" s="1573"/>
      <c r="L65" s="453"/>
    </row>
    <row r="66" spans="1:12" s="433" customFormat="1" ht="14.25" thickTop="1" thickBot="1" x14ac:dyDescent="0.25">
      <c r="A66" s="1254" t="s">
        <v>742</v>
      </c>
      <c r="B66" s="432">
        <v>8710</v>
      </c>
      <c r="C66" s="1617">
        <v>0</v>
      </c>
      <c r="D66" s="1617">
        <v>0</v>
      </c>
      <c r="E66" s="1573"/>
      <c r="F66" s="1573"/>
      <c r="G66" s="1573"/>
      <c r="H66" s="1573"/>
      <c r="I66" s="1573"/>
      <c r="J66" s="1573"/>
      <c r="K66" s="1573"/>
      <c r="L66" s="453"/>
    </row>
    <row r="67" spans="1:12" s="433" customFormat="1" ht="14.25" thickTop="1" thickBot="1" x14ac:dyDescent="0.25">
      <c r="A67" s="1255" t="s">
        <v>691</v>
      </c>
      <c r="B67" s="432">
        <v>8720</v>
      </c>
      <c r="C67" s="1617">
        <v>0</v>
      </c>
      <c r="D67" s="1617">
        <v>0</v>
      </c>
      <c r="E67" s="1573"/>
      <c r="F67" s="1573"/>
      <c r="G67" s="1573"/>
      <c r="H67" s="1573"/>
      <c r="I67" s="1573"/>
      <c r="J67" s="1573"/>
      <c r="K67" s="1573"/>
      <c r="L67" s="453"/>
    </row>
    <row r="68" spans="1:12" s="433" customFormat="1" ht="14.25" thickTop="1" thickBot="1" x14ac:dyDescent="0.25">
      <c r="A68" s="1256" t="s">
        <v>743</v>
      </c>
      <c r="B68" s="432">
        <v>8730</v>
      </c>
      <c r="C68" s="1617">
        <v>0</v>
      </c>
      <c r="D68" s="1617">
        <v>0</v>
      </c>
      <c r="E68" s="1573"/>
      <c r="F68" s="1573"/>
      <c r="G68" s="1573"/>
      <c r="H68" s="1573"/>
      <c r="I68" s="1573"/>
      <c r="J68" s="1573"/>
      <c r="K68" s="1573"/>
      <c r="L68" s="453"/>
    </row>
    <row r="69" spans="1:12" s="433" customFormat="1" ht="14.25" thickTop="1" thickBot="1" x14ac:dyDescent="0.25">
      <c r="A69" s="1255" t="s">
        <v>744</v>
      </c>
      <c r="B69" s="432">
        <v>8740</v>
      </c>
      <c r="C69" s="1617">
        <v>0</v>
      </c>
      <c r="D69" s="1617">
        <v>0</v>
      </c>
      <c r="E69" s="1573"/>
      <c r="F69" s="1573"/>
      <c r="G69" s="1573"/>
      <c r="H69" s="1573"/>
      <c r="I69" s="1573"/>
      <c r="J69" s="1573"/>
      <c r="K69" s="1573"/>
      <c r="L69" s="453"/>
    </row>
    <row r="70" spans="1:12" s="433" customFormat="1" ht="14.25" thickTop="1" thickBot="1" x14ac:dyDescent="0.25">
      <c r="A70" s="1254" t="s">
        <v>745</v>
      </c>
      <c r="B70" s="432">
        <v>8810</v>
      </c>
      <c r="C70" s="1617">
        <v>0</v>
      </c>
      <c r="D70" s="1617">
        <v>0</v>
      </c>
      <c r="E70" s="1573"/>
      <c r="F70" s="1573"/>
      <c r="G70" s="1573"/>
      <c r="H70" s="1573"/>
      <c r="I70" s="1573"/>
      <c r="J70" s="1573"/>
      <c r="K70" s="1573"/>
      <c r="L70" s="453"/>
    </row>
    <row r="71" spans="1:12" s="433" customFormat="1" ht="14.25" thickTop="1" thickBot="1" x14ac:dyDescent="0.25">
      <c r="A71" s="1254" t="s">
        <v>749</v>
      </c>
      <c r="B71" s="432">
        <v>8820</v>
      </c>
      <c r="C71" s="1617">
        <v>0</v>
      </c>
      <c r="D71" s="1617">
        <v>0</v>
      </c>
      <c r="E71" s="1573"/>
      <c r="F71" s="1573"/>
      <c r="G71" s="1573"/>
      <c r="H71" s="1573"/>
      <c r="I71" s="1573"/>
      <c r="J71" s="1573"/>
      <c r="K71" s="1573"/>
      <c r="L71" s="453"/>
    </row>
    <row r="72" spans="1:12" s="433" customFormat="1" ht="14.25" thickTop="1" thickBot="1" x14ac:dyDescent="0.25">
      <c r="A72" s="1254" t="s">
        <v>746</v>
      </c>
      <c r="B72" s="432">
        <v>8830</v>
      </c>
      <c r="C72" s="1617">
        <v>0</v>
      </c>
      <c r="D72" s="1617">
        <v>0</v>
      </c>
      <c r="E72" s="1573"/>
      <c r="F72" s="1573"/>
      <c r="G72" s="1573"/>
      <c r="H72" s="1573"/>
      <c r="I72" s="1573"/>
      <c r="J72" s="1573"/>
      <c r="K72" s="1573"/>
      <c r="L72" s="453"/>
    </row>
    <row r="73" spans="1:12" s="433" customFormat="1" ht="14.25" thickTop="1" thickBot="1" x14ac:dyDescent="0.25">
      <c r="A73" s="1254" t="s">
        <v>747</v>
      </c>
      <c r="B73" s="432">
        <v>8840</v>
      </c>
      <c r="C73" s="1617">
        <v>0</v>
      </c>
      <c r="D73" s="1617">
        <v>4000000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46" t="s">
        <v>437</v>
      </c>
      <c r="B76" s="2247"/>
      <c r="C76" s="1614">
        <f t="shared" ref="C76:K76" si="7">SUM(C47:C75)</f>
        <v>1000000</v>
      </c>
      <c r="D76" s="1614">
        <f t="shared" si="7"/>
        <v>4000000</v>
      </c>
      <c r="E76" s="1614">
        <f t="shared" si="7"/>
        <v>0</v>
      </c>
      <c r="F76" s="1614">
        <f t="shared" si="7"/>
        <v>1000000</v>
      </c>
      <c r="G76" s="1614">
        <f t="shared" si="7"/>
        <v>0</v>
      </c>
      <c r="H76" s="1614">
        <f t="shared" si="7"/>
        <v>0</v>
      </c>
      <c r="I76" s="1614">
        <f t="shared" si="7"/>
        <v>0</v>
      </c>
      <c r="J76" s="1614">
        <f t="shared" si="7"/>
        <v>0</v>
      </c>
      <c r="K76" s="1614">
        <f t="shared" si="7"/>
        <v>0</v>
      </c>
      <c r="L76" s="453"/>
    </row>
    <row r="77" spans="1:12" ht="14.25" thickTop="1" thickBot="1" x14ac:dyDescent="0.25">
      <c r="A77" s="2248" t="s">
        <v>1167</v>
      </c>
      <c r="B77" s="2249"/>
      <c r="C77" s="1614">
        <f t="shared" ref="C77:K77" si="8">C44-C76</f>
        <v>-1000000</v>
      </c>
      <c r="D77" s="1614">
        <f t="shared" si="8"/>
        <v>-2000000</v>
      </c>
      <c r="E77" s="1614">
        <f t="shared" si="8"/>
        <v>0</v>
      </c>
      <c r="F77" s="1614">
        <f t="shared" si="8"/>
        <v>-1000000</v>
      </c>
      <c r="G77" s="1614">
        <f t="shared" si="8"/>
        <v>0</v>
      </c>
      <c r="H77" s="1614">
        <f t="shared" si="8"/>
        <v>4000000</v>
      </c>
      <c r="I77" s="1614">
        <f t="shared" si="8"/>
        <v>0</v>
      </c>
      <c r="J77" s="1614">
        <f t="shared" si="8"/>
        <v>0</v>
      </c>
      <c r="K77" s="1614">
        <f t="shared" si="8"/>
        <v>0</v>
      </c>
      <c r="L77" s="325"/>
    </row>
    <row r="78" spans="1:12" ht="21.75" customHeight="1" thickTop="1" thickBot="1" x14ac:dyDescent="0.25">
      <c r="A78" s="2252" t="s">
        <v>593</v>
      </c>
      <c r="B78" s="2253"/>
      <c r="C78" s="1619">
        <f t="shared" ref="C78:K78" si="9">C20+C77</f>
        <v>-117982</v>
      </c>
      <c r="D78" s="1619">
        <f t="shared" si="9"/>
        <v>1067997</v>
      </c>
      <c r="E78" s="1619">
        <f t="shared" si="9"/>
        <v>-2767829</v>
      </c>
      <c r="F78" s="1619">
        <f t="shared" si="9"/>
        <v>-378045</v>
      </c>
      <c r="G78" s="1619">
        <f t="shared" si="9"/>
        <v>-279967</v>
      </c>
      <c r="H78" s="1619">
        <f t="shared" si="9"/>
        <v>366879</v>
      </c>
      <c r="I78" s="1619">
        <f t="shared" si="9"/>
        <v>560817</v>
      </c>
      <c r="J78" s="1619">
        <f t="shared" si="9"/>
        <v>-344481</v>
      </c>
      <c r="K78" s="1619">
        <f t="shared" si="9"/>
        <v>13330</v>
      </c>
      <c r="L78" s="457"/>
    </row>
    <row r="79" spans="1:12" ht="13.5" thickTop="1" x14ac:dyDescent="0.2">
      <c r="A79" s="1833" t="str">
        <f>"Fund Balances - July 1, "&amp;'AFR20'!E2-1</f>
        <v>Fund Balances - July 1, 2019</v>
      </c>
      <c r="B79" s="458"/>
      <c r="C79" s="1574">
        <v>39025435</v>
      </c>
      <c r="D79" s="1620">
        <v>6888507</v>
      </c>
      <c r="E79" s="1620">
        <v>4128383</v>
      </c>
      <c r="F79" s="1620">
        <v>7506732</v>
      </c>
      <c r="G79" s="1620">
        <v>1342315</v>
      </c>
      <c r="H79" s="1620">
        <v>522299</v>
      </c>
      <c r="I79" s="1620">
        <v>4032366</v>
      </c>
      <c r="J79" s="1620">
        <v>868012</v>
      </c>
      <c r="K79" s="1620">
        <v>111987</v>
      </c>
      <c r="L79" s="325"/>
    </row>
    <row r="80" spans="1:12" x14ac:dyDescent="0.2">
      <c r="A80" s="2258" t="s">
        <v>1769</v>
      </c>
      <c r="B80" s="2259"/>
      <c r="C80" s="1566">
        <v>190746</v>
      </c>
      <c r="D80" s="1566">
        <v>29296</v>
      </c>
      <c r="E80" s="1566">
        <v>-245966</v>
      </c>
      <c r="F80" s="1566">
        <v>11246</v>
      </c>
      <c r="G80" s="1566">
        <v>8980</v>
      </c>
      <c r="H80" s="1566"/>
      <c r="I80" s="1566">
        <v>2496</v>
      </c>
      <c r="J80" s="1566">
        <v>3010</v>
      </c>
      <c r="K80" s="1566">
        <v>192</v>
      </c>
      <c r="L80" s="325"/>
    </row>
    <row r="81" spans="1:12" ht="13.5" thickBot="1" x14ac:dyDescent="0.25">
      <c r="A81" s="2250" t="str">
        <f>"Fund Balances - June 30, "&amp;'AFR20'!E2</f>
        <v>Fund Balances - June 30, 2020</v>
      </c>
      <c r="B81" s="2251"/>
      <c r="C81" s="1585">
        <f>(SUM(C78:C80))</f>
        <v>39098199</v>
      </c>
      <c r="D81" s="1585">
        <f>SUM(D78:D80)</f>
        <v>7985800</v>
      </c>
      <c r="E81" s="1585">
        <f t="shared" ref="E81:K81" si="10">SUM(E78:E80)</f>
        <v>1114588</v>
      </c>
      <c r="F81" s="1585">
        <f t="shared" si="10"/>
        <v>7139933</v>
      </c>
      <c r="G81" s="1585">
        <f t="shared" si="10"/>
        <v>1071328</v>
      </c>
      <c r="H81" s="1585">
        <f t="shared" si="10"/>
        <v>889178</v>
      </c>
      <c r="I81" s="1585">
        <f t="shared" si="10"/>
        <v>4595679</v>
      </c>
      <c r="J81" s="1585">
        <f t="shared" si="10"/>
        <v>526541</v>
      </c>
      <c r="K81" s="1585">
        <f t="shared" si="10"/>
        <v>125509</v>
      </c>
      <c r="L81" s="325"/>
    </row>
    <row r="82" spans="1:12" ht="0.75" customHeight="1" thickTop="1" thickBot="1" x14ac:dyDescent="0.25">
      <c r="A82" s="459" t="s">
        <v>340</v>
      </c>
      <c r="B82" s="460"/>
      <c r="C82" s="461">
        <f>(C81-C79)</f>
        <v>72764</v>
      </c>
      <c r="D82" s="461">
        <f t="shared" ref="D82:K82" si="11">(D81-D79)</f>
        <v>1097293</v>
      </c>
      <c r="E82" s="461">
        <f t="shared" si="11"/>
        <v>-3013795</v>
      </c>
      <c r="F82" s="461">
        <f t="shared" si="11"/>
        <v>-366799</v>
      </c>
      <c r="G82" s="461">
        <f t="shared" si="11"/>
        <v>-270987</v>
      </c>
      <c r="H82" s="461">
        <f t="shared" si="11"/>
        <v>366879</v>
      </c>
      <c r="I82" s="461">
        <f t="shared" si="11"/>
        <v>563313</v>
      </c>
      <c r="J82" s="461">
        <f t="shared" si="11"/>
        <v>-341471</v>
      </c>
      <c r="K82" s="461">
        <f t="shared" si="11"/>
        <v>13522</v>
      </c>
    </row>
    <row r="83" spans="1:12" ht="14.25" hidden="1" thickTop="1" thickBot="1" x14ac:dyDescent="0.25">
      <c r="A83" s="462" t="s">
        <v>341</v>
      </c>
      <c r="B83" s="428"/>
      <c r="C83" s="463">
        <f>C82/C81</f>
        <v>1.8610575898905216E-3</v>
      </c>
      <c r="D83" s="463">
        <f t="shared" ref="D83:K83" si="12">D82/D81</f>
        <v>0.13740551979764082</v>
      </c>
      <c r="E83" s="463">
        <f t="shared" si="12"/>
        <v>-2.7039542862474746</v>
      </c>
      <c r="F83" s="463">
        <f t="shared" si="12"/>
        <v>-5.1372891034131556E-2</v>
      </c>
      <c r="G83" s="463">
        <f t="shared" si="12"/>
        <v>-0.25294494309865884</v>
      </c>
      <c r="H83" s="463">
        <f t="shared" si="12"/>
        <v>0.41260467532934914</v>
      </c>
      <c r="I83" s="463">
        <f t="shared" si="12"/>
        <v>0.12257448790483408</v>
      </c>
      <c r="J83" s="463">
        <f t="shared" si="12"/>
        <v>-0.64851739940479469</v>
      </c>
      <c r="K83" s="463">
        <f t="shared" si="12"/>
        <v>0.10773729373989116</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85" zoomScaleNormal="85" zoomScaleSheetLayoutView="75" workbookViewId="0">
      <pane ySplit="2" topLeftCell="A240" activePane="bottomLeft" state="frozen"/>
      <selection activeCell="C44" sqref="C44"/>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4" t="s">
        <v>1776</v>
      </c>
      <c r="B1" s="416"/>
      <c r="C1" s="417" t="s">
        <v>422</v>
      </c>
      <c r="D1" s="417" t="s">
        <v>423</v>
      </c>
      <c r="E1" s="417" t="s">
        <v>424</v>
      </c>
      <c r="F1" s="417" t="s">
        <v>425</v>
      </c>
      <c r="G1" s="417" t="s">
        <v>426</v>
      </c>
      <c r="H1" s="417" t="s">
        <v>427</v>
      </c>
      <c r="I1" s="417" t="s">
        <v>428</v>
      </c>
      <c r="J1" s="417" t="s">
        <v>429</v>
      </c>
      <c r="K1" s="417" t="s">
        <v>751</v>
      </c>
    </row>
    <row r="2" spans="1:12" ht="36" x14ac:dyDescent="0.2">
      <c r="A2" s="225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1642</v>
      </c>
      <c r="B5" s="470"/>
      <c r="C5" s="1577">
        <v>37085030</v>
      </c>
      <c r="D5" s="1577">
        <v>5137353</v>
      </c>
      <c r="E5" s="1565">
        <v>2779960</v>
      </c>
      <c r="F5" s="1621">
        <v>1976230</v>
      </c>
      <c r="G5" s="1565">
        <v>790586</v>
      </c>
      <c r="H5" s="1565">
        <v>0</v>
      </c>
      <c r="I5" s="1565">
        <v>464593</v>
      </c>
      <c r="J5" s="1566">
        <v>493853</v>
      </c>
      <c r="K5" s="1565">
        <v>11784</v>
      </c>
    </row>
    <row r="6" spans="1:12" ht="15" x14ac:dyDescent="0.2">
      <c r="A6" s="427" t="s">
        <v>1643</v>
      </c>
      <c r="B6" s="429">
        <v>1130</v>
      </c>
      <c r="C6" s="1565">
        <v>0</v>
      </c>
      <c r="D6" s="1565">
        <v>0</v>
      </c>
      <c r="E6" s="1572"/>
      <c r="F6" s="1572"/>
      <c r="G6" s="1567"/>
      <c r="H6" s="1567"/>
      <c r="I6" s="1567"/>
      <c r="J6" s="1567"/>
      <c r="K6" s="1567"/>
    </row>
    <row r="7" spans="1:12" x14ac:dyDescent="0.2">
      <c r="A7" s="427" t="s">
        <v>110</v>
      </c>
      <c r="B7" s="471">
        <v>1140</v>
      </c>
      <c r="C7" s="1565">
        <v>1976230</v>
      </c>
      <c r="D7" s="1565">
        <v>0</v>
      </c>
      <c r="E7" s="1567"/>
      <c r="F7" s="1566">
        <v>0</v>
      </c>
      <c r="G7" s="1566">
        <v>0</v>
      </c>
      <c r="H7" s="1566">
        <v>0</v>
      </c>
      <c r="I7" s="1567"/>
      <c r="J7" s="1567"/>
      <c r="K7" s="1567"/>
    </row>
    <row r="8" spans="1:12" x14ac:dyDescent="0.2">
      <c r="A8" s="427" t="s">
        <v>410</v>
      </c>
      <c r="B8" s="429">
        <v>1150</v>
      </c>
      <c r="C8" s="1572"/>
      <c r="D8" s="1572"/>
      <c r="E8" s="1573"/>
      <c r="F8" s="1573"/>
      <c r="G8" s="1577">
        <v>790586</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39061260</v>
      </c>
      <c r="D12" s="1623">
        <f t="shared" si="0"/>
        <v>5137353</v>
      </c>
      <c r="E12" s="1623">
        <f t="shared" si="0"/>
        <v>2779960</v>
      </c>
      <c r="F12" s="1623">
        <f t="shared" si="0"/>
        <v>1976230</v>
      </c>
      <c r="G12" s="1623">
        <f t="shared" si="0"/>
        <v>1581172</v>
      </c>
      <c r="H12" s="1623">
        <f t="shared" si="0"/>
        <v>0</v>
      </c>
      <c r="I12" s="1623">
        <f t="shared" si="0"/>
        <v>464593</v>
      </c>
      <c r="J12" s="1623">
        <f t="shared" si="0"/>
        <v>493853</v>
      </c>
      <c r="K12" s="1585">
        <f t="shared" si="0"/>
        <v>11784</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1644</v>
      </c>
      <c r="B16" s="471">
        <v>1230</v>
      </c>
      <c r="C16" s="1622">
        <v>127791</v>
      </c>
      <c r="D16" s="1565">
        <v>0</v>
      </c>
      <c r="E16" s="1565">
        <v>0</v>
      </c>
      <c r="F16" s="1565">
        <v>0</v>
      </c>
      <c r="G16" s="1565">
        <v>127791</v>
      </c>
      <c r="H16" s="1565">
        <v>0</v>
      </c>
      <c r="I16" s="1565">
        <v>0</v>
      </c>
      <c r="J16" s="1566">
        <v>0</v>
      </c>
      <c r="K16" s="1565">
        <v>0</v>
      </c>
    </row>
    <row r="17" spans="1:11" ht="12.75" customHeight="1" x14ac:dyDescent="0.2">
      <c r="A17" s="427" t="s">
        <v>802</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127791</v>
      </c>
      <c r="D18" s="1625">
        <f t="shared" ref="D18:K18" si="1">SUM(D14:D17)</f>
        <v>0</v>
      </c>
      <c r="E18" s="1625">
        <f t="shared" si="1"/>
        <v>0</v>
      </c>
      <c r="F18" s="1625">
        <f t="shared" si="1"/>
        <v>0</v>
      </c>
      <c r="G18" s="1625">
        <f t="shared" si="1"/>
        <v>127791</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1064</v>
      </c>
      <c r="B20" s="429">
        <v>1311</v>
      </c>
      <c r="C20" s="1565">
        <v>0</v>
      </c>
      <c r="D20" s="1567"/>
      <c r="E20" s="1567"/>
      <c r="F20" s="1567"/>
      <c r="G20" s="1567"/>
      <c r="H20" s="1567"/>
      <c r="I20" s="1567"/>
      <c r="J20" s="1567"/>
      <c r="K20" s="1567"/>
    </row>
    <row r="21" spans="1:11" ht="12.75" customHeight="1" x14ac:dyDescent="0.2">
      <c r="A21" s="427" t="s">
        <v>827</v>
      </c>
      <c r="B21" s="429">
        <v>1312</v>
      </c>
      <c r="C21" s="1622">
        <v>0</v>
      </c>
      <c r="D21" s="1567"/>
      <c r="E21" s="1567"/>
      <c r="F21" s="1567"/>
      <c r="G21" s="1567"/>
      <c r="H21" s="1567"/>
      <c r="I21" s="1567"/>
      <c r="J21" s="1567"/>
      <c r="K21" s="1567"/>
    </row>
    <row r="22" spans="1:11" ht="12.75" customHeight="1" x14ac:dyDescent="0.2">
      <c r="A22" s="427" t="s">
        <v>1065</v>
      </c>
      <c r="B22" s="429">
        <v>1313</v>
      </c>
      <c r="C22" s="1622">
        <v>0</v>
      </c>
      <c r="D22" s="1567"/>
      <c r="E22" s="1567"/>
      <c r="F22" s="1567"/>
      <c r="G22" s="1567"/>
      <c r="H22" s="1567"/>
      <c r="I22" s="1567"/>
      <c r="J22" s="1567"/>
      <c r="K22" s="1567"/>
    </row>
    <row r="23" spans="1:11" ht="12.75" customHeight="1" x14ac:dyDescent="0.2">
      <c r="A23" s="427" t="s">
        <v>1066</v>
      </c>
      <c r="B23" s="429">
        <v>1314</v>
      </c>
      <c r="C23" s="1588">
        <v>0</v>
      </c>
      <c r="D23" s="1567"/>
      <c r="E23" s="1567"/>
      <c r="F23" s="1567"/>
      <c r="G23" s="1567"/>
      <c r="H23" s="1567"/>
      <c r="I23" s="1567"/>
      <c r="J23" s="1567"/>
      <c r="K23" s="1567"/>
    </row>
    <row r="24" spans="1:11" ht="12.75" customHeight="1" x14ac:dyDescent="0.2">
      <c r="A24" s="427" t="s">
        <v>1020</v>
      </c>
      <c r="B24" s="429">
        <v>1321</v>
      </c>
      <c r="C24" s="1622">
        <v>0</v>
      </c>
      <c r="D24" s="1567"/>
      <c r="E24" s="1567"/>
      <c r="F24" s="1567"/>
      <c r="G24" s="1567"/>
      <c r="H24" s="1567"/>
      <c r="I24" s="1567"/>
      <c r="J24" s="1567"/>
      <c r="K24" s="1567"/>
    </row>
    <row r="25" spans="1:11" ht="12.75" customHeight="1" x14ac:dyDescent="0.2">
      <c r="A25" s="427" t="s">
        <v>828</v>
      </c>
      <c r="B25" s="429">
        <v>1322</v>
      </c>
      <c r="C25" s="1622">
        <v>0</v>
      </c>
      <c r="D25" s="1567"/>
      <c r="E25" s="1567"/>
      <c r="F25" s="1567"/>
      <c r="G25" s="1567"/>
      <c r="H25" s="1567"/>
      <c r="I25" s="1567"/>
      <c r="J25" s="1567"/>
      <c r="K25" s="1567"/>
    </row>
    <row r="26" spans="1:11" ht="12.75" customHeight="1" x14ac:dyDescent="0.2">
      <c r="A26" s="427" t="s">
        <v>1092</v>
      </c>
      <c r="B26" s="429">
        <v>1323</v>
      </c>
      <c r="C26" s="1622">
        <v>0</v>
      </c>
      <c r="D26" s="1567"/>
      <c r="E26" s="1567"/>
      <c r="F26" s="1567"/>
      <c r="G26" s="1567"/>
      <c r="H26" s="1567"/>
      <c r="I26" s="1567"/>
      <c r="J26" s="1567"/>
      <c r="K26" s="1567"/>
    </row>
    <row r="27" spans="1:11" ht="12.75" customHeight="1" x14ac:dyDescent="0.2">
      <c r="A27" s="427" t="s">
        <v>1016</v>
      </c>
      <c r="B27" s="429">
        <v>1324</v>
      </c>
      <c r="C27" s="1588">
        <v>0</v>
      </c>
      <c r="D27" s="1567"/>
      <c r="E27" s="1567"/>
      <c r="F27" s="1567"/>
      <c r="G27" s="1567"/>
      <c r="H27" s="1567"/>
      <c r="I27" s="1567"/>
      <c r="J27" s="1567"/>
      <c r="K27" s="1567"/>
    </row>
    <row r="28" spans="1:11" ht="12.75" customHeight="1" x14ac:dyDescent="0.2">
      <c r="A28" s="427" t="s">
        <v>1017</v>
      </c>
      <c r="B28" s="429">
        <v>1331</v>
      </c>
      <c r="C28" s="1622">
        <v>0</v>
      </c>
      <c r="D28" s="1567"/>
      <c r="E28" s="1567"/>
      <c r="F28" s="1567"/>
      <c r="G28" s="1567"/>
      <c r="H28" s="1567"/>
      <c r="I28" s="1567"/>
      <c r="J28" s="1567"/>
      <c r="K28" s="1567"/>
    </row>
    <row r="29" spans="1:11" ht="12.75" customHeight="1" x14ac:dyDescent="0.2">
      <c r="A29" s="427" t="s">
        <v>829</v>
      </c>
      <c r="B29" s="429">
        <v>1332</v>
      </c>
      <c r="C29" s="1622">
        <v>0</v>
      </c>
      <c r="D29" s="1567"/>
      <c r="E29" s="1567"/>
      <c r="F29" s="1567"/>
      <c r="G29" s="1567"/>
      <c r="H29" s="1567"/>
      <c r="I29" s="1567"/>
      <c r="J29" s="1567"/>
      <c r="K29" s="1567"/>
    </row>
    <row r="30" spans="1:11" ht="12.75" customHeight="1" x14ac:dyDescent="0.2">
      <c r="A30" s="427" t="s">
        <v>1019</v>
      </c>
      <c r="B30" s="429">
        <v>1333</v>
      </c>
      <c r="C30" s="1622">
        <v>0</v>
      </c>
      <c r="D30" s="1567"/>
      <c r="E30" s="1567"/>
      <c r="F30" s="1567"/>
      <c r="G30" s="1567"/>
      <c r="H30" s="1567"/>
      <c r="I30" s="1567"/>
      <c r="J30" s="1567"/>
      <c r="K30" s="1567"/>
    </row>
    <row r="31" spans="1:11" ht="12.75" customHeight="1" x14ac:dyDescent="0.2">
      <c r="A31" s="427" t="s">
        <v>1018</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830</v>
      </c>
      <c r="B33" s="429">
        <v>1342</v>
      </c>
      <c r="C33" s="1622">
        <v>114540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826</v>
      </c>
      <c r="B36" s="429">
        <v>1351</v>
      </c>
      <c r="C36" s="1622">
        <v>0</v>
      </c>
      <c r="D36" s="1567"/>
      <c r="E36" s="1567"/>
      <c r="F36" s="1567"/>
      <c r="G36" s="1567"/>
      <c r="H36" s="1567"/>
      <c r="I36" s="1567"/>
      <c r="J36" s="1567"/>
      <c r="K36" s="1567"/>
    </row>
    <row r="37" spans="1:11" ht="12.75" customHeight="1" x14ac:dyDescent="0.2">
      <c r="A37" s="427" t="s">
        <v>831</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114540</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1067</v>
      </c>
      <c r="B42" s="429">
        <v>1411</v>
      </c>
      <c r="C42" s="1567"/>
      <c r="D42" s="1567"/>
      <c r="E42" s="1567"/>
      <c r="F42" s="1577">
        <v>26866</v>
      </c>
      <c r="G42" s="1567"/>
      <c r="H42" s="1567"/>
      <c r="I42" s="1567"/>
      <c r="J42" s="1567"/>
      <c r="K42" s="1567"/>
    </row>
    <row r="43" spans="1:11" ht="12.75" customHeight="1" x14ac:dyDescent="0.2">
      <c r="A43" s="427" t="s">
        <v>832</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1164</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833</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1097</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1098</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873</v>
      </c>
      <c r="B59" s="475">
        <v>1451</v>
      </c>
      <c r="C59" s="1567"/>
      <c r="D59" s="1567"/>
      <c r="E59" s="1567"/>
      <c r="F59" s="1565">
        <v>0</v>
      </c>
      <c r="G59" s="1567"/>
      <c r="H59" s="1567"/>
      <c r="I59" s="1567"/>
      <c r="J59" s="1567"/>
      <c r="K59" s="1567"/>
    </row>
    <row r="60" spans="1:11" ht="12.75" customHeight="1" x14ac:dyDescent="0.2">
      <c r="A60" s="1259" t="s">
        <v>1099</v>
      </c>
      <c r="B60" s="475">
        <v>1452</v>
      </c>
      <c r="C60" s="1567"/>
      <c r="D60" s="1567"/>
      <c r="E60" s="1567"/>
      <c r="F60" s="1565">
        <v>0</v>
      </c>
      <c r="G60" s="1567"/>
      <c r="H60" s="1567"/>
      <c r="I60" s="1567"/>
      <c r="J60" s="1567"/>
      <c r="K60" s="1567"/>
    </row>
    <row r="61" spans="1:11" ht="12.75" customHeight="1" x14ac:dyDescent="0.2">
      <c r="A61" s="479" t="s">
        <v>874</v>
      </c>
      <c r="B61" s="475">
        <v>1453</v>
      </c>
      <c r="C61" s="1567"/>
      <c r="D61" s="1567"/>
      <c r="E61" s="1567"/>
      <c r="F61" s="1565">
        <v>0</v>
      </c>
      <c r="G61" s="1567"/>
      <c r="H61" s="1567"/>
      <c r="I61" s="1567"/>
      <c r="J61" s="1567"/>
      <c r="K61" s="1567"/>
    </row>
    <row r="62" spans="1:11" ht="12.75" customHeight="1" x14ac:dyDescent="0.2">
      <c r="A62" s="1260" t="s">
        <v>875</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26866</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726809</v>
      </c>
      <c r="D65" s="1565">
        <v>80880</v>
      </c>
      <c r="E65" s="1565">
        <v>70617</v>
      </c>
      <c r="F65" s="1566">
        <v>89022</v>
      </c>
      <c r="G65" s="1565">
        <v>18651</v>
      </c>
      <c r="H65" s="1565">
        <v>8004</v>
      </c>
      <c r="I65" s="1565">
        <v>96224</v>
      </c>
      <c r="J65" s="1566">
        <v>13434</v>
      </c>
      <c r="K65" s="1565">
        <v>1546</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726809</v>
      </c>
      <c r="D67" s="1585">
        <f t="shared" ref="D67:K67" si="2">SUM(D65:D66)</f>
        <v>80880</v>
      </c>
      <c r="E67" s="1585">
        <f t="shared" si="2"/>
        <v>70617</v>
      </c>
      <c r="F67" s="1585">
        <f t="shared" si="2"/>
        <v>89022</v>
      </c>
      <c r="G67" s="1585">
        <f t="shared" si="2"/>
        <v>18651</v>
      </c>
      <c r="H67" s="1585">
        <f t="shared" si="2"/>
        <v>8004</v>
      </c>
      <c r="I67" s="1585">
        <f t="shared" si="2"/>
        <v>96224</v>
      </c>
      <c r="J67" s="1585">
        <f t="shared" si="2"/>
        <v>13434</v>
      </c>
      <c r="K67" s="1585">
        <f t="shared" si="2"/>
        <v>1546</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542077</v>
      </c>
      <c r="D69" s="1567"/>
      <c r="E69" s="1567"/>
      <c r="F69" s="1567"/>
      <c r="G69" s="1567"/>
      <c r="H69" s="1567"/>
      <c r="I69" s="1567"/>
      <c r="J69" s="1567"/>
      <c r="K69" s="1567"/>
    </row>
    <row r="70" spans="1:11" ht="12.75" customHeight="1" x14ac:dyDescent="0.2">
      <c r="A70" s="427" t="s">
        <v>990</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991</v>
      </c>
      <c r="B73" s="429">
        <v>1620</v>
      </c>
      <c r="C73" s="1622">
        <v>0</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542077</v>
      </c>
      <c r="D75" s="1567"/>
      <c r="E75" s="1567"/>
      <c r="F75" s="1567"/>
      <c r="G75" s="1567"/>
      <c r="H75" s="1567"/>
      <c r="I75" s="1567"/>
      <c r="J75" s="1567"/>
      <c r="K75" s="1567"/>
    </row>
    <row r="76" spans="1:11" ht="15.75" customHeight="1" thickTop="1" x14ac:dyDescent="0.2">
      <c r="A76" s="1323" t="s">
        <v>876</v>
      </c>
      <c r="B76" s="1325">
        <v>1700</v>
      </c>
      <c r="C76" s="1624"/>
      <c r="D76" s="1567"/>
      <c r="E76" s="1567"/>
      <c r="F76" s="1567"/>
      <c r="G76" s="1567"/>
      <c r="H76" s="1567"/>
      <c r="I76" s="1567"/>
      <c r="J76" s="1567"/>
      <c r="K76" s="1567"/>
    </row>
    <row r="77" spans="1:11" ht="12.75" customHeight="1" x14ac:dyDescent="0.2">
      <c r="A77" s="427" t="s">
        <v>545</v>
      </c>
      <c r="B77" s="429">
        <v>1711</v>
      </c>
      <c r="C77" s="1603">
        <v>33928</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2048</v>
      </c>
      <c r="D79" s="1565">
        <v>0</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0</v>
      </c>
      <c r="D81" s="1565">
        <v>0</v>
      </c>
      <c r="E81" s="1567"/>
      <c r="F81" s="1567"/>
      <c r="G81" s="1567"/>
      <c r="H81" s="1567"/>
      <c r="I81" s="1567"/>
      <c r="J81" s="1567"/>
      <c r="K81" s="1567"/>
    </row>
    <row r="82" spans="1:11" ht="12.75" customHeight="1" thickBot="1" x14ac:dyDescent="0.25">
      <c r="A82" s="1399" t="s">
        <v>239</v>
      </c>
      <c r="B82" s="1400"/>
      <c r="C82" s="1623">
        <f>SUM(C77:C81)</f>
        <v>35976</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201953</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992</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709</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757</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201953</v>
      </c>
      <c r="D93" s="1567"/>
      <c r="E93" s="1567"/>
      <c r="F93" s="1567"/>
      <c r="G93" s="1567"/>
      <c r="H93" s="1567"/>
      <c r="I93" s="1567"/>
      <c r="J93" s="1567"/>
      <c r="K93" s="1567"/>
    </row>
    <row r="94" spans="1:11" ht="15.75" customHeight="1" thickTop="1" x14ac:dyDescent="0.2">
      <c r="A94" s="1323" t="s">
        <v>1127</v>
      </c>
      <c r="B94" s="1325">
        <v>1900</v>
      </c>
      <c r="C94" s="1624"/>
      <c r="D94" s="1607"/>
      <c r="E94" s="1567"/>
      <c r="F94" s="1567"/>
      <c r="G94" s="1567"/>
      <c r="H94" s="1567"/>
      <c r="I94" s="1567"/>
      <c r="J94" s="1567"/>
      <c r="K94" s="1567"/>
    </row>
    <row r="95" spans="1:11" ht="12.75" customHeight="1" x14ac:dyDescent="0.2">
      <c r="A95" s="427" t="s">
        <v>1055</v>
      </c>
      <c r="B95" s="429">
        <v>1910</v>
      </c>
      <c r="C95" s="1565">
        <v>0</v>
      </c>
      <c r="D95" s="1622">
        <v>16768</v>
      </c>
      <c r="E95" s="1607"/>
      <c r="F95" s="1607"/>
      <c r="G95" s="1607"/>
      <c r="H95" s="1607"/>
      <c r="I95" s="1607"/>
      <c r="J95" s="1607"/>
      <c r="K95" s="1607"/>
    </row>
    <row r="96" spans="1:11" ht="12.75" customHeight="1" x14ac:dyDescent="0.2">
      <c r="A96" s="427" t="s">
        <v>388</v>
      </c>
      <c r="B96" s="429">
        <v>1920</v>
      </c>
      <c r="C96" s="1622">
        <v>50</v>
      </c>
      <c r="D96" s="1622">
        <v>140443</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232643</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816</v>
      </c>
      <c r="B99" s="429">
        <v>1950</v>
      </c>
      <c r="C99" s="1588">
        <v>9471</v>
      </c>
      <c r="D99" s="1565">
        <v>259</v>
      </c>
      <c r="E99" s="1565">
        <v>0</v>
      </c>
      <c r="F99" s="1565">
        <v>17154</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825</v>
      </c>
      <c r="B104" s="429">
        <v>1991</v>
      </c>
      <c r="C104" s="1588">
        <v>0</v>
      </c>
      <c r="D104" s="1565">
        <v>0</v>
      </c>
      <c r="E104" s="1577">
        <v>0</v>
      </c>
      <c r="F104" s="1566">
        <v>1150104</v>
      </c>
      <c r="G104" s="1566">
        <v>0</v>
      </c>
      <c r="H104" s="1565">
        <v>0</v>
      </c>
      <c r="I104" s="1567"/>
      <c r="J104" s="1567"/>
      <c r="K104" s="1567"/>
    </row>
    <row r="105" spans="1:12" ht="12.75" customHeight="1" x14ac:dyDescent="0.2">
      <c r="A105" s="427" t="s">
        <v>817</v>
      </c>
      <c r="B105" s="429">
        <v>1992</v>
      </c>
      <c r="C105" s="1565">
        <v>0</v>
      </c>
      <c r="D105" s="1630"/>
      <c r="E105" s="1567"/>
      <c r="F105" s="1567"/>
      <c r="G105" s="1567"/>
      <c r="H105" s="1600"/>
      <c r="I105" s="1567"/>
      <c r="J105" s="1567"/>
      <c r="K105" s="1567"/>
    </row>
    <row r="106" spans="1:12" ht="12.75" customHeight="1" x14ac:dyDescent="0.2">
      <c r="A106" s="427" t="s">
        <v>1413</v>
      </c>
      <c r="B106" s="429">
        <v>1993</v>
      </c>
      <c r="C106" s="1565">
        <v>0</v>
      </c>
      <c r="D106" s="1588">
        <v>0</v>
      </c>
      <c r="E106" s="1566">
        <v>0</v>
      </c>
      <c r="F106" s="1566">
        <v>18672</v>
      </c>
      <c r="G106" s="1566">
        <v>0</v>
      </c>
      <c r="H106" s="1566">
        <v>0</v>
      </c>
      <c r="I106" s="1607"/>
      <c r="J106" s="1566">
        <v>0</v>
      </c>
      <c r="K106" s="1566">
        <v>0</v>
      </c>
    </row>
    <row r="107" spans="1:12" ht="12.75" customHeight="1" x14ac:dyDescent="0.2">
      <c r="A107" s="427" t="s">
        <v>78</v>
      </c>
      <c r="B107" s="429">
        <v>1999</v>
      </c>
      <c r="C107" s="1622">
        <v>35957</v>
      </c>
      <c r="D107" s="1565">
        <v>148891</v>
      </c>
      <c r="E107" s="1565">
        <v>0</v>
      </c>
      <c r="F107" s="1565">
        <v>0</v>
      </c>
      <c r="G107" s="1565">
        <v>117880</v>
      </c>
      <c r="H107" s="1565">
        <v>0</v>
      </c>
      <c r="I107" s="1565">
        <v>0</v>
      </c>
      <c r="J107" s="1566">
        <v>0</v>
      </c>
      <c r="K107" s="1565">
        <v>0</v>
      </c>
    </row>
    <row r="108" spans="1:12" ht="12.75" customHeight="1" thickBot="1" x14ac:dyDescent="0.25">
      <c r="A108" s="1399" t="s">
        <v>484</v>
      </c>
      <c r="B108" s="1401"/>
      <c r="C108" s="1623">
        <f>SUM(C95:C107)</f>
        <v>45478</v>
      </c>
      <c r="D108" s="1623">
        <f t="shared" ref="D108:K108" si="3">SUM(D95:D107)</f>
        <v>306361</v>
      </c>
      <c r="E108" s="1623">
        <f t="shared" si="3"/>
        <v>0</v>
      </c>
      <c r="F108" s="1623">
        <f t="shared" si="3"/>
        <v>1185930</v>
      </c>
      <c r="G108" s="1623">
        <f t="shared" si="3"/>
        <v>117880</v>
      </c>
      <c r="H108" s="1623">
        <f t="shared" si="3"/>
        <v>232643</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40855884</v>
      </c>
      <c r="D109" s="1631">
        <f t="shared" si="4"/>
        <v>5524594</v>
      </c>
      <c r="E109" s="1631">
        <f t="shared" si="4"/>
        <v>2850577</v>
      </c>
      <c r="F109" s="1631">
        <f t="shared" si="4"/>
        <v>3278048</v>
      </c>
      <c r="G109" s="1631">
        <f t="shared" si="4"/>
        <v>1845494</v>
      </c>
      <c r="H109" s="1631">
        <f t="shared" si="4"/>
        <v>240647</v>
      </c>
      <c r="I109" s="1631">
        <f t="shared" si="4"/>
        <v>560817</v>
      </c>
      <c r="J109" s="1631">
        <f t="shared" si="4"/>
        <v>507287</v>
      </c>
      <c r="K109" s="1619">
        <f t="shared" si="4"/>
        <v>13330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818</v>
      </c>
      <c r="B111" s="435">
        <v>2100</v>
      </c>
      <c r="C111" s="1603">
        <v>0</v>
      </c>
      <c r="D111" s="1577">
        <v>0</v>
      </c>
      <c r="E111" s="1630"/>
      <c r="F111" s="1577">
        <v>0</v>
      </c>
      <c r="G111" s="1577">
        <v>0</v>
      </c>
      <c r="H111" s="1630"/>
      <c r="I111" s="1567"/>
      <c r="J111" s="1567"/>
      <c r="K111" s="1567"/>
    </row>
    <row r="112" spans="1:12" ht="12.75" customHeight="1" x14ac:dyDescent="0.2">
      <c r="A112" s="427" t="s">
        <v>819</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801</v>
      </c>
      <c r="B114" s="1405" t="s">
        <v>565</v>
      </c>
      <c r="C114" s="1632">
        <f>SUM(C111:C113)</f>
        <v>0</v>
      </c>
      <c r="D114" s="1632">
        <f>SUM(D111:D113)</f>
        <v>0</v>
      </c>
      <c r="E114" s="1630" t="s">
        <v>1159</v>
      </c>
      <c r="F114" s="1632">
        <f>SUM(F111:F113)</f>
        <v>0</v>
      </c>
      <c r="G114" s="1632">
        <f>SUM(G111:G113)</f>
        <v>0</v>
      </c>
      <c r="H114" s="1630"/>
      <c r="I114" s="1567"/>
      <c r="J114" s="1567"/>
      <c r="K114" s="1567"/>
    </row>
    <row r="115" spans="1:11" ht="16.7" customHeight="1" thickTop="1" x14ac:dyDescent="0.2">
      <c r="A115" s="1318" t="s">
        <v>798</v>
      </c>
      <c r="B115" s="1319"/>
      <c r="C115" s="1592"/>
      <c r="D115" s="1593"/>
      <c r="E115" s="1593"/>
      <c r="F115" s="1593"/>
      <c r="G115" s="1593"/>
      <c r="H115" s="1593"/>
      <c r="I115" s="1593"/>
      <c r="J115" s="1593"/>
      <c r="K115" s="1605"/>
    </row>
    <row r="116" spans="1:11" ht="18" customHeight="1" x14ac:dyDescent="0.2">
      <c r="A116" s="1326" t="s">
        <v>1474</v>
      </c>
      <c r="B116" s="1327"/>
      <c r="C116" s="1633"/>
      <c r="D116" s="1607"/>
      <c r="E116" s="1630"/>
      <c r="F116" s="1607"/>
      <c r="G116" s="1607"/>
      <c r="H116" s="1630"/>
      <c r="I116" s="1567"/>
      <c r="J116" s="1607"/>
      <c r="K116" s="1607"/>
    </row>
    <row r="117" spans="1:11" ht="12.75" customHeight="1" x14ac:dyDescent="0.2">
      <c r="A117" s="427" t="s">
        <v>1648</v>
      </c>
      <c r="B117" s="478">
        <v>3001</v>
      </c>
      <c r="C117" s="1603">
        <v>8503027</v>
      </c>
      <c r="D117" s="1577">
        <v>0</v>
      </c>
      <c r="E117" s="1565">
        <v>0</v>
      </c>
      <c r="F117" s="1577">
        <v>0</v>
      </c>
      <c r="G117" s="1577">
        <v>0</v>
      </c>
      <c r="H117" s="1565">
        <v>1200000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8503027</v>
      </c>
      <c r="D122" s="1623">
        <f t="shared" si="5"/>
        <v>0</v>
      </c>
      <c r="E122" s="1623">
        <f t="shared" si="5"/>
        <v>0</v>
      </c>
      <c r="F122" s="1623">
        <f t="shared" si="5"/>
        <v>0</v>
      </c>
      <c r="G122" s="1623">
        <f t="shared" si="5"/>
        <v>0</v>
      </c>
      <c r="H122" s="1623">
        <f t="shared" si="5"/>
        <v>1200000</v>
      </c>
      <c r="I122" s="1567"/>
      <c r="J122" s="1623">
        <f>SUM(J117:J121)</f>
        <v>0</v>
      </c>
      <c r="K122" s="1585">
        <f>SUM(K117:K121)</f>
        <v>0</v>
      </c>
    </row>
    <row r="123" spans="1:11" ht="15.75" customHeight="1" thickTop="1" x14ac:dyDescent="0.2">
      <c r="A123" s="1323" t="s">
        <v>1473</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861</v>
      </c>
      <c r="B125" s="481">
        <v>3100</v>
      </c>
      <c r="C125" s="1577">
        <v>203627</v>
      </c>
      <c r="D125" s="1630"/>
      <c r="E125" s="1567"/>
      <c r="F125" s="1621">
        <v>0</v>
      </c>
      <c r="G125" s="1567"/>
      <c r="H125" s="1567"/>
      <c r="I125" s="1567"/>
      <c r="J125" s="1567"/>
      <c r="K125" s="1567"/>
    </row>
    <row r="126" spans="1:11" ht="12.75" customHeight="1" x14ac:dyDescent="0.2">
      <c r="A126" s="427" t="s">
        <v>1429</v>
      </c>
      <c r="B126" s="478">
        <v>3105</v>
      </c>
      <c r="C126" s="1565">
        <v>0</v>
      </c>
      <c r="D126" s="1630"/>
      <c r="E126" s="1567"/>
      <c r="F126" s="1565">
        <v>0</v>
      </c>
      <c r="G126" s="1567"/>
      <c r="H126" s="1567"/>
      <c r="I126" s="1567"/>
      <c r="J126" s="1567"/>
      <c r="K126" s="1567"/>
    </row>
    <row r="127" spans="1:11" ht="12.75" customHeight="1" x14ac:dyDescent="0.2">
      <c r="A127" s="427" t="s">
        <v>862</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71468</v>
      </c>
      <c r="D128" s="1630"/>
      <c r="E128" s="1567"/>
      <c r="F128" s="1565">
        <v>0</v>
      </c>
      <c r="G128" s="1567"/>
      <c r="H128" s="1567"/>
      <c r="I128" s="1567"/>
      <c r="J128" s="1567"/>
      <c r="K128" s="1567"/>
    </row>
    <row r="129" spans="1:11" ht="12.75" customHeight="1" x14ac:dyDescent="0.2">
      <c r="A129" s="427" t="s">
        <v>1430</v>
      </c>
      <c r="B129" s="478">
        <v>3130</v>
      </c>
      <c r="C129" s="1565">
        <v>1666</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1025</v>
      </c>
      <c r="B132" s="1407"/>
      <c r="C132" s="1623">
        <f>SUM(C125:C131)</f>
        <v>276761</v>
      </c>
      <c r="D132" s="1623">
        <f>SUM(D125:D131)</f>
        <v>0</v>
      </c>
      <c r="E132" s="1568" t="s">
        <v>1159</v>
      </c>
      <c r="F132" s="1623">
        <f>SUM(F125:F131)</f>
        <v>0</v>
      </c>
      <c r="G132" s="1567" t="s">
        <v>1159</v>
      </c>
      <c r="H132" s="1567" t="s">
        <v>1159</v>
      </c>
      <c r="I132" s="1567" t="s">
        <v>1159</v>
      </c>
      <c r="J132" s="1567" t="s">
        <v>1159</v>
      </c>
      <c r="K132" s="1567" t="s">
        <v>1159</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1159</v>
      </c>
      <c r="F141" s="1573"/>
      <c r="G141" s="1623">
        <f>SUM(G134:G140)</f>
        <v>0</v>
      </c>
      <c r="H141" s="1567" t="s">
        <v>1159</v>
      </c>
      <c r="I141" s="1567" t="s">
        <v>1159</v>
      </c>
      <c r="J141" s="1567" t="s">
        <v>1159</v>
      </c>
      <c r="K141" s="1567" t="s">
        <v>1159</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1047</v>
      </c>
      <c r="B146" s="482">
        <v>3360</v>
      </c>
      <c r="C146" s="1636">
        <v>9251</v>
      </c>
      <c r="D146" s="1637"/>
      <c r="E146" s="1599"/>
      <c r="F146" s="1567"/>
      <c r="G146" s="1638"/>
      <c r="H146" s="1567"/>
      <c r="I146" s="1567"/>
      <c r="J146" s="1567"/>
      <c r="K146" s="1567"/>
    </row>
    <row r="147" spans="1:11" ht="12.75" customHeight="1" thickBot="1" x14ac:dyDescent="0.25">
      <c r="A147" s="1262" t="s">
        <v>916</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762</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1431</v>
      </c>
      <c r="B152" s="478">
        <v>3500</v>
      </c>
      <c r="C152" s="1622">
        <v>0</v>
      </c>
      <c r="D152" s="1565">
        <v>0</v>
      </c>
      <c r="E152" s="1630"/>
      <c r="F152" s="1565">
        <v>958881</v>
      </c>
      <c r="G152" s="1566">
        <v>0</v>
      </c>
      <c r="H152" s="1567"/>
      <c r="I152" s="1567"/>
      <c r="J152" s="1567"/>
      <c r="K152" s="1567"/>
    </row>
    <row r="153" spans="1:11" ht="12.75" customHeight="1" x14ac:dyDescent="0.2">
      <c r="A153" s="427" t="s">
        <v>1048</v>
      </c>
      <c r="B153" s="478">
        <v>3510</v>
      </c>
      <c r="C153" s="1622">
        <v>0</v>
      </c>
      <c r="D153" s="1565">
        <v>0</v>
      </c>
      <c r="E153" s="1630"/>
      <c r="F153" s="1565">
        <v>605452</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1564333</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993</v>
      </c>
      <c r="B158" s="484">
        <v>3695</v>
      </c>
      <c r="C158" s="1641">
        <v>0</v>
      </c>
      <c r="D158" s="1567"/>
      <c r="E158" s="1630"/>
      <c r="F158" s="1641">
        <v>0</v>
      </c>
      <c r="G158" s="1641">
        <v>0</v>
      </c>
      <c r="H158" s="1567"/>
      <c r="I158" s="1567"/>
      <c r="J158" s="1567"/>
      <c r="K158" s="1567"/>
    </row>
    <row r="159" spans="1:11" ht="12.75" customHeight="1" thickTop="1" thickBot="1" x14ac:dyDescent="0.25">
      <c r="A159" s="1263" t="s">
        <v>1042</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978</v>
      </c>
      <c r="B161" s="484">
        <v>3767</v>
      </c>
      <c r="C161" s="1641">
        <v>0</v>
      </c>
      <c r="D161" s="1617">
        <v>0</v>
      </c>
      <c r="E161" s="1630"/>
      <c r="F161" s="1617">
        <v>0</v>
      </c>
      <c r="G161" s="1617">
        <v>0</v>
      </c>
      <c r="H161" s="1567"/>
      <c r="I161" s="1567"/>
      <c r="J161" s="1567"/>
      <c r="K161" s="1567"/>
    </row>
    <row r="162" spans="1:11" ht="12.75" customHeight="1" thickTop="1" thickBot="1" x14ac:dyDescent="0.25">
      <c r="A162" s="1263" t="s">
        <v>979</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1432</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853</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50000</v>
      </c>
      <c r="I167" s="1567"/>
      <c r="J167" s="1567"/>
      <c r="K167" s="1616">
        <v>0</v>
      </c>
    </row>
    <row r="168" spans="1:11" ht="14.25" thickTop="1" thickBot="1" x14ac:dyDescent="0.25">
      <c r="A168" s="1263" t="s">
        <v>70</v>
      </c>
      <c r="B168" s="484">
        <v>3999</v>
      </c>
      <c r="C168" s="1644">
        <v>3458</v>
      </c>
      <c r="D168" s="1645">
        <v>0</v>
      </c>
      <c r="E168" s="1645">
        <v>0</v>
      </c>
      <c r="F168" s="1645">
        <v>0</v>
      </c>
      <c r="G168" s="1646">
        <v>0</v>
      </c>
      <c r="H168" s="1647">
        <v>0</v>
      </c>
      <c r="I168" s="1646">
        <v>0</v>
      </c>
      <c r="J168" s="1646">
        <v>0</v>
      </c>
      <c r="K168" s="1647">
        <v>0</v>
      </c>
    </row>
    <row r="169" spans="1:11" ht="12.75" customHeight="1" thickTop="1" thickBot="1" x14ac:dyDescent="0.25">
      <c r="A169" s="2274" t="s">
        <v>395</v>
      </c>
      <c r="B169" s="2275"/>
      <c r="C169" s="1648">
        <f t="shared" ref="C169:K169" si="6">SUM(C132,C141,C145,C146:C150,C155,C156:C167,C168)</f>
        <v>289470</v>
      </c>
      <c r="D169" s="1648">
        <f t="shared" si="6"/>
        <v>0</v>
      </c>
      <c r="E169" s="1648">
        <f t="shared" si="6"/>
        <v>0</v>
      </c>
      <c r="F169" s="1648">
        <f t="shared" si="6"/>
        <v>1564333</v>
      </c>
      <c r="G169" s="1648">
        <f t="shared" si="6"/>
        <v>0</v>
      </c>
      <c r="H169" s="1648">
        <f t="shared" si="6"/>
        <v>50000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8792497</v>
      </c>
      <c r="D170" s="1631">
        <f t="shared" si="7"/>
        <v>0</v>
      </c>
      <c r="E170" s="1631">
        <f t="shared" si="7"/>
        <v>0</v>
      </c>
      <c r="F170" s="1631">
        <f t="shared" si="7"/>
        <v>1564333</v>
      </c>
      <c r="G170" s="1631">
        <f t="shared" si="7"/>
        <v>0</v>
      </c>
      <c r="H170" s="1631">
        <f t="shared" si="7"/>
        <v>1250000</v>
      </c>
      <c r="I170" s="1631">
        <f t="shared" si="7"/>
        <v>0</v>
      </c>
      <c r="J170" s="1631">
        <f t="shared" si="7"/>
        <v>0</v>
      </c>
      <c r="K170" s="1619">
        <f t="shared" si="7"/>
        <v>0</v>
      </c>
    </row>
    <row r="171" spans="1:11" ht="16.7" customHeight="1" thickTop="1" x14ac:dyDescent="0.2">
      <c r="A171" s="1320" t="s">
        <v>799</v>
      </c>
      <c r="B171" s="1303"/>
      <c r="C171" s="1592"/>
      <c r="D171" s="1593"/>
      <c r="E171" s="1593"/>
      <c r="F171" s="1593"/>
      <c r="G171" s="1593"/>
      <c r="H171" s="1593"/>
      <c r="I171" s="1593"/>
      <c r="J171" s="1593"/>
      <c r="K171" s="1605"/>
    </row>
    <row r="172" spans="1:11" ht="15.75" customHeight="1" x14ac:dyDescent="0.2">
      <c r="A172" s="2276" t="s">
        <v>1475</v>
      </c>
      <c r="B172" s="2277"/>
      <c r="C172" s="1606"/>
      <c r="D172" s="1606"/>
      <c r="E172" s="1599"/>
      <c r="F172" s="1567"/>
      <c r="G172" s="1567"/>
      <c r="H172" s="1567"/>
      <c r="I172" s="1567"/>
      <c r="J172" s="1567"/>
      <c r="K172" s="1567"/>
    </row>
    <row r="173" spans="1:11" ht="12.6" customHeight="1" x14ac:dyDescent="0.2">
      <c r="A173" s="436" t="s">
        <v>1035</v>
      </c>
      <c r="B173" s="435">
        <v>4001</v>
      </c>
      <c r="C173" s="1603">
        <v>0</v>
      </c>
      <c r="D173" s="1577">
        <v>0</v>
      </c>
      <c r="E173" s="1566">
        <v>0</v>
      </c>
      <c r="F173" s="1565">
        <v>0</v>
      </c>
      <c r="G173" s="1565">
        <v>0</v>
      </c>
      <c r="H173" s="1566">
        <v>0</v>
      </c>
      <c r="I173" s="1566">
        <v>0</v>
      </c>
      <c r="J173" s="1566">
        <v>0</v>
      </c>
      <c r="K173" s="1566">
        <v>0</v>
      </c>
    </row>
    <row r="174" spans="1:11" ht="22.5" x14ac:dyDescent="0.2">
      <c r="A174" s="479" t="s">
        <v>800</v>
      </c>
      <c r="B174" s="485">
        <v>4009</v>
      </c>
      <c r="C174" s="1622">
        <v>0</v>
      </c>
      <c r="D174" s="1565">
        <v>0</v>
      </c>
      <c r="E174" s="1566">
        <v>0</v>
      </c>
      <c r="F174" s="1565">
        <v>0</v>
      </c>
      <c r="G174" s="1565">
        <v>0</v>
      </c>
      <c r="H174" s="1566">
        <v>0</v>
      </c>
      <c r="I174" s="1566">
        <v>0</v>
      </c>
      <c r="J174" s="1566">
        <v>0</v>
      </c>
      <c r="K174" s="1566">
        <v>0</v>
      </c>
    </row>
    <row r="175" spans="1:11" ht="13.5" thickBot="1" x14ac:dyDescent="0.25">
      <c r="A175" s="2280" t="s">
        <v>1646</v>
      </c>
      <c r="B175" s="2281"/>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84" t="s">
        <v>1645</v>
      </c>
      <c r="B176" s="2285"/>
      <c r="C176" s="1649"/>
      <c r="D176" s="1650"/>
      <c r="E176" s="1651"/>
      <c r="F176" s="1652"/>
      <c r="G176" s="1652"/>
      <c r="H176" s="1652"/>
      <c r="I176" s="1652"/>
      <c r="J176" s="1652"/>
      <c r="K176" s="1652"/>
    </row>
    <row r="177" spans="1:11" ht="12.75" customHeight="1" x14ac:dyDescent="0.2">
      <c r="A177" s="427" t="s">
        <v>1036</v>
      </c>
      <c r="B177" s="429">
        <v>4045</v>
      </c>
      <c r="C177" s="1622">
        <v>0</v>
      </c>
      <c r="D177" s="1567"/>
      <c r="E177" s="1630"/>
      <c r="F177" s="1567"/>
      <c r="G177" s="1567"/>
      <c r="H177" s="1567"/>
      <c r="I177" s="1567"/>
      <c r="J177" s="1567"/>
      <c r="K177" s="1567"/>
    </row>
    <row r="178" spans="1:11" ht="12.75" customHeight="1" x14ac:dyDescent="0.2">
      <c r="A178" s="427" t="s">
        <v>1037</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781</v>
      </c>
      <c r="B180" s="485">
        <v>4090</v>
      </c>
      <c r="C180" s="1622">
        <v>0</v>
      </c>
      <c r="D180" s="1565">
        <v>0</v>
      </c>
      <c r="E180" s="1567"/>
      <c r="F180" s="1565">
        <v>0</v>
      </c>
      <c r="G180" s="1565">
        <v>0</v>
      </c>
      <c r="H180" s="1565">
        <v>0</v>
      </c>
      <c r="I180" s="1567"/>
      <c r="J180" s="1567"/>
      <c r="K180" s="1565">
        <v>0</v>
      </c>
    </row>
    <row r="181" spans="1:11" ht="13.5" thickBot="1" x14ac:dyDescent="0.25">
      <c r="A181" s="2282" t="s">
        <v>780</v>
      </c>
      <c r="B181" s="2283"/>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78" t="s">
        <v>1777</v>
      </c>
      <c r="B182" s="2279"/>
      <c r="C182" s="1653"/>
      <c r="D182" s="1635"/>
      <c r="E182" s="1599"/>
      <c r="F182" s="1635"/>
      <c r="G182" s="1635"/>
      <c r="H182" s="1567"/>
      <c r="I182" s="1567"/>
      <c r="J182" s="1567"/>
      <c r="K182" s="1567"/>
    </row>
    <row r="183" spans="1:11" ht="15.75" customHeight="1" x14ac:dyDescent="0.2">
      <c r="A183" s="1334" t="s">
        <v>1585</v>
      </c>
      <c r="B183" s="1335"/>
      <c r="C183" s="1633"/>
      <c r="D183" s="1607"/>
      <c r="E183" s="1599"/>
      <c r="F183" s="1607"/>
      <c r="G183" s="1607"/>
      <c r="H183" s="1567"/>
      <c r="I183" s="1567"/>
      <c r="J183" s="1567"/>
      <c r="K183" s="1567"/>
    </row>
    <row r="184" spans="1:11" ht="12.75" customHeight="1" x14ac:dyDescent="0.2">
      <c r="A184" s="427" t="s">
        <v>1586</v>
      </c>
      <c r="B184" s="429">
        <v>4100</v>
      </c>
      <c r="C184" s="1603">
        <v>0</v>
      </c>
      <c r="D184" s="1577">
        <v>0</v>
      </c>
      <c r="E184" s="1630"/>
      <c r="F184" s="1577">
        <v>0</v>
      </c>
      <c r="G184" s="1577">
        <v>0</v>
      </c>
      <c r="H184" s="1567"/>
      <c r="I184" s="1567"/>
      <c r="J184" s="1567"/>
      <c r="K184" s="1567"/>
    </row>
    <row r="185" spans="1:11" ht="12.75" customHeight="1" x14ac:dyDescent="0.2">
      <c r="A185" s="427" t="s">
        <v>1587</v>
      </c>
      <c r="B185" s="429">
        <v>4105</v>
      </c>
      <c r="C185" s="1622">
        <v>0</v>
      </c>
      <c r="D185" s="1565">
        <v>0</v>
      </c>
      <c r="E185" s="1630"/>
      <c r="F185" s="1565">
        <v>0</v>
      </c>
      <c r="G185" s="1565">
        <v>0</v>
      </c>
      <c r="H185" s="1567"/>
      <c r="I185" s="1567"/>
      <c r="J185" s="1567"/>
      <c r="K185" s="1567"/>
    </row>
    <row r="186" spans="1:11" ht="12.75" customHeight="1" x14ac:dyDescent="0.2">
      <c r="A186" s="427" t="s">
        <v>1589</v>
      </c>
      <c r="B186" s="429">
        <v>4107</v>
      </c>
      <c r="C186" s="1622">
        <v>0</v>
      </c>
      <c r="D186" s="1565">
        <v>0</v>
      </c>
      <c r="E186" s="1630"/>
      <c r="F186" s="1565">
        <v>0</v>
      </c>
      <c r="G186" s="1565">
        <v>0</v>
      </c>
      <c r="H186" s="1567"/>
      <c r="I186" s="1567"/>
      <c r="J186" s="1567"/>
      <c r="K186" s="1567"/>
    </row>
    <row r="187" spans="1:11" ht="12.75" customHeight="1" x14ac:dyDescent="0.2">
      <c r="A187" s="427" t="s">
        <v>1588</v>
      </c>
      <c r="B187" s="429">
        <v>4199</v>
      </c>
      <c r="C187" s="1622">
        <v>0</v>
      </c>
      <c r="D187" s="1565">
        <v>0</v>
      </c>
      <c r="E187" s="1630"/>
      <c r="F187" s="1565">
        <v>0</v>
      </c>
      <c r="G187" s="1565">
        <v>0</v>
      </c>
      <c r="H187" s="1567"/>
      <c r="I187" s="1567"/>
      <c r="J187" s="1567"/>
      <c r="K187" s="1567"/>
    </row>
    <row r="188" spans="1:11" ht="12.75" customHeight="1" thickBot="1" x14ac:dyDescent="0.25">
      <c r="A188" s="1399" t="s">
        <v>1590</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1433</v>
      </c>
      <c r="B190" s="429">
        <v>4200</v>
      </c>
      <c r="C190" s="1566">
        <v>0</v>
      </c>
      <c r="D190" s="1567"/>
      <c r="E190" s="1630"/>
      <c r="F190" s="1624"/>
      <c r="G190" s="1654">
        <v>0</v>
      </c>
      <c r="H190" s="1567"/>
      <c r="I190" s="1567"/>
      <c r="J190" s="1567"/>
      <c r="K190" s="1567"/>
    </row>
    <row r="191" spans="1:11" ht="12.75" customHeight="1" x14ac:dyDescent="0.2">
      <c r="A191" s="427" t="s">
        <v>1049</v>
      </c>
      <c r="B191" s="429">
        <v>4210</v>
      </c>
      <c r="C191" s="1565">
        <v>580794</v>
      </c>
      <c r="D191" s="1567"/>
      <c r="E191" s="1630"/>
      <c r="F191" s="1567"/>
      <c r="G191" s="1654">
        <v>0</v>
      </c>
      <c r="H191" s="1567"/>
      <c r="I191" s="1567"/>
      <c r="J191" s="1567"/>
      <c r="K191" s="1567"/>
    </row>
    <row r="192" spans="1:11" ht="12.75" customHeight="1" x14ac:dyDescent="0.2">
      <c r="A192" s="427" t="s">
        <v>1038</v>
      </c>
      <c r="B192" s="429">
        <v>4215</v>
      </c>
      <c r="C192" s="1622">
        <v>0</v>
      </c>
      <c r="D192" s="1567"/>
      <c r="E192" s="1630"/>
      <c r="F192" s="1567"/>
      <c r="G192" s="1654">
        <v>0</v>
      </c>
      <c r="H192" s="1567"/>
      <c r="I192" s="1567"/>
      <c r="J192" s="1567"/>
      <c r="K192" s="1567"/>
    </row>
    <row r="193" spans="1:11" ht="12.75" customHeight="1" x14ac:dyDescent="0.2">
      <c r="A193" s="427" t="s">
        <v>1050</v>
      </c>
      <c r="B193" s="429">
        <v>4220</v>
      </c>
      <c r="C193" s="1622">
        <v>83859</v>
      </c>
      <c r="D193" s="1567"/>
      <c r="E193" s="1630"/>
      <c r="F193" s="1567"/>
      <c r="G193" s="1654">
        <v>0</v>
      </c>
      <c r="H193" s="1567"/>
      <c r="I193" s="1567"/>
      <c r="J193" s="1567"/>
      <c r="K193" s="1567"/>
    </row>
    <row r="194" spans="1:11" ht="12.75" customHeight="1" x14ac:dyDescent="0.2">
      <c r="A194" s="427" t="s">
        <v>1434</v>
      </c>
      <c r="B194" s="429">
        <v>4225</v>
      </c>
      <c r="C194" s="1622">
        <v>157150</v>
      </c>
      <c r="D194" s="1567"/>
      <c r="E194" s="1630"/>
      <c r="F194" s="1567"/>
      <c r="G194" s="1654">
        <v>0</v>
      </c>
      <c r="H194" s="1567"/>
      <c r="I194" s="1567"/>
      <c r="J194" s="1567"/>
      <c r="K194" s="1567"/>
    </row>
    <row r="195" spans="1:11" ht="12.75" customHeight="1" x14ac:dyDescent="0.2">
      <c r="A195" s="427" t="s">
        <v>1435</v>
      </c>
      <c r="B195" s="429">
        <v>4226</v>
      </c>
      <c r="C195" s="1622">
        <v>0</v>
      </c>
      <c r="D195" s="1567"/>
      <c r="E195" s="1630"/>
      <c r="F195" s="1567"/>
      <c r="G195" s="1654">
        <v>0</v>
      </c>
      <c r="H195" s="1567"/>
      <c r="I195" s="1567"/>
      <c r="J195" s="1567"/>
      <c r="K195" s="1567"/>
    </row>
    <row r="196" spans="1:11" ht="12.75" customHeight="1" x14ac:dyDescent="0.2">
      <c r="A196" s="427" t="s">
        <v>787</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821803</v>
      </c>
      <c r="D198" s="1567"/>
      <c r="E198" s="1567"/>
      <c r="F198" s="1567"/>
      <c r="G198" s="1585">
        <f>SUM(G190:G197)</f>
        <v>0</v>
      </c>
      <c r="H198" s="1567"/>
      <c r="I198" s="1567"/>
      <c r="J198" s="1567"/>
      <c r="K198" s="1567"/>
    </row>
    <row r="199" spans="1:11" ht="15.75" customHeight="1" thickTop="1" x14ac:dyDescent="0.2">
      <c r="A199" s="1331" t="s">
        <v>1128</v>
      </c>
      <c r="B199" s="1336"/>
      <c r="C199" s="1624"/>
      <c r="D199" s="1567"/>
      <c r="E199" s="1567"/>
      <c r="F199" s="1567"/>
      <c r="G199" s="1567"/>
      <c r="H199" s="1567"/>
      <c r="I199" s="1567"/>
      <c r="J199" s="1567"/>
      <c r="K199" s="1567"/>
    </row>
    <row r="200" spans="1:11" ht="12.75" customHeight="1" x14ac:dyDescent="0.2">
      <c r="A200" s="427" t="s">
        <v>912</v>
      </c>
      <c r="B200" s="429">
        <v>4300</v>
      </c>
      <c r="C200" s="1565">
        <v>752948</v>
      </c>
      <c r="D200" s="1565">
        <v>0</v>
      </c>
      <c r="E200" s="1567"/>
      <c r="F200" s="1565">
        <v>0</v>
      </c>
      <c r="G200" s="1565">
        <v>0</v>
      </c>
      <c r="H200" s="1567"/>
      <c r="I200" s="1567"/>
      <c r="J200" s="1567"/>
      <c r="K200" s="1567"/>
    </row>
    <row r="201" spans="1:11" ht="12.75" customHeight="1" x14ac:dyDescent="0.2">
      <c r="A201" s="427" t="s">
        <v>913</v>
      </c>
      <c r="B201" s="429">
        <v>4305</v>
      </c>
      <c r="C201" s="1622">
        <v>0</v>
      </c>
      <c r="D201" s="1565">
        <v>0</v>
      </c>
      <c r="E201" s="1567"/>
      <c r="F201" s="1565">
        <v>0</v>
      </c>
      <c r="G201" s="1565">
        <v>0</v>
      </c>
      <c r="H201" s="1567"/>
      <c r="I201" s="1567"/>
      <c r="J201" s="1567"/>
      <c r="K201" s="1567"/>
    </row>
    <row r="202" spans="1:11" ht="12.75" customHeight="1" x14ac:dyDescent="0.2">
      <c r="A202" s="427" t="s">
        <v>1024</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4050</v>
      </c>
      <c r="D203" s="1565">
        <v>0</v>
      </c>
      <c r="E203" s="1567"/>
      <c r="F203" s="1565">
        <v>0</v>
      </c>
      <c r="G203" s="1565">
        <v>0</v>
      </c>
      <c r="H203" s="1567"/>
      <c r="I203" s="1567"/>
      <c r="J203" s="1567"/>
      <c r="K203" s="1567"/>
    </row>
    <row r="204" spans="1:11" ht="12.75" customHeight="1" thickBot="1" x14ac:dyDescent="0.25">
      <c r="A204" s="1399" t="s">
        <v>397</v>
      </c>
      <c r="B204" s="1400"/>
      <c r="C204" s="1623">
        <f>SUM(C200:C203)</f>
        <v>756998</v>
      </c>
      <c r="D204" s="1623">
        <f>SUM(D200:D203)</f>
        <v>0</v>
      </c>
      <c r="E204" s="1567"/>
      <c r="F204" s="1623">
        <f>SUM(F200:F203)</f>
        <v>0</v>
      </c>
      <c r="G204" s="1623">
        <f>SUM(G200:G203)</f>
        <v>0</v>
      </c>
      <c r="H204" s="1567"/>
      <c r="I204" s="1567"/>
      <c r="J204" s="1567"/>
      <c r="K204" s="1567"/>
    </row>
    <row r="205" spans="1:11" ht="15.75" customHeight="1" thickTop="1" x14ac:dyDescent="0.2">
      <c r="A205" s="1331" t="s">
        <v>1129</v>
      </c>
      <c r="B205" s="1336"/>
      <c r="C205" s="1624"/>
      <c r="D205" s="1624"/>
      <c r="E205" s="1567"/>
      <c r="F205" s="1624"/>
      <c r="G205" s="1624"/>
      <c r="H205" s="1567"/>
      <c r="I205" s="1567"/>
      <c r="J205" s="1567"/>
      <c r="K205" s="1567"/>
    </row>
    <row r="206" spans="1:11" ht="12.75" customHeight="1" x14ac:dyDescent="0.2">
      <c r="A206" s="427" t="s">
        <v>754</v>
      </c>
      <c r="B206" s="429">
        <v>4400</v>
      </c>
      <c r="C206" s="1622">
        <v>0</v>
      </c>
      <c r="D206" s="1565">
        <v>0</v>
      </c>
      <c r="E206" s="1567"/>
      <c r="F206" s="1565">
        <v>0</v>
      </c>
      <c r="G206" s="1565">
        <v>0</v>
      </c>
      <c r="H206" s="1567"/>
      <c r="I206" s="1567"/>
      <c r="J206" s="1567"/>
      <c r="K206" s="1567"/>
    </row>
    <row r="207" spans="1:11" ht="12.75" customHeight="1" x14ac:dyDescent="0.2">
      <c r="A207" s="427" t="s">
        <v>1436</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883</v>
      </c>
      <c r="B209" s="1400"/>
      <c r="C209" s="1623">
        <f>SUM(C206:C208)</f>
        <v>0</v>
      </c>
      <c r="D209" s="1623">
        <f>SUM(D206:D208)</f>
        <v>0</v>
      </c>
      <c r="E209" s="1567" t="s">
        <v>1159</v>
      </c>
      <c r="F209" s="1623">
        <f>SUM(F206:F208)</f>
        <v>0</v>
      </c>
      <c r="G209" s="1623">
        <f>SUM(G206:G208)</f>
        <v>0</v>
      </c>
      <c r="H209" s="1567"/>
      <c r="I209" s="1567"/>
      <c r="J209" s="1567"/>
      <c r="K209" s="1567"/>
    </row>
    <row r="210" spans="1:11" ht="15.75" customHeight="1" thickTop="1" x14ac:dyDescent="0.2">
      <c r="A210" s="1331" t="s">
        <v>1083</v>
      </c>
      <c r="B210" s="1336"/>
      <c r="C210" s="1624"/>
      <c r="D210" s="1624"/>
      <c r="E210" s="1567"/>
      <c r="F210" s="1624"/>
      <c r="G210" s="1624"/>
      <c r="H210" s="1567"/>
      <c r="I210" s="1567"/>
      <c r="J210" s="1567"/>
      <c r="K210" s="1567"/>
    </row>
    <row r="211" spans="1:11" ht="12.75" customHeight="1" x14ac:dyDescent="0.2">
      <c r="A211" s="427" t="s">
        <v>1043</v>
      </c>
      <c r="B211" s="429">
        <v>4600</v>
      </c>
      <c r="C211" s="1622">
        <v>46481</v>
      </c>
      <c r="D211" s="1565">
        <v>0</v>
      </c>
      <c r="E211" s="1567"/>
      <c r="F211" s="1565">
        <v>0</v>
      </c>
      <c r="G211" s="1565">
        <v>0</v>
      </c>
      <c r="H211" s="1567"/>
      <c r="I211" s="1567"/>
      <c r="J211" s="1567"/>
      <c r="K211" s="1567"/>
    </row>
    <row r="212" spans="1:11" ht="12.75" customHeight="1" x14ac:dyDescent="0.2">
      <c r="A212" s="427" t="s">
        <v>1044</v>
      </c>
      <c r="B212" s="429">
        <v>4605</v>
      </c>
      <c r="C212" s="1622">
        <v>0</v>
      </c>
      <c r="D212" s="1565">
        <v>0</v>
      </c>
      <c r="E212" s="1567"/>
      <c r="F212" s="1565">
        <v>0</v>
      </c>
      <c r="G212" s="1565">
        <v>0</v>
      </c>
      <c r="H212" s="1567"/>
      <c r="I212" s="1567"/>
      <c r="J212" s="1567"/>
      <c r="K212" s="1567"/>
    </row>
    <row r="213" spans="1:11" ht="12.75" customHeight="1" x14ac:dyDescent="0.2">
      <c r="A213" s="427" t="s">
        <v>1437</v>
      </c>
      <c r="B213" s="475">
        <v>4620</v>
      </c>
      <c r="C213" s="1622">
        <v>1032706</v>
      </c>
      <c r="D213" s="1565">
        <v>0</v>
      </c>
      <c r="E213" s="1567"/>
      <c r="F213" s="1565">
        <v>0</v>
      </c>
      <c r="G213" s="1565">
        <v>0</v>
      </c>
      <c r="H213" s="1567"/>
      <c r="I213" s="1567"/>
      <c r="J213" s="1567"/>
      <c r="K213" s="1567"/>
    </row>
    <row r="214" spans="1:11" ht="12.75" customHeight="1" x14ac:dyDescent="0.2">
      <c r="A214" s="427" t="s">
        <v>1045</v>
      </c>
      <c r="B214" s="429">
        <v>4625</v>
      </c>
      <c r="C214" s="1622">
        <v>255628</v>
      </c>
      <c r="D214" s="1565">
        <v>0</v>
      </c>
      <c r="E214" s="1567"/>
      <c r="F214" s="1565">
        <v>0</v>
      </c>
      <c r="G214" s="1565">
        <v>0</v>
      </c>
      <c r="H214" s="1567"/>
      <c r="I214" s="1567"/>
      <c r="J214" s="1567"/>
      <c r="K214" s="1567"/>
    </row>
    <row r="215" spans="1:11" ht="12.75" customHeight="1" x14ac:dyDescent="0.2">
      <c r="A215" s="427" t="s">
        <v>1046</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1334815</v>
      </c>
      <c r="D217" s="1623">
        <f>SUM(D211:D216)</f>
        <v>0</v>
      </c>
      <c r="E217" s="1567"/>
      <c r="F217" s="1623">
        <f>SUM(F211:F216)</f>
        <v>0</v>
      </c>
      <c r="G217" s="1623">
        <f>SUM(G211:G216)</f>
        <v>0</v>
      </c>
      <c r="H217" s="1567"/>
      <c r="I217" s="1567"/>
      <c r="J217" s="1567"/>
      <c r="K217" s="1567"/>
    </row>
    <row r="218" spans="1:11" ht="15.75" customHeight="1" thickTop="1" x14ac:dyDescent="0.2">
      <c r="A218" s="1331" t="s">
        <v>1084</v>
      </c>
      <c r="B218" s="1336"/>
      <c r="C218" s="1624"/>
      <c r="D218" s="1624"/>
      <c r="E218" s="1567"/>
      <c r="F218" s="1624"/>
      <c r="G218" s="1624"/>
      <c r="H218" s="1567"/>
      <c r="I218" s="1567"/>
      <c r="J218" s="1567"/>
      <c r="K218" s="1567"/>
    </row>
    <row r="219" spans="1:11" ht="12.75" customHeight="1" x14ac:dyDescent="0.2">
      <c r="A219" s="427" t="s">
        <v>782</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1076</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752</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1118</v>
      </c>
      <c r="B241" s="435">
        <v>4870</v>
      </c>
      <c r="C241" s="1588">
        <v>0</v>
      </c>
      <c r="D241" s="1566">
        <v>0</v>
      </c>
      <c r="E241" s="1566">
        <v>0</v>
      </c>
      <c r="F241" s="1566">
        <v>0</v>
      </c>
      <c r="G241" s="1566">
        <v>0</v>
      </c>
      <c r="H241" s="1566">
        <v>0</v>
      </c>
      <c r="I241" s="1567"/>
      <c r="J241" s="1566">
        <v>0</v>
      </c>
      <c r="K241" s="1566">
        <v>0</v>
      </c>
    </row>
    <row r="242" spans="1:11" ht="12.75" customHeight="1" x14ac:dyDescent="0.2">
      <c r="A242" s="436" t="s">
        <v>783</v>
      </c>
      <c r="B242" s="435">
        <v>4871</v>
      </c>
      <c r="C242" s="1588">
        <v>0</v>
      </c>
      <c r="D242" s="1566">
        <v>0</v>
      </c>
      <c r="E242" s="1566">
        <v>0</v>
      </c>
      <c r="F242" s="1566">
        <v>0</v>
      </c>
      <c r="G242" s="1566">
        <v>0</v>
      </c>
      <c r="H242" s="1566">
        <v>0</v>
      </c>
      <c r="I242" s="1567"/>
      <c r="J242" s="1566">
        <v>0</v>
      </c>
      <c r="K242" s="1566">
        <v>0</v>
      </c>
    </row>
    <row r="243" spans="1:11" ht="12.75" customHeight="1" x14ac:dyDescent="0.2">
      <c r="A243" s="436" t="s">
        <v>784</v>
      </c>
      <c r="B243" s="435">
        <v>4872</v>
      </c>
      <c r="C243" s="1588">
        <v>0</v>
      </c>
      <c r="D243" s="1566">
        <v>0</v>
      </c>
      <c r="E243" s="1566">
        <v>0</v>
      </c>
      <c r="F243" s="1566">
        <v>0</v>
      </c>
      <c r="G243" s="1566">
        <v>0</v>
      </c>
      <c r="H243" s="1566">
        <v>0</v>
      </c>
      <c r="I243" s="1567"/>
      <c r="J243" s="1566">
        <v>0</v>
      </c>
      <c r="K243" s="1566">
        <v>0</v>
      </c>
    </row>
    <row r="244" spans="1:11" ht="12.75" customHeight="1" x14ac:dyDescent="0.2">
      <c r="A244" s="436" t="s">
        <v>785</v>
      </c>
      <c r="B244" s="435">
        <v>4873</v>
      </c>
      <c r="C244" s="1588">
        <v>0</v>
      </c>
      <c r="D244" s="1566">
        <v>0</v>
      </c>
      <c r="E244" s="1566">
        <v>0</v>
      </c>
      <c r="F244" s="1566">
        <v>0</v>
      </c>
      <c r="G244" s="1566">
        <v>0</v>
      </c>
      <c r="H244" s="1566">
        <v>0</v>
      </c>
      <c r="I244" s="1567"/>
      <c r="J244" s="1566">
        <v>0</v>
      </c>
      <c r="K244" s="1566">
        <v>0</v>
      </c>
    </row>
    <row r="245" spans="1:11" ht="12.75" customHeight="1" x14ac:dyDescent="0.2">
      <c r="A245" s="436" t="s">
        <v>786</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765</v>
      </c>
      <c r="B247" s="435">
        <v>4876</v>
      </c>
      <c r="C247" s="1588">
        <v>0</v>
      </c>
      <c r="D247" s="1566">
        <v>0</v>
      </c>
      <c r="E247" s="1566">
        <v>0</v>
      </c>
      <c r="F247" s="1566">
        <v>0</v>
      </c>
      <c r="G247" s="1566">
        <v>0</v>
      </c>
      <c r="H247" s="1566">
        <v>0</v>
      </c>
      <c r="I247" s="1567"/>
      <c r="J247" s="1566">
        <v>0</v>
      </c>
      <c r="K247" s="1566">
        <v>0</v>
      </c>
    </row>
    <row r="248" spans="1:11" ht="12.75" customHeight="1" x14ac:dyDescent="0.2">
      <c r="A248" s="436" t="s">
        <v>766</v>
      </c>
      <c r="B248" s="435">
        <v>4877</v>
      </c>
      <c r="C248" s="1588">
        <v>0</v>
      </c>
      <c r="D248" s="1566">
        <v>0</v>
      </c>
      <c r="E248" s="1566">
        <v>0</v>
      </c>
      <c r="F248" s="1566">
        <v>0</v>
      </c>
      <c r="G248" s="1566">
        <v>0</v>
      </c>
      <c r="H248" s="1566">
        <v>0</v>
      </c>
      <c r="I248" s="1567"/>
      <c r="J248" s="1566">
        <v>0</v>
      </c>
      <c r="K248" s="1566">
        <v>0</v>
      </c>
    </row>
    <row r="249" spans="1:11" ht="12.75" customHeight="1" x14ac:dyDescent="0.2">
      <c r="A249" s="436" t="s">
        <v>767</v>
      </c>
      <c r="B249" s="435">
        <v>4878</v>
      </c>
      <c r="C249" s="1588">
        <v>0</v>
      </c>
      <c r="D249" s="1566">
        <v>0</v>
      </c>
      <c r="E249" s="1566">
        <v>0</v>
      </c>
      <c r="F249" s="1566">
        <v>0</v>
      </c>
      <c r="G249" s="1566">
        <v>0</v>
      </c>
      <c r="H249" s="1566">
        <v>0</v>
      </c>
      <c r="I249" s="1567"/>
      <c r="J249" s="1566">
        <v>0</v>
      </c>
      <c r="K249" s="1566">
        <v>0</v>
      </c>
    </row>
    <row r="250" spans="1:11" ht="12.75" customHeight="1" x14ac:dyDescent="0.2">
      <c r="A250" s="436" t="s">
        <v>768</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1438</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769</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1404</v>
      </c>
      <c r="B253" s="487">
        <v>4901</v>
      </c>
      <c r="C253" s="1656">
        <v>0</v>
      </c>
      <c r="D253" s="1568"/>
      <c r="E253" s="1567"/>
      <c r="F253" s="1567"/>
      <c r="G253" s="1567"/>
      <c r="H253" s="1567"/>
      <c r="I253" s="1567"/>
      <c r="J253" s="1567"/>
      <c r="K253" s="1567"/>
    </row>
    <row r="254" spans="1:11" ht="12.75" customHeight="1" thickTop="1" thickBot="1" x14ac:dyDescent="0.25">
      <c r="A254" s="1266" t="s">
        <v>1446</v>
      </c>
      <c r="B254" s="488">
        <v>4902</v>
      </c>
      <c r="C254" s="1657">
        <v>0</v>
      </c>
      <c r="D254" s="1658">
        <v>0</v>
      </c>
      <c r="E254" s="1568"/>
      <c r="F254" s="1658">
        <v>0</v>
      </c>
      <c r="G254" s="1658">
        <v>0</v>
      </c>
      <c r="H254" s="1568"/>
      <c r="I254" s="1567"/>
      <c r="J254" s="1568"/>
      <c r="K254" s="1568"/>
    </row>
    <row r="255" spans="1:11" ht="12.75" customHeight="1" thickTop="1" thickBot="1" x14ac:dyDescent="0.25">
      <c r="A255" s="427" t="s">
        <v>1439</v>
      </c>
      <c r="B255" s="429">
        <v>4905</v>
      </c>
      <c r="C255" s="1639">
        <v>0</v>
      </c>
      <c r="D255" s="1567"/>
      <c r="E255" s="1567"/>
      <c r="F255" s="1643">
        <v>0</v>
      </c>
      <c r="G255" s="1639">
        <v>0</v>
      </c>
      <c r="H255" s="1567"/>
      <c r="I255" s="1567"/>
      <c r="J255" s="1567"/>
      <c r="K255" s="1567"/>
    </row>
    <row r="256" spans="1:11" ht="12.75" customHeight="1" thickTop="1" thickBot="1" x14ac:dyDescent="0.25">
      <c r="A256" s="427" t="s">
        <v>1440</v>
      </c>
      <c r="B256" s="429">
        <v>4909</v>
      </c>
      <c r="C256" s="1641">
        <v>56846</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753</v>
      </c>
      <c r="B259" s="429">
        <v>4932</v>
      </c>
      <c r="C259" s="1641">
        <v>117911</v>
      </c>
      <c r="D259" s="1641">
        <v>0</v>
      </c>
      <c r="E259" s="1567"/>
      <c r="F259" s="1641">
        <v>0</v>
      </c>
      <c r="G259" s="1641">
        <v>0</v>
      </c>
      <c r="H259" s="1567"/>
      <c r="I259" s="1567"/>
      <c r="J259" s="1567"/>
      <c r="K259" s="1567"/>
    </row>
    <row r="260" spans="1:11" ht="12.75" customHeight="1" thickTop="1" thickBot="1" x14ac:dyDescent="0.25">
      <c r="A260" s="427" t="s">
        <v>884</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126746</v>
      </c>
      <c r="D263" s="1641">
        <v>0</v>
      </c>
      <c r="E263" s="1567"/>
      <c r="F263" s="1641">
        <v>0</v>
      </c>
      <c r="G263" s="1641">
        <v>0</v>
      </c>
      <c r="H263" s="1567"/>
      <c r="I263" s="1567"/>
      <c r="J263" s="1567"/>
      <c r="K263" s="1567"/>
    </row>
    <row r="264" spans="1:11" ht="12.75" customHeight="1" thickTop="1" thickBot="1" x14ac:dyDescent="0.25">
      <c r="A264" s="427" t="s">
        <v>374</v>
      </c>
      <c r="B264" s="429">
        <v>4992</v>
      </c>
      <c r="C264" s="1640">
        <v>382403</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1647</v>
      </c>
      <c r="B266" s="1412"/>
      <c r="C266" s="1631">
        <f t="shared" ref="C266:H266" si="10">SUM(C188,C198,C204,C209,C217,C221,C222,C252:C265)</f>
        <v>3597522</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1077</v>
      </c>
      <c r="B267" s="1414" t="s">
        <v>855</v>
      </c>
      <c r="C267" s="1631">
        <f>SUM(C175,C181,C266)</f>
        <v>3597522</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53245903</v>
      </c>
      <c r="D268" s="1631">
        <f t="shared" si="12"/>
        <v>5524594</v>
      </c>
      <c r="E268" s="1631">
        <f t="shared" si="12"/>
        <v>2850577</v>
      </c>
      <c r="F268" s="1631">
        <f t="shared" si="12"/>
        <v>4842381</v>
      </c>
      <c r="G268" s="1631">
        <f t="shared" si="12"/>
        <v>1845494</v>
      </c>
      <c r="H268" s="1631">
        <f t="shared" si="12"/>
        <v>1490647</v>
      </c>
      <c r="I268" s="1631">
        <f t="shared" si="12"/>
        <v>560817</v>
      </c>
      <c r="J268" s="1631">
        <f t="shared" si="12"/>
        <v>507287</v>
      </c>
      <c r="K268" s="1619">
        <f t="shared" si="12"/>
        <v>13330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45" activePane="bottomLeft" state="frozen"/>
      <selection activeCell="C44" sqref="C44"/>
      <selection pane="bottomLeft" activeCell="E6" sqref="E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4"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2" t="s">
        <v>294</v>
      </c>
      <c r="B3" s="2293"/>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955</v>
      </c>
      <c r="B5" s="503">
        <v>1100</v>
      </c>
      <c r="C5" s="1565">
        <v>11362453</v>
      </c>
      <c r="D5" s="1565">
        <v>1730097</v>
      </c>
      <c r="E5" s="1565">
        <v>106244</v>
      </c>
      <c r="F5" s="1565">
        <v>756370</v>
      </c>
      <c r="G5" s="1565">
        <v>495793</v>
      </c>
      <c r="H5" s="1565">
        <v>1162</v>
      </c>
      <c r="I5" s="1566">
        <v>100691</v>
      </c>
      <c r="J5" s="1566">
        <v>0</v>
      </c>
      <c r="K5" s="1662">
        <f>SUM(C5:J5)</f>
        <v>14552810</v>
      </c>
      <c r="L5" s="1565">
        <v>23301231</v>
      </c>
    </row>
    <row r="6" spans="1:14" x14ac:dyDescent="0.2">
      <c r="A6" s="1267" t="s">
        <v>1416</v>
      </c>
      <c r="B6" s="503" t="s">
        <v>1414</v>
      </c>
      <c r="C6" s="1573"/>
      <c r="D6" s="1573"/>
      <c r="E6" s="1565">
        <v>0</v>
      </c>
      <c r="F6" s="1573"/>
      <c r="G6" s="1573"/>
      <c r="H6" s="1573"/>
      <c r="I6" s="1573"/>
      <c r="J6" s="1573"/>
      <c r="K6" s="1662">
        <f>SUM(C6,E6)</f>
        <v>0</v>
      </c>
      <c r="L6" s="1565">
        <v>0</v>
      </c>
    </row>
    <row r="7" spans="1:14" x14ac:dyDescent="0.2">
      <c r="A7" s="1267" t="s">
        <v>162</v>
      </c>
      <c r="B7" s="503" t="s">
        <v>961</v>
      </c>
      <c r="C7" s="1566">
        <v>7056957</v>
      </c>
      <c r="D7" s="1566">
        <v>766937</v>
      </c>
      <c r="E7" s="1566">
        <v>37886</v>
      </c>
      <c r="F7" s="1566">
        <v>432477</v>
      </c>
      <c r="G7" s="1566">
        <v>188360</v>
      </c>
      <c r="H7" s="1566">
        <v>637</v>
      </c>
      <c r="I7" s="1566">
        <v>4208</v>
      </c>
      <c r="J7" s="1566">
        <v>0</v>
      </c>
      <c r="K7" s="1662">
        <f t="shared" ref="K7:K32" si="0">SUM(C7:J7)</f>
        <v>8487462</v>
      </c>
      <c r="L7" s="1565">
        <v>0</v>
      </c>
    </row>
    <row r="8" spans="1:14" x14ac:dyDescent="0.2">
      <c r="A8" s="1267" t="s">
        <v>163</v>
      </c>
      <c r="B8" s="503">
        <v>1200</v>
      </c>
      <c r="C8" s="1565">
        <v>6960204</v>
      </c>
      <c r="D8" s="1565">
        <v>1080018</v>
      </c>
      <c r="E8" s="1565">
        <v>373045</v>
      </c>
      <c r="F8" s="1565">
        <v>129180</v>
      </c>
      <c r="G8" s="1565">
        <v>0</v>
      </c>
      <c r="H8" s="1565">
        <v>40</v>
      </c>
      <c r="I8" s="1566">
        <v>17866</v>
      </c>
      <c r="J8" s="1566">
        <v>0</v>
      </c>
      <c r="K8" s="1662">
        <f t="shared" si="0"/>
        <v>8560353</v>
      </c>
      <c r="L8" s="1565">
        <v>8275194</v>
      </c>
    </row>
    <row r="9" spans="1:14" x14ac:dyDescent="0.2">
      <c r="A9" s="1267" t="s">
        <v>716</v>
      </c>
      <c r="B9" s="503" t="s">
        <v>962</v>
      </c>
      <c r="C9" s="1566">
        <v>0</v>
      </c>
      <c r="D9" s="1566">
        <v>0</v>
      </c>
      <c r="E9" s="1566">
        <v>0</v>
      </c>
      <c r="F9" s="1566">
        <v>0</v>
      </c>
      <c r="G9" s="1566">
        <v>0</v>
      </c>
      <c r="H9" s="1566">
        <v>0</v>
      </c>
      <c r="I9" s="1566">
        <v>0</v>
      </c>
      <c r="J9" s="1566">
        <v>0</v>
      </c>
      <c r="K9" s="1662">
        <f t="shared" si="0"/>
        <v>0</v>
      </c>
      <c r="L9" s="1565">
        <v>0</v>
      </c>
    </row>
    <row r="10" spans="1:14" x14ac:dyDescent="0.2">
      <c r="A10" s="1267" t="s">
        <v>717</v>
      </c>
      <c r="B10" s="503">
        <v>1250</v>
      </c>
      <c r="C10" s="1565">
        <v>399923</v>
      </c>
      <c r="D10" s="1565">
        <v>36093</v>
      </c>
      <c r="E10" s="1565">
        <v>27147</v>
      </c>
      <c r="F10" s="1565">
        <v>155582</v>
      </c>
      <c r="G10" s="1565">
        <v>0</v>
      </c>
      <c r="H10" s="1565">
        <v>0</v>
      </c>
      <c r="I10" s="1566">
        <v>0</v>
      </c>
      <c r="J10" s="1566">
        <v>0</v>
      </c>
      <c r="K10" s="1662">
        <f t="shared" si="0"/>
        <v>618745</v>
      </c>
      <c r="L10" s="1565">
        <v>758549</v>
      </c>
    </row>
    <row r="11" spans="1:14" x14ac:dyDescent="0.2">
      <c r="A11" s="1267" t="s">
        <v>1120</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956</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718</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957</v>
      </c>
      <c r="B14" s="503">
        <v>1500</v>
      </c>
      <c r="C14" s="1565">
        <v>255154</v>
      </c>
      <c r="D14" s="1565">
        <v>2754</v>
      </c>
      <c r="E14" s="1565">
        <v>10549</v>
      </c>
      <c r="F14" s="1565">
        <v>3703</v>
      </c>
      <c r="G14" s="1565">
        <v>0</v>
      </c>
      <c r="H14" s="1565">
        <v>5710</v>
      </c>
      <c r="I14" s="1566">
        <v>0</v>
      </c>
      <c r="J14" s="1566">
        <v>0</v>
      </c>
      <c r="K14" s="1662">
        <f t="shared" si="0"/>
        <v>277870</v>
      </c>
      <c r="L14" s="1565">
        <v>272792</v>
      </c>
    </row>
    <row r="15" spans="1:14" x14ac:dyDescent="0.2">
      <c r="A15" s="1267" t="s">
        <v>958</v>
      </c>
      <c r="B15" s="503">
        <v>1600</v>
      </c>
      <c r="C15" s="1565">
        <v>0</v>
      </c>
      <c r="D15" s="1565">
        <v>0</v>
      </c>
      <c r="E15" s="1565">
        <v>0</v>
      </c>
      <c r="F15" s="1565">
        <v>4462</v>
      </c>
      <c r="G15" s="1565">
        <v>0</v>
      </c>
      <c r="H15" s="1565">
        <v>0</v>
      </c>
      <c r="I15" s="1566">
        <v>0</v>
      </c>
      <c r="J15" s="1566">
        <v>0</v>
      </c>
      <c r="K15" s="1662">
        <f t="shared" si="0"/>
        <v>4462</v>
      </c>
      <c r="L15" s="1565">
        <v>0</v>
      </c>
    </row>
    <row r="16" spans="1:14" x14ac:dyDescent="0.2">
      <c r="A16" s="1267" t="s">
        <v>980</v>
      </c>
      <c r="B16" s="503" t="s">
        <v>421</v>
      </c>
      <c r="C16" s="1565">
        <v>0</v>
      </c>
      <c r="D16" s="1565">
        <v>0</v>
      </c>
      <c r="E16" s="1565">
        <v>0</v>
      </c>
      <c r="F16" s="1565">
        <v>5802</v>
      </c>
      <c r="G16" s="1565">
        <v>0</v>
      </c>
      <c r="H16" s="1565">
        <v>0</v>
      </c>
      <c r="I16" s="1566">
        <v>2310</v>
      </c>
      <c r="J16" s="1566">
        <v>0</v>
      </c>
      <c r="K16" s="1662">
        <f t="shared" si="0"/>
        <v>8112</v>
      </c>
      <c r="L16" s="1565">
        <v>0</v>
      </c>
    </row>
    <row r="17" spans="1:12" x14ac:dyDescent="0.2">
      <c r="A17" s="1267" t="s">
        <v>719</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1078</v>
      </c>
      <c r="B18" s="503">
        <v>1800</v>
      </c>
      <c r="C18" s="1565">
        <v>2758083</v>
      </c>
      <c r="D18" s="1565">
        <v>404145</v>
      </c>
      <c r="E18" s="1565">
        <v>18154</v>
      </c>
      <c r="F18" s="1565">
        <v>62716</v>
      </c>
      <c r="G18" s="1565">
        <v>0</v>
      </c>
      <c r="H18" s="1565">
        <v>795</v>
      </c>
      <c r="I18" s="1566">
        <v>0</v>
      </c>
      <c r="J18" s="1566">
        <v>0</v>
      </c>
      <c r="K18" s="1662">
        <f t="shared" si="0"/>
        <v>3243893</v>
      </c>
      <c r="L18" s="1565">
        <v>2638065</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733</v>
      </c>
      <c r="B20" s="494" t="s">
        <v>720</v>
      </c>
      <c r="C20" s="1573"/>
      <c r="D20" s="1573"/>
      <c r="E20" s="1573"/>
      <c r="F20" s="1573"/>
      <c r="G20" s="1573"/>
      <c r="H20" s="1571">
        <v>0</v>
      </c>
      <c r="I20" s="1663"/>
      <c r="J20" s="1572"/>
      <c r="K20" s="1662">
        <f t="shared" si="0"/>
        <v>0</v>
      </c>
      <c r="L20" s="1569">
        <v>0</v>
      </c>
    </row>
    <row r="21" spans="1:12" x14ac:dyDescent="0.2">
      <c r="A21" s="1268" t="s">
        <v>734</v>
      </c>
      <c r="B21" s="494" t="s">
        <v>721</v>
      </c>
      <c r="C21" s="1573"/>
      <c r="D21" s="1573"/>
      <c r="E21" s="1573"/>
      <c r="F21" s="1573"/>
      <c r="G21" s="1573"/>
      <c r="H21" s="1571">
        <v>0</v>
      </c>
      <c r="I21" s="1663"/>
      <c r="J21" s="1573"/>
      <c r="K21" s="1662">
        <f t="shared" si="0"/>
        <v>0</v>
      </c>
      <c r="L21" s="1569">
        <v>0</v>
      </c>
    </row>
    <row r="22" spans="1:12" x14ac:dyDescent="0.2">
      <c r="A22" s="1268" t="s">
        <v>735</v>
      </c>
      <c r="B22" s="494" t="s">
        <v>722</v>
      </c>
      <c r="C22" s="1573"/>
      <c r="D22" s="1573"/>
      <c r="E22" s="1573"/>
      <c r="F22" s="1573"/>
      <c r="G22" s="1573"/>
      <c r="H22" s="1571">
        <v>887706</v>
      </c>
      <c r="I22" s="1663"/>
      <c r="J22" s="1573"/>
      <c r="K22" s="1662">
        <f t="shared" si="0"/>
        <v>887706</v>
      </c>
      <c r="L22" s="1569">
        <v>900000</v>
      </c>
    </row>
    <row r="23" spans="1:12" x14ac:dyDescent="0.2">
      <c r="A23" s="1268" t="s">
        <v>736</v>
      </c>
      <c r="B23" s="494" t="s">
        <v>723</v>
      </c>
      <c r="C23" s="1573"/>
      <c r="D23" s="1573"/>
      <c r="E23" s="1573"/>
      <c r="F23" s="1573"/>
      <c r="G23" s="1573"/>
      <c r="H23" s="1571">
        <v>0</v>
      </c>
      <c r="I23" s="1663"/>
      <c r="J23" s="1573"/>
      <c r="K23" s="1662">
        <f t="shared" si="0"/>
        <v>0</v>
      </c>
      <c r="L23" s="1569">
        <v>0</v>
      </c>
    </row>
    <row r="24" spans="1:12" ht="12.75" customHeight="1" x14ac:dyDescent="0.2">
      <c r="A24" s="1268" t="s">
        <v>737</v>
      </c>
      <c r="B24" s="494" t="s">
        <v>724</v>
      </c>
      <c r="C24" s="1573"/>
      <c r="D24" s="1573"/>
      <c r="E24" s="1573"/>
      <c r="F24" s="1573"/>
      <c r="G24" s="1573"/>
      <c r="H24" s="1571">
        <v>0</v>
      </c>
      <c r="I24" s="1663"/>
      <c r="J24" s="1573"/>
      <c r="K24" s="1662">
        <f t="shared" si="0"/>
        <v>0</v>
      </c>
      <c r="L24" s="1569">
        <v>0</v>
      </c>
    </row>
    <row r="25" spans="1:12" ht="12.75" customHeight="1" x14ac:dyDescent="0.2">
      <c r="A25" s="1268" t="s">
        <v>797</v>
      </c>
      <c r="B25" s="494" t="s">
        <v>725</v>
      </c>
      <c r="C25" s="1573"/>
      <c r="D25" s="1573"/>
      <c r="E25" s="1573"/>
      <c r="F25" s="1573"/>
      <c r="G25" s="1573"/>
      <c r="H25" s="1571">
        <v>0</v>
      </c>
      <c r="I25" s="1663"/>
      <c r="J25" s="1573"/>
      <c r="K25" s="1662">
        <f t="shared" si="0"/>
        <v>0</v>
      </c>
      <c r="L25" s="1569">
        <v>0</v>
      </c>
    </row>
    <row r="26" spans="1:12" x14ac:dyDescent="0.2">
      <c r="A26" s="1268" t="s">
        <v>618</v>
      </c>
      <c r="B26" s="494" t="s">
        <v>726</v>
      </c>
      <c r="C26" s="1573"/>
      <c r="D26" s="1573"/>
      <c r="E26" s="1573"/>
      <c r="F26" s="1573"/>
      <c r="G26" s="1573"/>
      <c r="H26" s="1571">
        <v>0</v>
      </c>
      <c r="I26" s="1663"/>
      <c r="J26" s="1573"/>
      <c r="K26" s="1662">
        <f t="shared" si="0"/>
        <v>0</v>
      </c>
      <c r="L26" s="1569">
        <v>0</v>
      </c>
    </row>
    <row r="27" spans="1:12" x14ac:dyDescent="0.2">
      <c r="A27" s="1268" t="s">
        <v>619</v>
      </c>
      <c r="B27" s="494" t="s">
        <v>727</v>
      </c>
      <c r="C27" s="1573"/>
      <c r="D27" s="1573"/>
      <c r="E27" s="1573"/>
      <c r="F27" s="1573"/>
      <c r="G27" s="1573"/>
      <c r="H27" s="1571">
        <v>0</v>
      </c>
      <c r="I27" s="1663"/>
      <c r="J27" s="1573"/>
      <c r="K27" s="1662">
        <f t="shared" si="0"/>
        <v>0</v>
      </c>
      <c r="L27" s="1569">
        <v>0</v>
      </c>
    </row>
    <row r="28" spans="1:12" x14ac:dyDescent="0.2">
      <c r="A28" s="1268" t="s">
        <v>149</v>
      </c>
      <c r="B28" s="494" t="s">
        <v>728</v>
      </c>
      <c r="C28" s="1573"/>
      <c r="D28" s="1573"/>
      <c r="E28" s="1573"/>
      <c r="F28" s="1573"/>
      <c r="G28" s="1573"/>
      <c r="H28" s="1571">
        <v>0</v>
      </c>
      <c r="I28" s="1663"/>
      <c r="J28" s="1573"/>
      <c r="K28" s="1662">
        <f t="shared" si="0"/>
        <v>0</v>
      </c>
      <c r="L28" s="1569">
        <v>0</v>
      </c>
    </row>
    <row r="29" spans="1:12" x14ac:dyDescent="0.2">
      <c r="A29" s="1268" t="s">
        <v>150</v>
      </c>
      <c r="B29" s="494" t="s">
        <v>729</v>
      </c>
      <c r="C29" s="1573"/>
      <c r="D29" s="1573"/>
      <c r="E29" s="1573"/>
      <c r="F29" s="1573"/>
      <c r="G29" s="1573"/>
      <c r="H29" s="1571">
        <v>0</v>
      </c>
      <c r="I29" s="1663"/>
      <c r="J29" s="1573"/>
      <c r="K29" s="1662">
        <f t="shared" si="0"/>
        <v>0</v>
      </c>
      <c r="L29" s="1569">
        <v>0</v>
      </c>
    </row>
    <row r="30" spans="1:12" x14ac:dyDescent="0.2">
      <c r="A30" s="1268" t="s">
        <v>151</v>
      </c>
      <c r="B30" s="494" t="s">
        <v>730</v>
      </c>
      <c r="C30" s="1573"/>
      <c r="D30" s="1573"/>
      <c r="E30" s="1573"/>
      <c r="F30" s="1573"/>
      <c r="G30" s="1573"/>
      <c r="H30" s="1571">
        <v>0</v>
      </c>
      <c r="I30" s="1663"/>
      <c r="J30" s="1573"/>
      <c r="K30" s="1662">
        <f t="shared" si="0"/>
        <v>0</v>
      </c>
      <c r="L30" s="1569">
        <v>0</v>
      </c>
    </row>
    <row r="31" spans="1:12" x14ac:dyDescent="0.2">
      <c r="A31" s="1268" t="s">
        <v>152</v>
      </c>
      <c r="B31" s="494" t="s">
        <v>731</v>
      </c>
      <c r="C31" s="1573"/>
      <c r="D31" s="1573"/>
      <c r="E31" s="1573"/>
      <c r="F31" s="1573"/>
      <c r="G31" s="1573"/>
      <c r="H31" s="1571">
        <v>0</v>
      </c>
      <c r="I31" s="1663"/>
      <c r="J31" s="1573"/>
      <c r="K31" s="1662">
        <f t="shared" si="0"/>
        <v>0</v>
      </c>
      <c r="L31" s="1569">
        <v>0</v>
      </c>
    </row>
    <row r="32" spans="1:12" x14ac:dyDescent="0.2">
      <c r="A32" s="1269" t="s">
        <v>1119</v>
      </c>
      <c r="B32" s="503" t="s">
        <v>732</v>
      </c>
      <c r="C32" s="1573"/>
      <c r="D32" s="1573"/>
      <c r="E32" s="1573"/>
      <c r="F32" s="1573"/>
      <c r="G32" s="1573"/>
      <c r="H32" s="1571">
        <v>0</v>
      </c>
      <c r="I32" s="1663"/>
      <c r="J32" s="1576"/>
      <c r="K32" s="1662">
        <f t="shared" si="0"/>
        <v>0</v>
      </c>
      <c r="L32" s="1569">
        <v>0</v>
      </c>
    </row>
    <row r="33" spans="1:14" ht="12.75" customHeight="1" thickBot="1" x14ac:dyDescent="0.25">
      <c r="A33" s="1373" t="s">
        <v>1649</v>
      </c>
      <c r="B33" s="1374" t="s">
        <v>566</v>
      </c>
      <c r="C33" s="1664">
        <f>SUM(C5:C32)</f>
        <v>28792774</v>
      </c>
      <c r="D33" s="1664">
        <f t="shared" ref="D33:L33" si="1">SUM(D5:D32)</f>
        <v>4020044</v>
      </c>
      <c r="E33" s="1664">
        <f t="shared" si="1"/>
        <v>573025</v>
      </c>
      <c r="F33" s="1664">
        <f t="shared" si="1"/>
        <v>1550292</v>
      </c>
      <c r="G33" s="1664">
        <f t="shared" si="1"/>
        <v>684153</v>
      </c>
      <c r="H33" s="1664">
        <f t="shared" si="1"/>
        <v>896050</v>
      </c>
      <c r="I33" s="1664">
        <f t="shared" si="1"/>
        <v>125075</v>
      </c>
      <c r="J33" s="1664">
        <f t="shared" si="1"/>
        <v>0</v>
      </c>
      <c r="K33" s="1664">
        <f t="shared" si="1"/>
        <v>36641413</v>
      </c>
      <c r="L33" s="1664">
        <f t="shared" si="1"/>
        <v>36145831</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1080</v>
      </c>
      <c r="B36" s="503">
        <v>2110</v>
      </c>
      <c r="C36" s="1577">
        <v>1109472</v>
      </c>
      <c r="D36" s="1577">
        <v>118100</v>
      </c>
      <c r="E36" s="1577">
        <v>0</v>
      </c>
      <c r="F36" s="1577">
        <v>0</v>
      </c>
      <c r="G36" s="1577">
        <v>0</v>
      </c>
      <c r="H36" s="1577">
        <v>0</v>
      </c>
      <c r="I36" s="1566">
        <v>0</v>
      </c>
      <c r="J36" s="1566">
        <v>0</v>
      </c>
      <c r="K36" s="1662">
        <f t="shared" ref="K36:K41" si="2">SUM(C36:J36)</f>
        <v>1227572</v>
      </c>
      <c r="L36" s="1565">
        <v>1029672</v>
      </c>
    </row>
    <row r="37" spans="1:14" x14ac:dyDescent="0.2">
      <c r="A37" s="1267" t="s">
        <v>1081</v>
      </c>
      <c r="B37" s="503">
        <v>2120</v>
      </c>
      <c r="C37" s="1565">
        <v>0</v>
      </c>
      <c r="D37" s="1565">
        <v>0</v>
      </c>
      <c r="E37" s="1565">
        <v>0</v>
      </c>
      <c r="F37" s="1565">
        <v>0</v>
      </c>
      <c r="G37" s="1565">
        <v>0</v>
      </c>
      <c r="H37" s="1565">
        <v>0</v>
      </c>
      <c r="I37" s="1566">
        <v>0</v>
      </c>
      <c r="J37" s="1566">
        <v>0</v>
      </c>
      <c r="K37" s="1662">
        <f t="shared" si="2"/>
        <v>0</v>
      </c>
      <c r="L37" s="1565">
        <v>0</v>
      </c>
    </row>
    <row r="38" spans="1:14" x14ac:dyDescent="0.2">
      <c r="A38" s="1267" t="s">
        <v>196</v>
      </c>
      <c r="B38" s="503">
        <v>2130</v>
      </c>
      <c r="C38" s="1565">
        <v>1115703</v>
      </c>
      <c r="D38" s="1565">
        <v>140645</v>
      </c>
      <c r="E38" s="1565">
        <v>26918</v>
      </c>
      <c r="F38" s="1565">
        <v>14412</v>
      </c>
      <c r="G38" s="1565">
        <v>0</v>
      </c>
      <c r="H38" s="1565">
        <v>3005</v>
      </c>
      <c r="I38" s="1566">
        <v>0</v>
      </c>
      <c r="J38" s="1566">
        <v>0</v>
      </c>
      <c r="K38" s="1662">
        <f t="shared" si="2"/>
        <v>1300683</v>
      </c>
      <c r="L38" s="1565">
        <v>846240</v>
      </c>
    </row>
    <row r="39" spans="1:14" x14ac:dyDescent="0.2">
      <c r="A39" s="1267" t="s">
        <v>197</v>
      </c>
      <c r="B39" s="503">
        <v>2140</v>
      </c>
      <c r="C39" s="1565">
        <v>730419</v>
      </c>
      <c r="D39" s="1565">
        <v>77496</v>
      </c>
      <c r="E39" s="1565">
        <v>18860</v>
      </c>
      <c r="F39" s="1565">
        <v>0</v>
      </c>
      <c r="G39" s="1565">
        <v>0</v>
      </c>
      <c r="H39" s="1565">
        <v>0</v>
      </c>
      <c r="I39" s="1566">
        <v>0</v>
      </c>
      <c r="J39" s="1566">
        <v>0</v>
      </c>
      <c r="K39" s="1662">
        <f t="shared" si="2"/>
        <v>826775</v>
      </c>
      <c r="L39" s="1565">
        <v>778250</v>
      </c>
    </row>
    <row r="40" spans="1:14" x14ac:dyDescent="0.2">
      <c r="A40" s="1267" t="s">
        <v>198</v>
      </c>
      <c r="B40" s="503">
        <v>2150</v>
      </c>
      <c r="C40" s="1565">
        <v>1107310</v>
      </c>
      <c r="D40" s="1565">
        <v>112328</v>
      </c>
      <c r="E40" s="1565">
        <v>2719</v>
      </c>
      <c r="F40" s="1565">
        <v>0</v>
      </c>
      <c r="G40" s="1565">
        <v>0</v>
      </c>
      <c r="H40" s="1565">
        <v>0</v>
      </c>
      <c r="I40" s="1566">
        <v>0</v>
      </c>
      <c r="J40" s="1566">
        <v>0</v>
      </c>
      <c r="K40" s="1662">
        <f t="shared" si="2"/>
        <v>1222357</v>
      </c>
      <c r="L40" s="1565">
        <v>1241314</v>
      </c>
    </row>
    <row r="41" spans="1:14" x14ac:dyDescent="0.2">
      <c r="A41" s="1267" t="s">
        <v>1650</v>
      </c>
      <c r="B41" s="503">
        <v>2190</v>
      </c>
      <c r="C41" s="1565">
        <v>0</v>
      </c>
      <c r="D41" s="1565">
        <v>0</v>
      </c>
      <c r="E41" s="1565">
        <v>0</v>
      </c>
      <c r="F41" s="1565">
        <v>0</v>
      </c>
      <c r="G41" s="1565">
        <v>0</v>
      </c>
      <c r="H41" s="1565">
        <v>0</v>
      </c>
      <c r="I41" s="1566">
        <v>0</v>
      </c>
      <c r="J41" s="1566">
        <v>0</v>
      </c>
      <c r="K41" s="1662">
        <f t="shared" si="2"/>
        <v>0</v>
      </c>
      <c r="L41" s="1565">
        <v>0</v>
      </c>
    </row>
    <row r="42" spans="1:14" ht="12.75" customHeight="1" thickBot="1" x14ac:dyDescent="0.25">
      <c r="A42" s="1373" t="s">
        <v>556</v>
      </c>
      <c r="B42" s="1374" t="s">
        <v>711</v>
      </c>
      <c r="C42" s="1664">
        <f>SUM(C36:C41)</f>
        <v>4062904</v>
      </c>
      <c r="D42" s="1664">
        <f t="shared" ref="D42:L42" si="3">SUM(D36:D41)</f>
        <v>448569</v>
      </c>
      <c r="E42" s="1664">
        <f t="shared" si="3"/>
        <v>48497</v>
      </c>
      <c r="F42" s="1664">
        <f t="shared" si="3"/>
        <v>14412</v>
      </c>
      <c r="G42" s="1664">
        <f t="shared" si="3"/>
        <v>0</v>
      </c>
      <c r="H42" s="1664">
        <f t="shared" si="3"/>
        <v>3005</v>
      </c>
      <c r="I42" s="1664">
        <f t="shared" si="3"/>
        <v>0</v>
      </c>
      <c r="J42" s="1664">
        <f t="shared" si="3"/>
        <v>0</v>
      </c>
      <c r="K42" s="1664">
        <f t="shared" si="3"/>
        <v>4577387</v>
      </c>
      <c r="L42" s="1664">
        <f t="shared" si="3"/>
        <v>3895476</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809</v>
      </c>
      <c r="B44" s="503">
        <v>2210</v>
      </c>
      <c r="C44" s="1577">
        <v>237111</v>
      </c>
      <c r="D44" s="1577">
        <v>35663</v>
      </c>
      <c r="E44" s="1577">
        <v>184815</v>
      </c>
      <c r="F44" s="1577">
        <v>77057</v>
      </c>
      <c r="G44" s="1577">
        <v>0</v>
      </c>
      <c r="H44" s="1577">
        <v>0</v>
      </c>
      <c r="I44" s="1566">
        <v>569</v>
      </c>
      <c r="J44" s="1566">
        <v>0</v>
      </c>
      <c r="K44" s="1668">
        <f>SUM(C44:J44)</f>
        <v>535215</v>
      </c>
      <c r="L44" s="1577">
        <v>451868</v>
      </c>
    </row>
    <row r="45" spans="1:14" x14ac:dyDescent="0.2">
      <c r="A45" s="1267" t="s">
        <v>810</v>
      </c>
      <c r="B45" s="503">
        <v>2220</v>
      </c>
      <c r="C45" s="1565">
        <v>0</v>
      </c>
      <c r="D45" s="1565">
        <v>0</v>
      </c>
      <c r="E45" s="1565">
        <v>0</v>
      </c>
      <c r="F45" s="1565">
        <v>30271</v>
      </c>
      <c r="G45" s="1565">
        <v>0</v>
      </c>
      <c r="H45" s="1565">
        <v>0</v>
      </c>
      <c r="I45" s="1566">
        <v>0</v>
      </c>
      <c r="J45" s="1566">
        <v>0</v>
      </c>
      <c r="K45" s="1668">
        <f>SUM(C45:J45)</f>
        <v>30271</v>
      </c>
      <c r="L45" s="1565">
        <v>43390</v>
      </c>
    </row>
    <row r="46" spans="1:14" x14ac:dyDescent="0.2">
      <c r="A46" s="1267" t="s">
        <v>811</v>
      </c>
      <c r="B46" s="503">
        <v>2230</v>
      </c>
      <c r="C46" s="1565">
        <v>0</v>
      </c>
      <c r="D46" s="1565">
        <v>0</v>
      </c>
      <c r="E46" s="1565">
        <v>160708</v>
      </c>
      <c r="F46" s="1565">
        <v>28293</v>
      </c>
      <c r="G46" s="1565">
        <v>0</v>
      </c>
      <c r="H46" s="1565">
        <v>0</v>
      </c>
      <c r="I46" s="1566">
        <v>0</v>
      </c>
      <c r="J46" s="1566">
        <v>0</v>
      </c>
      <c r="K46" s="1668">
        <f>SUM(C46:J46)</f>
        <v>189001</v>
      </c>
      <c r="L46" s="1565">
        <v>40700</v>
      </c>
    </row>
    <row r="47" spans="1:14" ht="12.75" customHeight="1" thickBot="1" x14ac:dyDescent="0.25">
      <c r="A47" s="1373" t="s">
        <v>557</v>
      </c>
      <c r="B47" s="1374" t="s">
        <v>32</v>
      </c>
      <c r="C47" s="1664">
        <f>SUM(C44:C46)</f>
        <v>237111</v>
      </c>
      <c r="D47" s="1664">
        <f t="shared" ref="D47:K47" si="4">SUM(D44:D46)</f>
        <v>35663</v>
      </c>
      <c r="E47" s="1664">
        <f t="shared" si="4"/>
        <v>345523</v>
      </c>
      <c r="F47" s="1664">
        <f t="shared" si="4"/>
        <v>135621</v>
      </c>
      <c r="G47" s="1664">
        <f t="shared" si="4"/>
        <v>0</v>
      </c>
      <c r="H47" s="1664">
        <f t="shared" si="4"/>
        <v>0</v>
      </c>
      <c r="I47" s="1664">
        <f t="shared" si="4"/>
        <v>569</v>
      </c>
      <c r="J47" s="1664">
        <f t="shared" si="4"/>
        <v>0</v>
      </c>
      <c r="K47" s="1664">
        <f t="shared" si="4"/>
        <v>754487</v>
      </c>
      <c r="L47" s="1664">
        <f>SUM(L44:L46)</f>
        <v>535958</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812</v>
      </c>
      <c r="B49" s="503">
        <v>2310</v>
      </c>
      <c r="C49" s="1577">
        <v>0</v>
      </c>
      <c r="D49" s="1577">
        <v>66</v>
      </c>
      <c r="E49" s="1577">
        <v>151654</v>
      </c>
      <c r="F49" s="1577">
        <v>1258</v>
      </c>
      <c r="G49" s="1577">
        <v>0</v>
      </c>
      <c r="H49" s="1577">
        <v>39070</v>
      </c>
      <c r="I49" s="1566">
        <v>0</v>
      </c>
      <c r="J49" s="1566">
        <v>0</v>
      </c>
      <c r="K49" s="1668">
        <f>SUM(C49:J49)</f>
        <v>192048</v>
      </c>
      <c r="L49" s="1577">
        <v>174812</v>
      </c>
    </row>
    <row r="50" spans="1:14" x14ac:dyDescent="0.2">
      <c r="A50" s="1267" t="s">
        <v>813</v>
      </c>
      <c r="B50" s="503">
        <v>2320</v>
      </c>
      <c r="C50" s="1565">
        <v>537138</v>
      </c>
      <c r="D50" s="1565">
        <v>29962</v>
      </c>
      <c r="E50" s="1565">
        <v>20264</v>
      </c>
      <c r="F50" s="1565">
        <v>60584</v>
      </c>
      <c r="G50" s="1565">
        <v>0</v>
      </c>
      <c r="H50" s="1565">
        <v>12550</v>
      </c>
      <c r="I50" s="1566">
        <v>0</v>
      </c>
      <c r="J50" s="1566">
        <v>0</v>
      </c>
      <c r="K50" s="1668">
        <f>SUM(C50:J50)</f>
        <v>660498</v>
      </c>
      <c r="L50" s="1565">
        <v>631082</v>
      </c>
    </row>
    <row r="51" spans="1:14" x14ac:dyDescent="0.2">
      <c r="A51" s="1267" t="s">
        <v>42</v>
      </c>
      <c r="B51" s="503">
        <v>2330</v>
      </c>
      <c r="C51" s="1565">
        <v>0</v>
      </c>
      <c r="D51" s="1565">
        <v>0</v>
      </c>
      <c r="E51" s="1565">
        <v>0</v>
      </c>
      <c r="F51" s="1565">
        <v>0</v>
      </c>
      <c r="G51" s="1565">
        <v>0</v>
      </c>
      <c r="H51" s="1565">
        <v>0</v>
      </c>
      <c r="I51" s="1566">
        <v>0</v>
      </c>
      <c r="J51" s="1566">
        <v>0</v>
      </c>
      <c r="K51" s="1668">
        <f>SUM(C51:J51)</f>
        <v>0</v>
      </c>
      <c r="L51" s="1565">
        <v>0</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712</v>
      </c>
      <c r="B53" s="1374" t="s">
        <v>33</v>
      </c>
      <c r="C53" s="1664">
        <f>SUM(C49:C52)</f>
        <v>537138</v>
      </c>
      <c r="D53" s="1664">
        <f t="shared" ref="D53:L53" si="5">SUM(D49:D52)</f>
        <v>30028</v>
      </c>
      <c r="E53" s="1664">
        <f t="shared" si="5"/>
        <v>171918</v>
      </c>
      <c r="F53" s="1664">
        <f t="shared" si="5"/>
        <v>61842</v>
      </c>
      <c r="G53" s="1664">
        <f t="shared" si="5"/>
        <v>0</v>
      </c>
      <c r="H53" s="1664">
        <f t="shared" si="5"/>
        <v>51620</v>
      </c>
      <c r="I53" s="1664">
        <f t="shared" si="5"/>
        <v>0</v>
      </c>
      <c r="J53" s="1664">
        <f t="shared" si="5"/>
        <v>0</v>
      </c>
      <c r="K53" s="1664">
        <f t="shared" si="5"/>
        <v>852546</v>
      </c>
      <c r="L53" s="1664">
        <f t="shared" si="5"/>
        <v>805894</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1058</v>
      </c>
      <c r="B55" s="503">
        <v>2410</v>
      </c>
      <c r="C55" s="1577">
        <v>2118240</v>
      </c>
      <c r="D55" s="1577">
        <v>380909</v>
      </c>
      <c r="E55" s="1577">
        <v>1507</v>
      </c>
      <c r="F55" s="1577">
        <v>0</v>
      </c>
      <c r="G55" s="1577">
        <v>0</v>
      </c>
      <c r="H55" s="1577">
        <v>14570</v>
      </c>
      <c r="I55" s="1566">
        <v>0</v>
      </c>
      <c r="J55" s="1566">
        <v>0</v>
      </c>
      <c r="K55" s="1668">
        <f>SUM(C55:J55)</f>
        <v>2515226</v>
      </c>
      <c r="L55" s="1577">
        <v>2489898</v>
      </c>
    </row>
    <row r="56" spans="1:14" ht="12.75" customHeight="1" x14ac:dyDescent="0.2">
      <c r="A56" s="1271" t="s">
        <v>373</v>
      </c>
      <c r="B56" s="512">
        <v>2490</v>
      </c>
      <c r="C56" s="1565">
        <v>112021</v>
      </c>
      <c r="D56" s="1565">
        <v>25256</v>
      </c>
      <c r="E56" s="1565">
        <v>478</v>
      </c>
      <c r="F56" s="1565">
        <v>13</v>
      </c>
      <c r="G56" s="1565">
        <v>0</v>
      </c>
      <c r="H56" s="1565">
        <v>789</v>
      </c>
      <c r="I56" s="1566">
        <v>0</v>
      </c>
      <c r="J56" s="1566">
        <v>0</v>
      </c>
      <c r="K56" s="1668">
        <f>SUM(C56:J56)</f>
        <v>138557</v>
      </c>
      <c r="L56" s="1565">
        <v>123199</v>
      </c>
    </row>
    <row r="57" spans="1:14" s="321" customFormat="1" ht="12.75" customHeight="1" thickBot="1" x14ac:dyDescent="0.25">
      <c r="A57" s="1373" t="s">
        <v>261</v>
      </c>
      <c r="B57" s="1375" t="s">
        <v>34</v>
      </c>
      <c r="C57" s="1669">
        <f>SUM(C55:C56)</f>
        <v>2230261</v>
      </c>
      <c r="D57" s="1669">
        <f t="shared" ref="D57:K57" si="6">SUM(D55:D56)</f>
        <v>406165</v>
      </c>
      <c r="E57" s="1669">
        <f t="shared" si="6"/>
        <v>1985</v>
      </c>
      <c r="F57" s="1669">
        <f t="shared" si="6"/>
        <v>13</v>
      </c>
      <c r="G57" s="1669">
        <f t="shared" si="6"/>
        <v>0</v>
      </c>
      <c r="H57" s="1669">
        <f t="shared" si="6"/>
        <v>15359</v>
      </c>
      <c r="I57" s="1669">
        <f t="shared" si="6"/>
        <v>0</v>
      </c>
      <c r="J57" s="1669">
        <f t="shared" si="6"/>
        <v>0</v>
      </c>
      <c r="K57" s="1669">
        <f t="shared" si="6"/>
        <v>2653783</v>
      </c>
      <c r="L57" s="1664">
        <f>SUM(L55:L56)</f>
        <v>2613097</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1059</v>
      </c>
      <c r="B59" s="503">
        <v>2510</v>
      </c>
      <c r="C59" s="1577">
        <v>155258</v>
      </c>
      <c r="D59" s="1577">
        <v>26603</v>
      </c>
      <c r="E59" s="1577">
        <v>7784</v>
      </c>
      <c r="F59" s="1577">
        <v>286</v>
      </c>
      <c r="G59" s="1577">
        <v>0</v>
      </c>
      <c r="H59" s="1577">
        <v>1875</v>
      </c>
      <c r="I59" s="1566">
        <v>0</v>
      </c>
      <c r="J59" s="1566">
        <v>0</v>
      </c>
      <c r="K59" s="1668">
        <f t="shared" ref="K59:K64" si="7">SUM(C59:J59)</f>
        <v>191806</v>
      </c>
      <c r="L59" s="1577">
        <v>199296</v>
      </c>
      <c r="M59" s="501"/>
      <c r="N59" s="501"/>
    </row>
    <row r="60" spans="1:14" s="321" customFormat="1" x14ac:dyDescent="0.2">
      <c r="A60" s="1267" t="s">
        <v>460</v>
      </c>
      <c r="B60" s="503">
        <v>2520</v>
      </c>
      <c r="C60" s="1565">
        <v>336314</v>
      </c>
      <c r="D60" s="1565">
        <v>47048</v>
      </c>
      <c r="E60" s="1565">
        <v>6942</v>
      </c>
      <c r="F60" s="1565">
        <v>8253</v>
      </c>
      <c r="G60" s="1565">
        <v>0</v>
      </c>
      <c r="H60" s="1565">
        <v>85</v>
      </c>
      <c r="I60" s="1566">
        <v>0</v>
      </c>
      <c r="J60" s="1566">
        <v>0</v>
      </c>
      <c r="K60" s="1668">
        <f t="shared" si="7"/>
        <v>398642</v>
      </c>
      <c r="L60" s="1565">
        <v>394881</v>
      </c>
      <c r="M60" s="501"/>
      <c r="N60" s="501"/>
    </row>
    <row r="61" spans="1:14" s="321" customFormat="1" x14ac:dyDescent="0.2">
      <c r="A61" s="1267" t="s">
        <v>195</v>
      </c>
      <c r="B61" s="503">
        <v>2540</v>
      </c>
      <c r="C61" s="1565">
        <v>1957735</v>
      </c>
      <c r="D61" s="1565">
        <v>401287</v>
      </c>
      <c r="E61" s="1565">
        <v>14676</v>
      </c>
      <c r="F61" s="1565">
        <v>5680</v>
      </c>
      <c r="G61" s="1565">
        <v>0</v>
      </c>
      <c r="H61" s="1565">
        <v>0</v>
      </c>
      <c r="I61" s="1566">
        <v>0</v>
      </c>
      <c r="J61" s="1566">
        <v>0</v>
      </c>
      <c r="K61" s="1668">
        <f t="shared" si="7"/>
        <v>2379378</v>
      </c>
      <c r="L61" s="1565">
        <v>2634221</v>
      </c>
      <c r="M61" s="501"/>
      <c r="N61" s="501"/>
    </row>
    <row r="62" spans="1:14" s="321" customFormat="1" x14ac:dyDescent="0.2">
      <c r="A62" s="1267" t="s">
        <v>947</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649228</v>
      </c>
      <c r="D63" s="1565">
        <v>119722</v>
      </c>
      <c r="E63" s="1565">
        <v>48049</v>
      </c>
      <c r="F63" s="1565">
        <v>563811</v>
      </c>
      <c r="G63" s="1565">
        <v>0</v>
      </c>
      <c r="H63" s="1565">
        <v>1719</v>
      </c>
      <c r="I63" s="1566">
        <v>0</v>
      </c>
      <c r="J63" s="1566">
        <v>0</v>
      </c>
      <c r="K63" s="1668">
        <f t="shared" si="7"/>
        <v>1382529</v>
      </c>
      <c r="L63" s="1565">
        <v>1394034</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714</v>
      </c>
      <c r="B65" s="1374" t="s">
        <v>35</v>
      </c>
      <c r="C65" s="1664">
        <f>SUM(C59:C64)</f>
        <v>3098535</v>
      </c>
      <c r="D65" s="1664">
        <f t="shared" ref="D65:L65" si="8">SUM(D59:D64)</f>
        <v>594660</v>
      </c>
      <c r="E65" s="1664">
        <f t="shared" si="8"/>
        <v>77451</v>
      </c>
      <c r="F65" s="1664">
        <f t="shared" si="8"/>
        <v>578030</v>
      </c>
      <c r="G65" s="1664">
        <f t="shared" si="8"/>
        <v>0</v>
      </c>
      <c r="H65" s="1664">
        <f t="shared" si="8"/>
        <v>3679</v>
      </c>
      <c r="I65" s="1664">
        <f t="shared" si="8"/>
        <v>0</v>
      </c>
      <c r="J65" s="1664">
        <f t="shared" si="8"/>
        <v>0</v>
      </c>
      <c r="K65" s="1664">
        <f t="shared" si="8"/>
        <v>4352355</v>
      </c>
      <c r="L65" s="1664">
        <f t="shared" si="8"/>
        <v>4622432</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1051</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1052</v>
      </c>
      <c r="B69" s="503">
        <v>2630</v>
      </c>
      <c r="C69" s="1565">
        <v>0</v>
      </c>
      <c r="D69" s="1565">
        <v>0</v>
      </c>
      <c r="E69" s="1565">
        <v>0</v>
      </c>
      <c r="F69" s="1565">
        <v>4836</v>
      </c>
      <c r="G69" s="1565">
        <v>0</v>
      </c>
      <c r="H69" s="1565">
        <v>0</v>
      </c>
      <c r="I69" s="1566">
        <v>0</v>
      </c>
      <c r="J69" s="1566">
        <v>0</v>
      </c>
      <c r="K69" s="1668">
        <f>SUM(C69:J69)</f>
        <v>4836</v>
      </c>
      <c r="L69" s="1565">
        <v>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0</v>
      </c>
      <c r="M70" s="501"/>
      <c r="N70" s="501"/>
    </row>
    <row r="71" spans="1:14" s="321" customFormat="1" x14ac:dyDescent="0.2">
      <c r="A71" s="1267" t="s">
        <v>401</v>
      </c>
      <c r="B71" s="503">
        <v>2660</v>
      </c>
      <c r="C71" s="1565">
        <v>630529</v>
      </c>
      <c r="D71" s="1565">
        <v>75298</v>
      </c>
      <c r="E71" s="1565">
        <v>398023</v>
      </c>
      <c r="F71" s="1565">
        <v>0</v>
      </c>
      <c r="G71" s="1565">
        <v>0</v>
      </c>
      <c r="H71" s="1565">
        <v>2418</v>
      </c>
      <c r="I71" s="1566">
        <v>0</v>
      </c>
      <c r="J71" s="1566">
        <v>0</v>
      </c>
      <c r="K71" s="1668">
        <f>SUM(C71:J71)</f>
        <v>1106268</v>
      </c>
      <c r="L71" s="1565">
        <v>1059004</v>
      </c>
      <c r="M71" s="501"/>
      <c r="N71" s="501"/>
    </row>
    <row r="72" spans="1:14" s="321" customFormat="1" ht="12.75" customHeight="1" thickBot="1" x14ac:dyDescent="0.25">
      <c r="A72" s="1373" t="s">
        <v>37</v>
      </c>
      <c r="B72" s="1376" t="s">
        <v>36</v>
      </c>
      <c r="C72" s="1664">
        <f>SUM(C67:C71)</f>
        <v>630529</v>
      </c>
      <c r="D72" s="1664">
        <f t="shared" ref="D72:K72" si="9">SUM(D67:D71)</f>
        <v>75298</v>
      </c>
      <c r="E72" s="1664">
        <f t="shared" si="9"/>
        <v>398023</v>
      </c>
      <c r="F72" s="1664">
        <f t="shared" si="9"/>
        <v>4836</v>
      </c>
      <c r="G72" s="1664">
        <f t="shared" si="9"/>
        <v>0</v>
      </c>
      <c r="H72" s="1664">
        <f t="shared" si="9"/>
        <v>2418</v>
      </c>
      <c r="I72" s="1664">
        <f t="shared" si="9"/>
        <v>0</v>
      </c>
      <c r="J72" s="1664">
        <f t="shared" si="9"/>
        <v>0</v>
      </c>
      <c r="K72" s="1664">
        <f t="shared" si="9"/>
        <v>1111104</v>
      </c>
      <c r="L72" s="1664">
        <f>SUM(L67:L71)</f>
        <v>1059004</v>
      </c>
      <c r="M72" s="501"/>
      <c r="N72" s="501"/>
    </row>
    <row r="73" spans="1:14" s="321" customFormat="1" ht="14.25" thickTop="1" thickBot="1" x14ac:dyDescent="0.25">
      <c r="A73" s="1273" t="s">
        <v>973</v>
      </c>
      <c r="B73" s="515" t="s">
        <v>570</v>
      </c>
      <c r="C73" s="1639">
        <v>0</v>
      </c>
      <c r="D73" s="1639">
        <v>0</v>
      </c>
      <c r="E73" s="1639">
        <v>0</v>
      </c>
      <c r="F73" s="1639">
        <v>0</v>
      </c>
      <c r="G73" s="1639">
        <v>0</v>
      </c>
      <c r="H73" s="1639">
        <v>0</v>
      </c>
      <c r="I73" s="1617">
        <v>0</v>
      </c>
      <c r="J73" s="1617">
        <v>0</v>
      </c>
      <c r="K73" s="1664">
        <f>SUM(C73:J73)</f>
        <v>0</v>
      </c>
      <c r="L73" s="1641">
        <v>0</v>
      </c>
      <c r="M73" s="501"/>
      <c r="N73" s="501"/>
    </row>
    <row r="74" spans="1:14" ht="12.75" customHeight="1" thickTop="1" thickBot="1" x14ac:dyDescent="0.25">
      <c r="A74" s="1373" t="s">
        <v>806</v>
      </c>
      <c r="B74" s="1377">
        <v>2000</v>
      </c>
      <c r="C74" s="1671">
        <f>SUM(C42,C47,C53,C57,C65,C72,C73)</f>
        <v>10796478</v>
      </c>
      <c r="D74" s="1671">
        <f t="shared" ref="D74:K74" si="10">SUM(D42,D47,D53,D57,D65,D72,D73)</f>
        <v>1590383</v>
      </c>
      <c r="E74" s="1671">
        <f t="shared" si="10"/>
        <v>1043397</v>
      </c>
      <c r="F74" s="1671">
        <f t="shared" si="10"/>
        <v>794754</v>
      </c>
      <c r="G74" s="1671">
        <f t="shared" si="10"/>
        <v>0</v>
      </c>
      <c r="H74" s="1671">
        <f t="shared" si="10"/>
        <v>76081</v>
      </c>
      <c r="I74" s="1671">
        <f t="shared" si="10"/>
        <v>569</v>
      </c>
      <c r="J74" s="1671">
        <f t="shared" si="10"/>
        <v>0</v>
      </c>
      <c r="K74" s="1671">
        <f t="shared" si="10"/>
        <v>14301662</v>
      </c>
      <c r="L74" s="1671">
        <f>SUM(L42,L47,L53,L57,L65,L72,L73)</f>
        <v>13531861</v>
      </c>
    </row>
    <row r="75" spans="1:14" s="254" customFormat="1" ht="15.75" customHeight="1" thickTop="1" thickBot="1" x14ac:dyDescent="0.25">
      <c r="A75" s="1341" t="s">
        <v>47</v>
      </c>
      <c r="B75" s="1342" t="s">
        <v>571</v>
      </c>
      <c r="C75" s="1639">
        <v>4870</v>
      </c>
      <c r="D75" s="1639">
        <v>0</v>
      </c>
      <c r="E75" s="1639">
        <v>49247</v>
      </c>
      <c r="F75" s="1639">
        <v>0</v>
      </c>
      <c r="G75" s="1639">
        <v>0</v>
      </c>
      <c r="H75" s="1639">
        <v>0</v>
      </c>
      <c r="I75" s="1617">
        <v>0</v>
      </c>
      <c r="J75" s="1617">
        <v>0</v>
      </c>
      <c r="K75" s="1664">
        <f>SUM(C75:J75)</f>
        <v>54117</v>
      </c>
      <c r="L75" s="1641">
        <v>55945</v>
      </c>
      <c r="M75" s="502"/>
      <c r="N75" s="502"/>
    </row>
    <row r="76" spans="1:14" s="516" customFormat="1" ht="15.75" customHeight="1" thickTop="1" x14ac:dyDescent="0.2">
      <c r="A76" s="1343" t="s">
        <v>362</v>
      </c>
      <c r="B76" s="1340" t="s">
        <v>855</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419259</v>
      </c>
      <c r="F79" s="1663"/>
      <c r="G79" s="1663"/>
      <c r="H79" s="1565">
        <v>0</v>
      </c>
      <c r="I79" s="1573"/>
      <c r="J79" s="1573"/>
      <c r="K79" s="1662">
        <f t="shared" si="11"/>
        <v>419259</v>
      </c>
      <c r="L79" s="1565">
        <v>306000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692</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693</v>
      </c>
      <c r="B83" s="512">
        <v>4190</v>
      </c>
      <c r="C83" s="1663"/>
      <c r="D83" s="1663"/>
      <c r="E83" s="1565">
        <v>0</v>
      </c>
      <c r="F83" s="1663"/>
      <c r="G83" s="1663"/>
      <c r="H83" s="1565">
        <v>0</v>
      </c>
      <c r="I83" s="1573"/>
      <c r="J83" s="1573"/>
      <c r="K83" s="1662">
        <f t="shared" si="11"/>
        <v>0</v>
      </c>
      <c r="L83" s="1565">
        <v>0</v>
      </c>
    </row>
    <row r="84" spans="1:12" ht="13.5" thickBot="1" x14ac:dyDescent="0.25">
      <c r="A84" s="1373" t="s">
        <v>1468</v>
      </c>
      <c r="B84" s="1378">
        <v>4100</v>
      </c>
      <c r="C84" s="1663"/>
      <c r="D84" s="1663"/>
      <c r="E84" s="1664">
        <f>SUM(E78:E83)</f>
        <v>419259</v>
      </c>
      <c r="F84" s="1663"/>
      <c r="G84" s="1663"/>
      <c r="H84" s="1664">
        <f>SUM(H78:H83)</f>
        <v>0</v>
      </c>
      <c r="I84" s="1573"/>
      <c r="J84" s="1573"/>
      <c r="K84" s="1664">
        <f>SUM(K78:K83)</f>
        <v>419259</v>
      </c>
      <c r="L84" s="1664">
        <f>SUM(L78:L83)</f>
        <v>306000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694</v>
      </c>
      <c r="B86" s="518">
        <v>4220</v>
      </c>
      <c r="C86" s="1663"/>
      <c r="D86" s="1663"/>
      <c r="E86" s="1674"/>
      <c r="F86" s="1663"/>
      <c r="G86" s="1663"/>
      <c r="H86" s="1566">
        <v>947434</v>
      </c>
      <c r="I86" s="1573"/>
      <c r="J86" s="1573"/>
      <c r="K86" s="1671">
        <f t="shared" ref="K86:K98" si="12">H86</f>
        <v>947434</v>
      </c>
      <c r="L86" s="1616">
        <v>790000</v>
      </c>
    </row>
    <row r="87" spans="1:12" ht="14.25" thickTop="1" thickBot="1" x14ac:dyDescent="0.25">
      <c r="A87" s="1276" t="s">
        <v>695</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760</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696</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681</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682</v>
      </c>
      <c r="B91" s="519">
        <v>4290</v>
      </c>
      <c r="C91" s="1663"/>
      <c r="D91" s="1663"/>
      <c r="E91" s="1674"/>
      <c r="F91" s="1663"/>
      <c r="G91" s="1663"/>
      <c r="H91" s="1566">
        <v>0</v>
      </c>
      <c r="I91" s="1573"/>
      <c r="J91" s="1573"/>
      <c r="K91" s="1671">
        <f t="shared" si="12"/>
        <v>0</v>
      </c>
      <c r="L91" s="1616">
        <v>0</v>
      </c>
    </row>
    <row r="92" spans="1:12" ht="14.25" thickTop="1" thickBot="1" x14ac:dyDescent="0.25">
      <c r="A92" s="1379" t="s">
        <v>1543</v>
      </c>
      <c r="B92" s="1378">
        <v>4200</v>
      </c>
      <c r="C92" s="1663"/>
      <c r="D92" s="1663"/>
      <c r="E92" s="1674"/>
      <c r="F92" s="1663"/>
      <c r="G92" s="1663"/>
      <c r="H92" s="1664">
        <f>SUM(H85:H91)</f>
        <v>947434</v>
      </c>
      <c r="I92" s="1573"/>
      <c r="J92" s="1573"/>
      <c r="K92" s="1671">
        <f t="shared" si="12"/>
        <v>947434</v>
      </c>
      <c r="L92" s="1664">
        <f>SUM(L85:L91)</f>
        <v>790000</v>
      </c>
    </row>
    <row r="93" spans="1:12" ht="14.25" thickTop="1" thickBot="1" x14ac:dyDescent="0.25">
      <c r="A93" s="1275" t="s">
        <v>683</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684</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1471</v>
      </c>
      <c r="B95" s="519">
        <v>4330</v>
      </c>
      <c r="C95" s="1663"/>
      <c r="D95" s="1663"/>
      <c r="E95" s="1674"/>
      <c r="F95" s="1663"/>
      <c r="G95" s="1663"/>
      <c r="H95" s="1566">
        <v>0</v>
      </c>
      <c r="I95" s="1573"/>
      <c r="J95" s="1573"/>
      <c r="K95" s="1671">
        <f t="shared" si="12"/>
        <v>0</v>
      </c>
      <c r="L95" s="1616">
        <v>0</v>
      </c>
    </row>
    <row r="96" spans="1:12" ht="14.25" thickTop="1" thickBot="1" x14ac:dyDescent="0.25">
      <c r="A96" s="1276" t="s">
        <v>685</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758</v>
      </c>
      <c r="B97" s="519">
        <v>4370</v>
      </c>
      <c r="C97" s="1663"/>
      <c r="D97" s="1663"/>
      <c r="E97" s="1674"/>
      <c r="F97" s="1663"/>
      <c r="G97" s="1663"/>
      <c r="H97" s="1566">
        <v>0</v>
      </c>
      <c r="I97" s="1573"/>
      <c r="J97" s="1573"/>
      <c r="K97" s="1671">
        <f t="shared" si="12"/>
        <v>0</v>
      </c>
      <c r="L97" s="1616">
        <v>0</v>
      </c>
    </row>
    <row r="98" spans="1:14" ht="14.25" thickTop="1" thickBot="1" x14ac:dyDescent="0.25">
      <c r="A98" s="1276" t="s">
        <v>759</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1469</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1472</v>
      </c>
      <c r="B101" s="521" t="s">
        <v>925</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1470</v>
      </c>
      <c r="B102" s="1378">
        <v>4000</v>
      </c>
      <c r="C102" s="1663"/>
      <c r="D102" s="1663"/>
      <c r="E102" s="1671">
        <f>SUM(E84,E92,E100,E101)</f>
        <v>419259</v>
      </c>
      <c r="F102" s="1663"/>
      <c r="G102" s="1663"/>
      <c r="H102" s="1671">
        <f>SUM(H84,H92,H100,H101)</f>
        <v>947434</v>
      </c>
      <c r="I102" s="1573"/>
      <c r="J102" s="1573"/>
      <c r="K102" s="1671">
        <f>SUM(K84,K92,K100,K101)</f>
        <v>1366693</v>
      </c>
      <c r="L102" s="1671">
        <f>SUM(L84,L92,L100,L101)</f>
        <v>1096000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1160</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1093</v>
      </c>
      <c r="B110" s="1376" t="s">
        <v>713</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856</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39594122</v>
      </c>
      <c r="D114" s="1664">
        <f t="shared" ref="D114:K114" si="13">SUM(D33,D74,D75,D102,D112,D113)</f>
        <v>5610427</v>
      </c>
      <c r="E114" s="1664">
        <f t="shared" si="13"/>
        <v>2084928</v>
      </c>
      <c r="F114" s="1664">
        <f t="shared" si="13"/>
        <v>2345046</v>
      </c>
      <c r="G114" s="1664">
        <f t="shared" si="13"/>
        <v>684153</v>
      </c>
      <c r="H114" s="1664">
        <f>SUM(H33,H74,H75,H102,H112,H113)</f>
        <v>1919565</v>
      </c>
      <c r="I114" s="1664">
        <f t="shared" si="13"/>
        <v>125644</v>
      </c>
      <c r="J114" s="1664">
        <f t="shared" si="13"/>
        <v>0</v>
      </c>
      <c r="K114" s="1664">
        <f t="shared" si="13"/>
        <v>52363885</v>
      </c>
      <c r="L114" s="1664">
        <f>SUM(L33,L74,L75,L102,L112,L113)</f>
        <v>50829637</v>
      </c>
    </row>
    <row r="115" spans="1:14" ht="13.5" thickTop="1" x14ac:dyDescent="0.2">
      <c r="A115" s="2311" t="s">
        <v>989</v>
      </c>
      <c r="B115" s="2312"/>
      <c r="C115" s="1665"/>
      <c r="D115" s="1665"/>
      <c r="E115" s="1665"/>
      <c r="F115" s="1665"/>
      <c r="G115" s="1665"/>
      <c r="H115" s="1665"/>
      <c r="I115" s="1665"/>
      <c r="J115" s="1665"/>
      <c r="K115" s="1679">
        <f>'Revenues 9-14'!C268-'Expenditures 15-22'!K114</f>
        <v>882018</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89" t="s">
        <v>293</v>
      </c>
      <c r="B117" s="2290"/>
      <c r="C117" s="1681"/>
      <c r="D117" s="1682"/>
      <c r="E117" s="1682"/>
      <c r="F117" s="1682"/>
      <c r="G117" s="1682"/>
      <c r="H117" s="1682"/>
      <c r="I117" s="1682"/>
      <c r="J117" s="1682"/>
      <c r="K117" s="1682"/>
      <c r="L117" s="1683"/>
      <c r="M117" s="170"/>
      <c r="N117" s="170"/>
    </row>
    <row r="118" spans="1:14" ht="15.75" customHeight="1" x14ac:dyDescent="0.2">
      <c r="A118" s="1345" t="s">
        <v>1028</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711</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1059</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792</v>
      </c>
      <c r="F123" s="1565">
        <v>0</v>
      </c>
      <c r="G123" s="1565">
        <v>18537</v>
      </c>
      <c r="H123" s="1565">
        <v>0</v>
      </c>
      <c r="I123" s="1566">
        <v>0</v>
      </c>
      <c r="J123" s="1566">
        <v>0</v>
      </c>
      <c r="K123" s="1664">
        <f>SUM(C123:J123)</f>
        <v>19329</v>
      </c>
      <c r="L123" s="1565">
        <v>882640</v>
      </c>
    </row>
    <row r="124" spans="1:14" ht="14.25" thickTop="1" thickBot="1" x14ac:dyDescent="0.25">
      <c r="A124" s="1267" t="s">
        <v>195</v>
      </c>
      <c r="B124" s="503">
        <v>2540</v>
      </c>
      <c r="C124" s="1565">
        <v>179840</v>
      </c>
      <c r="D124" s="1565">
        <v>4097</v>
      </c>
      <c r="E124" s="1565">
        <v>1218996</v>
      </c>
      <c r="F124" s="1565">
        <v>988294</v>
      </c>
      <c r="G124" s="1565">
        <v>31300</v>
      </c>
      <c r="H124" s="1565">
        <v>5423</v>
      </c>
      <c r="I124" s="1566">
        <v>9318</v>
      </c>
      <c r="J124" s="1566">
        <v>0</v>
      </c>
      <c r="K124" s="1664">
        <f>SUM(C124:J124)</f>
        <v>2437268</v>
      </c>
      <c r="L124" s="1565">
        <v>2851487</v>
      </c>
    </row>
    <row r="125" spans="1:14" ht="14.25" thickTop="1" thickBot="1" x14ac:dyDescent="0.25">
      <c r="A125" s="1267" t="s">
        <v>947</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714</v>
      </c>
      <c r="B127" s="1374" t="s">
        <v>35</v>
      </c>
      <c r="C127" s="1664">
        <f>SUM(C122:C126)</f>
        <v>179840</v>
      </c>
      <c r="D127" s="1664">
        <f t="shared" ref="D127:L127" si="14">SUM(D122:D126)</f>
        <v>4097</v>
      </c>
      <c r="E127" s="1664">
        <f t="shared" si="14"/>
        <v>1219788</v>
      </c>
      <c r="F127" s="1664">
        <f t="shared" si="14"/>
        <v>988294</v>
      </c>
      <c r="G127" s="1664">
        <f t="shared" si="14"/>
        <v>49837</v>
      </c>
      <c r="H127" s="1664">
        <f t="shared" si="14"/>
        <v>5423</v>
      </c>
      <c r="I127" s="1664">
        <f t="shared" si="14"/>
        <v>9318</v>
      </c>
      <c r="J127" s="1664">
        <f t="shared" si="14"/>
        <v>0</v>
      </c>
      <c r="K127" s="1664">
        <f t="shared" si="14"/>
        <v>2456597</v>
      </c>
      <c r="L127" s="1664">
        <f t="shared" si="14"/>
        <v>3734127</v>
      </c>
    </row>
    <row r="128" spans="1:14" ht="12.75" customHeight="1" thickTop="1" x14ac:dyDescent="0.2">
      <c r="A128" s="1274" t="s">
        <v>973</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806</v>
      </c>
      <c r="B129" s="1383" t="s">
        <v>565</v>
      </c>
      <c r="C129" s="1671">
        <f>SUM(C120,C127,C128)</f>
        <v>179840</v>
      </c>
      <c r="D129" s="1671">
        <f t="shared" ref="D129:L129" si="15">SUM(D120,D127,D128)</f>
        <v>4097</v>
      </c>
      <c r="E129" s="1671">
        <f t="shared" si="15"/>
        <v>1219788</v>
      </c>
      <c r="F129" s="1671">
        <f t="shared" si="15"/>
        <v>988294</v>
      </c>
      <c r="G129" s="1671">
        <f t="shared" si="15"/>
        <v>49837</v>
      </c>
      <c r="H129" s="1671">
        <f t="shared" si="15"/>
        <v>5423</v>
      </c>
      <c r="I129" s="1671">
        <f t="shared" si="15"/>
        <v>9318</v>
      </c>
      <c r="J129" s="1671">
        <f t="shared" si="15"/>
        <v>0</v>
      </c>
      <c r="K129" s="1671">
        <f t="shared" si="15"/>
        <v>2456597</v>
      </c>
      <c r="L129" s="1671">
        <f t="shared" si="15"/>
        <v>3734127</v>
      </c>
    </row>
    <row r="130" spans="1:14" ht="15.75" customHeight="1" thickTop="1" thickBot="1" x14ac:dyDescent="0.25">
      <c r="A130" s="1341" t="s">
        <v>1029</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855</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692</v>
      </c>
      <c r="B135" s="503">
        <v>4140</v>
      </c>
      <c r="C135" s="1663"/>
      <c r="D135" s="1663"/>
      <c r="E135" s="1566">
        <v>0</v>
      </c>
      <c r="F135" s="1663"/>
      <c r="G135" s="1663"/>
      <c r="H135" s="1565">
        <v>0</v>
      </c>
      <c r="I135" s="1573"/>
      <c r="J135" s="1663"/>
      <c r="K135" s="1668">
        <f>SUM(E135,H135)</f>
        <v>0</v>
      </c>
      <c r="L135" s="1565">
        <v>0</v>
      </c>
    </row>
    <row r="136" spans="1:14" x14ac:dyDescent="0.2">
      <c r="A136" s="1271" t="s">
        <v>693</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925</v>
      </c>
      <c r="C138" s="1663"/>
      <c r="D138" s="1663"/>
      <c r="E138" s="1575"/>
      <c r="F138" s="1663"/>
      <c r="G138" s="1663"/>
      <c r="H138" s="1641">
        <v>0</v>
      </c>
      <c r="I138" s="1573"/>
      <c r="J138" s="1663"/>
      <c r="K138" s="1668">
        <f>SUM(E138,H138)</f>
        <v>0</v>
      </c>
      <c r="L138" s="1641">
        <v>0</v>
      </c>
    </row>
    <row r="139" spans="1:14" ht="12.75" customHeight="1" thickTop="1" thickBot="1" x14ac:dyDescent="0.25">
      <c r="A139" s="1373" t="s">
        <v>1470</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1030</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1160</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713</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1094</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1031</v>
      </c>
      <c r="B150" s="1344" t="s">
        <v>856</v>
      </c>
      <c r="C150" s="1663"/>
      <c r="D150" s="1663"/>
      <c r="E150" s="1663"/>
      <c r="F150" s="1663"/>
      <c r="G150" s="1663"/>
      <c r="H150" s="1688"/>
      <c r="I150" s="1607"/>
      <c r="J150" s="1663"/>
      <c r="K150" s="1666"/>
      <c r="L150" s="1639">
        <v>0</v>
      </c>
    </row>
    <row r="151" spans="1:14" ht="12.75" customHeight="1" thickTop="1" thickBot="1" x14ac:dyDescent="0.25">
      <c r="A151" s="2301" t="s">
        <v>616</v>
      </c>
      <c r="B151" s="2283"/>
      <c r="C151" s="1664">
        <f>SUM(C129,C130,C139,C149,C150)</f>
        <v>179840</v>
      </c>
      <c r="D151" s="1664">
        <f t="shared" ref="D151:K151" si="16">SUM(D129,D130,D139,D149,D150)</f>
        <v>4097</v>
      </c>
      <c r="E151" s="1664">
        <f t="shared" si="16"/>
        <v>1219788</v>
      </c>
      <c r="F151" s="1664">
        <f t="shared" si="16"/>
        <v>988294</v>
      </c>
      <c r="G151" s="1664">
        <f t="shared" si="16"/>
        <v>49837</v>
      </c>
      <c r="H151" s="1664">
        <f t="shared" si="16"/>
        <v>5423</v>
      </c>
      <c r="I151" s="1664">
        <f t="shared" si="16"/>
        <v>9318</v>
      </c>
      <c r="J151" s="1664">
        <f t="shared" si="16"/>
        <v>0</v>
      </c>
      <c r="K151" s="1664">
        <f t="shared" si="16"/>
        <v>2456597</v>
      </c>
      <c r="L151" s="1664">
        <f>SUM(L129,L130,L139,L149,L150)</f>
        <v>3734127</v>
      </c>
    </row>
    <row r="152" spans="1:14" ht="12.75" customHeight="1" thickTop="1" x14ac:dyDescent="0.2">
      <c r="A152" s="2304" t="s">
        <v>1168</v>
      </c>
      <c r="B152" s="2305"/>
      <c r="C152" s="1665"/>
      <c r="D152" s="1665"/>
      <c r="E152" s="1665"/>
      <c r="F152" s="1665"/>
      <c r="G152" s="1665"/>
      <c r="H152" s="1665"/>
      <c r="I152" s="1665"/>
      <c r="J152" s="1663"/>
      <c r="K152" s="1679">
        <f>'Revenues 9-14'!D268-'Expenditures 15-22'!K151</f>
        <v>3067997</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89" t="s">
        <v>617</v>
      </c>
      <c r="B154" s="2291"/>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855</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855</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1160</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713</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103406</v>
      </c>
      <c r="I169" s="1663"/>
      <c r="J169" s="1663"/>
      <c r="K169" s="1662">
        <f>SUM(C169:H169)</f>
        <v>103406</v>
      </c>
      <c r="L169" s="1685">
        <v>0</v>
      </c>
    </row>
    <row r="170" spans="1:14" ht="33.75" customHeight="1" x14ac:dyDescent="0.2">
      <c r="A170" s="543" t="s">
        <v>1651</v>
      </c>
      <c r="B170" s="545" t="s">
        <v>31</v>
      </c>
      <c r="C170" s="1663"/>
      <c r="D170" s="1663"/>
      <c r="E170" s="1663"/>
      <c r="F170" s="1663"/>
      <c r="G170" s="1663"/>
      <c r="H170" s="1636">
        <v>5515000</v>
      </c>
      <c r="I170" s="1663"/>
      <c r="J170" s="1663"/>
      <c r="K170" s="1662">
        <f>SUM(C170:J170)</f>
        <v>5515000</v>
      </c>
      <c r="L170" s="1636">
        <v>5721813</v>
      </c>
    </row>
    <row r="171" spans="1:14" ht="15.75" customHeight="1" x14ac:dyDescent="0.2">
      <c r="A171" s="507" t="s">
        <v>761</v>
      </c>
      <c r="B171" s="546" t="s">
        <v>84</v>
      </c>
      <c r="C171" s="1663"/>
      <c r="D171" s="1663"/>
      <c r="E171" s="1565">
        <v>0</v>
      </c>
      <c r="F171" s="1663"/>
      <c r="G171" s="1663"/>
      <c r="H171" s="1636">
        <v>0</v>
      </c>
      <c r="I171" s="1573"/>
      <c r="J171" s="1663"/>
      <c r="K171" s="1662">
        <f>SUM(C171:J171)</f>
        <v>0</v>
      </c>
      <c r="L171" s="1636">
        <v>0</v>
      </c>
    </row>
    <row r="172" spans="1:14" ht="12.75" customHeight="1" thickBot="1" x14ac:dyDescent="0.25">
      <c r="A172" s="1373" t="s">
        <v>633</v>
      </c>
      <c r="B172" s="1374" t="s">
        <v>489</v>
      </c>
      <c r="C172" s="1663"/>
      <c r="D172" s="1663"/>
      <c r="E172" s="1671">
        <f>SUM(E168,E169,E170,E171)</f>
        <v>0</v>
      </c>
      <c r="F172" s="1663"/>
      <c r="G172" s="1663"/>
      <c r="H172" s="1671">
        <f>SUM(H168,H169,H170,H171)</f>
        <v>5618406</v>
      </c>
      <c r="I172" s="1674"/>
      <c r="J172" s="1663"/>
      <c r="K172" s="1671">
        <f>SUM(K168,K169,K170,K171)</f>
        <v>5618406</v>
      </c>
      <c r="L172" s="1671">
        <f>SUM(L168,L169,L170,L171)</f>
        <v>5721813</v>
      </c>
    </row>
    <row r="173" spans="1:14" ht="15.75" customHeight="1" thickTop="1" thickBot="1" x14ac:dyDescent="0.25">
      <c r="A173" s="1350" t="s">
        <v>85</v>
      </c>
      <c r="B173" s="1342" t="s">
        <v>856</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5618406</v>
      </c>
      <c r="I174" s="1674"/>
      <c r="J174" s="1663"/>
      <c r="K174" s="1671">
        <f>SUM(K160,K172,K173)</f>
        <v>5618406</v>
      </c>
      <c r="L174" s="1671">
        <f>SUM(L160,L172,L173)</f>
        <v>5721813</v>
      </c>
    </row>
    <row r="175" spans="1:14" ht="13.5" thickTop="1" x14ac:dyDescent="0.2">
      <c r="A175" s="2311" t="s">
        <v>989</v>
      </c>
      <c r="B175" s="2312"/>
      <c r="C175" s="1663"/>
      <c r="D175" s="1663"/>
      <c r="E175" s="1663"/>
      <c r="F175" s="1663"/>
      <c r="G175" s="1663"/>
      <c r="H175" s="1665"/>
      <c r="I175" s="1663"/>
      <c r="J175" s="1663"/>
      <c r="K175" s="1679">
        <f>'Revenues 9-14'!E268-'Expenditures 15-22'!K174</f>
        <v>-2767829</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931</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932</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711</v>
      </c>
      <c r="C180" s="1565">
        <v>0</v>
      </c>
      <c r="D180" s="1565">
        <v>0</v>
      </c>
      <c r="E180" s="1565">
        <v>0</v>
      </c>
      <c r="F180" s="1565">
        <v>1619</v>
      </c>
      <c r="G180" s="1565">
        <v>0</v>
      </c>
      <c r="H180" s="1565">
        <v>0</v>
      </c>
      <c r="I180" s="1566">
        <v>0</v>
      </c>
      <c r="J180" s="1566">
        <v>0</v>
      </c>
      <c r="K180" s="1662">
        <f>SUM(C180:J180)</f>
        <v>1619</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947</v>
      </c>
      <c r="B182" s="503">
        <v>2550</v>
      </c>
      <c r="C182" s="1565">
        <v>2386197</v>
      </c>
      <c r="D182" s="1565">
        <v>91831</v>
      </c>
      <c r="E182" s="1565">
        <v>426243</v>
      </c>
      <c r="F182" s="1565">
        <v>463419</v>
      </c>
      <c r="G182" s="1565">
        <v>0</v>
      </c>
      <c r="H182" s="1565">
        <v>843667</v>
      </c>
      <c r="I182" s="1566">
        <v>7450</v>
      </c>
      <c r="J182" s="1566">
        <v>0</v>
      </c>
      <c r="K182" s="1662">
        <f>SUM(C182:J182)</f>
        <v>4218807</v>
      </c>
      <c r="L182" s="1565">
        <v>4778716</v>
      </c>
    </row>
    <row r="183" spans="1:14" ht="12.75" customHeight="1" thickBot="1" x14ac:dyDescent="0.25">
      <c r="A183" s="1272" t="s">
        <v>973</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806</v>
      </c>
      <c r="B184" s="1374" t="s">
        <v>565</v>
      </c>
      <c r="C184" s="1671">
        <f>SUM(C180,C182,C183)</f>
        <v>2386197</v>
      </c>
      <c r="D184" s="1671">
        <f t="shared" ref="D184:J184" si="17">SUM(D180,D182,D183)</f>
        <v>91831</v>
      </c>
      <c r="E184" s="1671">
        <f t="shared" si="17"/>
        <v>426243</v>
      </c>
      <c r="F184" s="1671">
        <f t="shared" si="17"/>
        <v>465038</v>
      </c>
      <c r="G184" s="1671">
        <f t="shared" si="17"/>
        <v>0</v>
      </c>
      <c r="H184" s="1671">
        <f t="shared" si="17"/>
        <v>843667</v>
      </c>
      <c r="I184" s="1671">
        <f t="shared" si="17"/>
        <v>7450</v>
      </c>
      <c r="J184" s="1671">
        <f t="shared" si="17"/>
        <v>0</v>
      </c>
      <c r="K184" s="1671">
        <f>SUM(K180,K182,K183)</f>
        <v>4220426</v>
      </c>
      <c r="L184" s="1671">
        <f>SUM(L180, L182:L183)</f>
        <v>4778716</v>
      </c>
    </row>
    <row r="185" spans="1:14" ht="15.75" customHeight="1" thickTop="1" thickBot="1" x14ac:dyDescent="0.25">
      <c r="A185" s="1353" t="s">
        <v>933</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855</v>
      </c>
      <c r="C186" s="1663"/>
      <c r="D186" s="1663"/>
      <c r="E186" s="1663"/>
      <c r="F186" s="1663"/>
      <c r="G186" s="1663"/>
      <c r="H186" s="1663"/>
      <c r="I186" s="1663"/>
      <c r="J186" s="1663"/>
      <c r="K186" s="1663"/>
      <c r="L186" s="1663"/>
      <c r="M186" s="539"/>
      <c r="N186" s="539"/>
    </row>
    <row r="187" spans="1:14" s="548" customFormat="1" ht="15.75" customHeight="1" x14ac:dyDescent="0.2">
      <c r="A187" s="507" t="s">
        <v>1121</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692</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693</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1130</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925</v>
      </c>
      <c r="C195" s="1663"/>
      <c r="D195" s="1663"/>
      <c r="E195" s="1685">
        <v>0</v>
      </c>
      <c r="F195" s="1663"/>
      <c r="G195" s="1663"/>
      <c r="H195" s="1685">
        <v>0</v>
      </c>
      <c r="I195" s="1573"/>
      <c r="J195" s="1663"/>
      <c r="K195" s="1686">
        <f>SUM(E195,H195)</f>
        <v>0</v>
      </c>
      <c r="L195" s="1685">
        <v>0</v>
      </c>
    </row>
    <row r="196" spans="1:14" ht="12.75" customHeight="1" thickBot="1" x14ac:dyDescent="0.25">
      <c r="A196" s="1373" t="s">
        <v>1470</v>
      </c>
      <c r="B196" s="1374" t="s">
        <v>855</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934</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1160</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713</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1652</v>
      </c>
      <c r="B206" s="546" t="s">
        <v>31</v>
      </c>
      <c r="C206" s="1663"/>
      <c r="D206" s="1663"/>
      <c r="E206" s="1663"/>
      <c r="F206" s="1663"/>
      <c r="G206" s="1663"/>
      <c r="H206" s="1565">
        <v>0</v>
      </c>
      <c r="I206" s="1663"/>
      <c r="J206" s="1663"/>
      <c r="K206" s="1662">
        <f>SUM(H206)</f>
        <v>0</v>
      </c>
      <c r="L206" s="1565">
        <v>0</v>
      </c>
    </row>
    <row r="207" spans="1:14" ht="15.75" customHeight="1" x14ac:dyDescent="0.2">
      <c r="A207" s="507" t="s">
        <v>761</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867</v>
      </c>
      <c r="B209" s="1344" t="s">
        <v>856</v>
      </c>
      <c r="C209" s="1666"/>
      <c r="D209" s="1666"/>
      <c r="E209" s="1666"/>
      <c r="F209" s="1666"/>
      <c r="G209" s="1666"/>
      <c r="H209" s="1666"/>
      <c r="I209" s="1663"/>
      <c r="J209" s="1663"/>
      <c r="K209" s="1666"/>
      <c r="L209" s="1641">
        <v>12000</v>
      </c>
    </row>
    <row r="210" spans="1:14" ht="12.75" customHeight="1" thickTop="1" thickBot="1" x14ac:dyDescent="0.25">
      <c r="A210" s="1387" t="s">
        <v>275</v>
      </c>
      <c r="B210" s="1388"/>
      <c r="C210" s="1664">
        <f>SUM(C184,C185)</f>
        <v>2386197</v>
      </c>
      <c r="D210" s="1664">
        <f>SUM(D184,D185)</f>
        <v>91831</v>
      </c>
      <c r="E210" s="1664">
        <f>SUM(E184,E185,E196)</f>
        <v>426243</v>
      </c>
      <c r="F210" s="1664">
        <f>SUM(F184,F185)</f>
        <v>465038</v>
      </c>
      <c r="G210" s="1664">
        <f>SUM(G184,G185)</f>
        <v>0</v>
      </c>
      <c r="H210" s="1664">
        <f>SUM(H184,H185,H196,H208,H209)</f>
        <v>843667</v>
      </c>
      <c r="I210" s="1664">
        <f>SUM(I184,I185)</f>
        <v>7450</v>
      </c>
      <c r="J210" s="1664">
        <f>SUM(J184,J185)</f>
        <v>0</v>
      </c>
      <c r="K210" s="1662">
        <f>SUM(K184,K185,K196,K208,K209)</f>
        <v>4220426</v>
      </c>
      <c r="L210" s="1664">
        <f>SUM(L184,L185,L196,L208,L209)</f>
        <v>4790716</v>
      </c>
    </row>
    <row r="211" spans="1:14" ht="13.5" thickTop="1" x14ac:dyDescent="0.2">
      <c r="A211" s="2311" t="s">
        <v>989</v>
      </c>
      <c r="B211" s="2312"/>
      <c r="C211" s="1665"/>
      <c r="D211" s="1665"/>
      <c r="E211" s="1665"/>
      <c r="F211" s="1665"/>
      <c r="G211" s="1665"/>
      <c r="H211" s="1665"/>
      <c r="I211" s="1663"/>
      <c r="J211" s="1663"/>
      <c r="K211" s="1679">
        <f>'Revenues 9-14'!F268-'Expenditures 15-22'!K210</f>
        <v>621955</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306" t="s">
        <v>959</v>
      </c>
      <c r="B213" s="2307"/>
      <c r="C213" s="1693"/>
      <c r="D213" s="1694"/>
      <c r="E213" s="1694"/>
      <c r="F213" s="1694"/>
      <c r="G213" s="1694"/>
      <c r="H213" s="1694"/>
      <c r="I213" s="1694"/>
      <c r="J213" s="1694"/>
      <c r="K213" s="1694"/>
      <c r="L213" s="1695"/>
      <c r="M213" s="501"/>
      <c r="N213" s="501"/>
    </row>
    <row r="214" spans="1:14" s="548" customFormat="1" ht="15.75" customHeight="1" x14ac:dyDescent="0.2">
      <c r="A214" s="1354" t="s">
        <v>868</v>
      </c>
      <c r="B214" s="1346" t="s">
        <v>566</v>
      </c>
      <c r="C214" s="1663"/>
      <c r="D214" s="1666"/>
      <c r="E214" s="1663"/>
      <c r="F214" s="1663"/>
      <c r="G214" s="1663"/>
      <c r="H214" s="1663"/>
      <c r="I214" s="1663"/>
      <c r="J214" s="1663"/>
      <c r="K214" s="1666"/>
      <c r="L214" s="1666"/>
      <c r="M214" s="539"/>
      <c r="N214" s="539"/>
    </row>
    <row r="215" spans="1:14" x14ac:dyDescent="0.2">
      <c r="A215" s="1267" t="s">
        <v>955</v>
      </c>
      <c r="B215" s="503">
        <v>1100</v>
      </c>
      <c r="C215" s="1663"/>
      <c r="D215" s="1565">
        <v>215036</v>
      </c>
      <c r="E215" s="1663"/>
      <c r="F215" s="1663"/>
      <c r="G215" s="1663"/>
      <c r="H215" s="1663"/>
      <c r="I215" s="1663"/>
      <c r="J215" s="1663"/>
      <c r="K215" s="1662">
        <f>D215</f>
        <v>215036</v>
      </c>
      <c r="L215" s="1565">
        <v>266761</v>
      </c>
    </row>
    <row r="216" spans="1:14" x14ac:dyDescent="0.2">
      <c r="A216" s="1267" t="s">
        <v>162</v>
      </c>
      <c r="B216" s="503" t="s">
        <v>961</v>
      </c>
      <c r="C216" s="1663"/>
      <c r="D216" s="1566">
        <v>105710</v>
      </c>
      <c r="E216" s="1663"/>
      <c r="F216" s="1663"/>
      <c r="G216" s="1663"/>
      <c r="H216" s="1663"/>
      <c r="I216" s="1663"/>
      <c r="J216" s="1663"/>
      <c r="K216" s="1662">
        <f t="shared" ref="K216:K228" si="19">D216</f>
        <v>105710</v>
      </c>
      <c r="L216" s="1565">
        <v>0</v>
      </c>
    </row>
    <row r="217" spans="1:14" x14ac:dyDescent="0.2">
      <c r="A217" s="1267" t="s">
        <v>163</v>
      </c>
      <c r="B217" s="503">
        <v>1200</v>
      </c>
      <c r="C217" s="1663"/>
      <c r="D217" s="1565">
        <v>367986</v>
      </c>
      <c r="E217" s="1663"/>
      <c r="F217" s="1663"/>
      <c r="G217" s="1663"/>
      <c r="H217" s="1663"/>
      <c r="I217" s="1663"/>
      <c r="J217" s="1663"/>
      <c r="K217" s="1662">
        <f t="shared" si="19"/>
        <v>367986</v>
      </c>
      <c r="L217" s="1565">
        <v>501115</v>
      </c>
    </row>
    <row r="218" spans="1:14" x14ac:dyDescent="0.2">
      <c r="A218" s="1267" t="s">
        <v>276</v>
      </c>
      <c r="B218" s="503" t="s">
        <v>962</v>
      </c>
      <c r="C218" s="1663"/>
      <c r="D218" s="1566">
        <v>0</v>
      </c>
      <c r="E218" s="1663"/>
      <c r="F218" s="1663"/>
      <c r="G218" s="1663"/>
      <c r="H218" s="1663"/>
      <c r="I218" s="1663"/>
      <c r="J218" s="1663"/>
      <c r="K218" s="1662">
        <f t="shared" si="19"/>
        <v>0</v>
      </c>
      <c r="L218" s="1565">
        <v>0</v>
      </c>
    </row>
    <row r="219" spans="1:14" x14ac:dyDescent="0.2">
      <c r="A219" s="1267" t="s">
        <v>277</v>
      </c>
      <c r="B219" s="503">
        <v>1250</v>
      </c>
      <c r="C219" s="1663"/>
      <c r="D219" s="1565">
        <v>5761</v>
      </c>
      <c r="E219" s="1663"/>
      <c r="F219" s="1663"/>
      <c r="G219" s="1663"/>
      <c r="H219" s="1663"/>
      <c r="I219" s="1663"/>
      <c r="J219" s="1663"/>
      <c r="K219" s="1662">
        <f t="shared" si="19"/>
        <v>5761</v>
      </c>
      <c r="L219" s="1565">
        <v>9091</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956</v>
      </c>
      <c r="B221" s="503">
        <v>1300</v>
      </c>
      <c r="C221" s="1663"/>
      <c r="D221" s="1565">
        <v>0</v>
      </c>
      <c r="E221" s="1663"/>
      <c r="F221" s="1663"/>
      <c r="G221" s="1663"/>
      <c r="H221" s="1663"/>
      <c r="I221" s="1663"/>
      <c r="J221" s="1663"/>
      <c r="K221" s="1662">
        <f t="shared" si="19"/>
        <v>0</v>
      </c>
      <c r="L221" s="1565">
        <v>0</v>
      </c>
    </row>
    <row r="222" spans="1:14" x14ac:dyDescent="0.2">
      <c r="A222" s="1267" t="s">
        <v>718</v>
      </c>
      <c r="B222" s="503">
        <v>1400</v>
      </c>
      <c r="C222" s="1663"/>
      <c r="D222" s="1565">
        <v>0</v>
      </c>
      <c r="E222" s="1663"/>
      <c r="F222" s="1663"/>
      <c r="G222" s="1663"/>
      <c r="H222" s="1663"/>
      <c r="I222" s="1663"/>
      <c r="J222" s="1663"/>
      <c r="K222" s="1662">
        <f t="shared" si="19"/>
        <v>0</v>
      </c>
      <c r="L222" s="1565">
        <v>0</v>
      </c>
    </row>
    <row r="223" spans="1:14" x14ac:dyDescent="0.2">
      <c r="A223" s="1267" t="s">
        <v>957</v>
      </c>
      <c r="B223" s="503">
        <v>1500</v>
      </c>
      <c r="C223" s="1663"/>
      <c r="D223" s="1565">
        <v>8159</v>
      </c>
      <c r="E223" s="1663"/>
      <c r="F223" s="1663"/>
      <c r="G223" s="1663"/>
      <c r="H223" s="1663"/>
      <c r="I223" s="1663"/>
      <c r="J223" s="1663"/>
      <c r="K223" s="1662">
        <f t="shared" si="19"/>
        <v>8159</v>
      </c>
      <c r="L223" s="1565">
        <v>6629</v>
      </c>
    </row>
    <row r="224" spans="1:14" x14ac:dyDescent="0.2">
      <c r="A224" s="1267" t="s">
        <v>958</v>
      </c>
      <c r="B224" s="503">
        <v>1600</v>
      </c>
      <c r="C224" s="1663"/>
      <c r="D224" s="1565">
        <v>0</v>
      </c>
      <c r="E224" s="1663"/>
      <c r="F224" s="1663"/>
      <c r="G224" s="1663"/>
      <c r="H224" s="1663"/>
      <c r="I224" s="1663"/>
      <c r="J224" s="1663"/>
      <c r="K224" s="1662">
        <f t="shared" si="19"/>
        <v>0</v>
      </c>
      <c r="L224" s="1565">
        <v>0</v>
      </c>
    </row>
    <row r="225" spans="1:12" x14ac:dyDescent="0.2">
      <c r="A225" s="1267" t="s">
        <v>980</v>
      </c>
      <c r="B225" s="503">
        <v>1650</v>
      </c>
      <c r="C225" s="1663"/>
      <c r="D225" s="1565">
        <v>0</v>
      </c>
      <c r="E225" s="1663"/>
      <c r="F225" s="1663"/>
      <c r="G225" s="1663"/>
      <c r="H225" s="1663"/>
      <c r="I225" s="1663"/>
      <c r="J225" s="1663"/>
      <c r="K225" s="1662">
        <f t="shared" si="19"/>
        <v>0</v>
      </c>
      <c r="L225" s="1565">
        <v>0</v>
      </c>
    </row>
    <row r="226" spans="1:12" x14ac:dyDescent="0.2">
      <c r="A226" s="1267" t="s">
        <v>719</v>
      </c>
      <c r="B226" s="503" t="s">
        <v>161</v>
      </c>
      <c r="C226" s="1663"/>
      <c r="D226" s="1566">
        <v>0</v>
      </c>
      <c r="E226" s="1663"/>
      <c r="F226" s="1663"/>
      <c r="G226" s="1663"/>
      <c r="H226" s="1663"/>
      <c r="I226" s="1663"/>
      <c r="J226" s="1663"/>
      <c r="K226" s="1662">
        <f t="shared" si="19"/>
        <v>0</v>
      </c>
      <c r="L226" s="1565">
        <v>0</v>
      </c>
    </row>
    <row r="227" spans="1:12" x14ac:dyDescent="0.2">
      <c r="A227" s="1267" t="s">
        <v>1078</v>
      </c>
      <c r="B227" s="503">
        <v>1800</v>
      </c>
      <c r="C227" s="1663"/>
      <c r="D227" s="1565">
        <v>81399</v>
      </c>
      <c r="E227" s="1663"/>
      <c r="F227" s="1663"/>
      <c r="G227" s="1663"/>
      <c r="H227" s="1663"/>
      <c r="I227" s="1663"/>
      <c r="J227" s="1663"/>
      <c r="K227" s="1662">
        <f t="shared" si="19"/>
        <v>81399</v>
      </c>
      <c r="L227" s="1565">
        <v>43660</v>
      </c>
    </row>
    <row r="228" spans="1:12" x14ac:dyDescent="0.2">
      <c r="A228" s="1267" t="s">
        <v>1079</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710</v>
      </c>
      <c r="B229" s="1376" t="s">
        <v>566</v>
      </c>
      <c r="C229" s="1663"/>
      <c r="D229" s="1664">
        <f>SUM(D215:D228)</f>
        <v>784051</v>
      </c>
      <c r="E229" s="1663"/>
      <c r="F229" s="1663"/>
      <c r="G229" s="1663"/>
      <c r="H229" s="1663"/>
      <c r="I229" s="1663"/>
      <c r="J229" s="1663"/>
      <c r="K229" s="1664">
        <f>SUM(K215:K228)</f>
        <v>784051</v>
      </c>
      <c r="L229" s="1664">
        <f>SUM(L215:L228)</f>
        <v>827256</v>
      </c>
    </row>
    <row r="230" spans="1:12" ht="15.75" customHeight="1" thickTop="1" x14ac:dyDescent="0.2">
      <c r="A230" s="1343" t="s">
        <v>869</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1080</v>
      </c>
      <c r="B232" s="503">
        <v>2110</v>
      </c>
      <c r="C232" s="1663"/>
      <c r="D232" s="1565">
        <v>15751</v>
      </c>
      <c r="E232" s="1663"/>
      <c r="F232" s="1663"/>
      <c r="G232" s="1663"/>
      <c r="H232" s="1663"/>
      <c r="I232" s="1663"/>
      <c r="J232" s="1663"/>
      <c r="K232" s="1662">
        <f t="shared" ref="K232:K237" si="20">D232</f>
        <v>15751</v>
      </c>
      <c r="L232" s="1565">
        <v>14930</v>
      </c>
    </row>
    <row r="233" spans="1:12" x14ac:dyDescent="0.2">
      <c r="A233" s="1267" t="s">
        <v>1081</v>
      </c>
      <c r="B233" s="503">
        <v>2120</v>
      </c>
      <c r="C233" s="1663"/>
      <c r="D233" s="1565">
        <v>0</v>
      </c>
      <c r="E233" s="1663"/>
      <c r="F233" s="1663"/>
      <c r="G233" s="1663"/>
      <c r="H233" s="1663"/>
      <c r="I233" s="1663"/>
      <c r="J233" s="1663"/>
      <c r="K233" s="1662">
        <f t="shared" si="20"/>
        <v>0</v>
      </c>
      <c r="L233" s="1565">
        <v>0</v>
      </c>
    </row>
    <row r="234" spans="1:12" x14ac:dyDescent="0.2">
      <c r="A234" s="1267" t="s">
        <v>196</v>
      </c>
      <c r="B234" s="503">
        <v>2130</v>
      </c>
      <c r="C234" s="1663"/>
      <c r="D234" s="1565">
        <v>150771</v>
      </c>
      <c r="E234" s="1663"/>
      <c r="F234" s="1663"/>
      <c r="G234" s="1663"/>
      <c r="H234" s="1663"/>
      <c r="I234" s="1663"/>
      <c r="J234" s="1663"/>
      <c r="K234" s="1662">
        <f t="shared" si="20"/>
        <v>150771</v>
      </c>
      <c r="L234" s="1565">
        <v>1387</v>
      </c>
    </row>
    <row r="235" spans="1:12" x14ac:dyDescent="0.2">
      <c r="A235" s="1267" t="s">
        <v>197</v>
      </c>
      <c r="B235" s="503">
        <v>2140</v>
      </c>
      <c r="C235" s="1663"/>
      <c r="D235" s="1565">
        <v>16996</v>
      </c>
      <c r="E235" s="1663"/>
      <c r="F235" s="1663"/>
      <c r="G235" s="1663"/>
      <c r="H235" s="1663"/>
      <c r="I235" s="1663"/>
      <c r="J235" s="1663"/>
      <c r="K235" s="1662">
        <f t="shared" si="20"/>
        <v>16996</v>
      </c>
      <c r="L235" s="1565">
        <v>18019</v>
      </c>
    </row>
    <row r="236" spans="1:12" x14ac:dyDescent="0.2">
      <c r="A236" s="1267" t="s">
        <v>198</v>
      </c>
      <c r="B236" s="503">
        <v>2150</v>
      </c>
      <c r="C236" s="1663"/>
      <c r="D236" s="1565">
        <v>15840</v>
      </c>
      <c r="E236" s="1663"/>
      <c r="F236" s="1663"/>
      <c r="G236" s="1663"/>
      <c r="H236" s="1663"/>
      <c r="I236" s="1663"/>
      <c r="J236" s="1663"/>
      <c r="K236" s="1662">
        <f t="shared" si="20"/>
        <v>15840</v>
      </c>
      <c r="L236" s="1565">
        <v>17896</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711</v>
      </c>
      <c r="C238" s="1663"/>
      <c r="D238" s="1664">
        <f>SUM(D232:D237)</f>
        <v>199358</v>
      </c>
      <c r="E238" s="1663"/>
      <c r="F238" s="1663"/>
      <c r="G238" s="1663"/>
      <c r="H238" s="1663"/>
      <c r="I238" s="1663"/>
      <c r="J238" s="1663"/>
      <c r="K238" s="1664">
        <f>SUM(K232:K237)</f>
        <v>199358</v>
      </c>
      <c r="L238" s="1664">
        <f>SUM(L232:L237)</f>
        <v>52232</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809</v>
      </c>
      <c r="B240" s="503">
        <v>2210</v>
      </c>
      <c r="C240" s="1663"/>
      <c r="D240" s="1577">
        <v>13625</v>
      </c>
      <c r="E240" s="1663"/>
      <c r="F240" s="1663"/>
      <c r="G240" s="1663"/>
      <c r="H240" s="1663"/>
      <c r="I240" s="1663"/>
      <c r="J240" s="1663"/>
      <c r="K240" s="1668">
        <f>D240</f>
        <v>13625</v>
      </c>
      <c r="L240" s="1577">
        <v>13897</v>
      </c>
    </row>
    <row r="241" spans="1:12" x14ac:dyDescent="0.2">
      <c r="A241" s="1267" t="s">
        <v>810</v>
      </c>
      <c r="B241" s="503">
        <v>2220</v>
      </c>
      <c r="C241" s="1663"/>
      <c r="D241" s="1565">
        <v>0</v>
      </c>
      <c r="E241" s="1663"/>
      <c r="F241" s="1663"/>
      <c r="G241" s="1663"/>
      <c r="H241" s="1663"/>
      <c r="I241" s="1663"/>
      <c r="J241" s="1663"/>
      <c r="K241" s="1668">
        <f>D241</f>
        <v>0</v>
      </c>
      <c r="L241" s="1565">
        <v>0</v>
      </c>
    </row>
    <row r="242" spans="1:12" x14ac:dyDescent="0.2">
      <c r="A242" s="1267" t="s">
        <v>811</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13625</v>
      </c>
      <c r="E243" s="1663"/>
      <c r="F243" s="1663"/>
      <c r="G243" s="1663"/>
      <c r="H243" s="1663"/>
      <c r="I243" s="1663"/>
      <c r="J243" s="1663"/>
      <c r="K243" s="1664">
        <f>SUM(K240:K242)</f>
        <v>13625</v>
      </c>
      <c r="L243" s="1664">
        <f>SUM(L240:L242)</f>
        <v>13897</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812</v>
      </c>
      <c r="B245" s="503">
        <v>2310</v>
      </c>
      <c r="C245" s="1663"/>
      <c r="D245" s="1577">
        <v>0</v>
      </c>
      <c r="E245" s="1663"/>
      <c r="F245" s="1663"/>
      <c r="G245" s="1663"/>
      <c r="H245" s="1663"/>
      <c r="I245" s="1663"/>
      <c r="J245" s="1663"/>
      <c r="K245" s="1668">
        <f>D245</f>
        <v>0</v>
      </c>
      <c r="L245" s="1577">
        <v>0</v>
      </c>
    </row>
    <row r="246" spans="1:12" x14ac:dyDescent="0.2">
      <c r="A246" s="1267" t="s">
        <v>813</v>
      </c>
      <c r="B246" s="503">
        <v>2320</v>
      </c>
      <c r="C246" s="1663"/>
      <c r="D246" s="1565">
        <v>42707</v>
      </c>
      <c r="E246" s="1663"/>
      <c r="F246" s="1663"/>
      <c r="G246" s="1663"/>
      <c r="H246" s="1663"/>
      <c r="I246" s="1663"/>
      <c r="J246" s="1663"/>
      <c r="K246" s="1668">
        <f t="shared" ref="K246:K256" si="21">D246</f>
        <v>42707</v>
      </c>
      <c r="L246" s="1565">
        <v>34297</v>
      </c>
    </row>
    <row r="247" spans="1:12" x14ac:dyDescent="0.2">
      <c r="A247" s="1267" t="s">
        <v>814</v>
      </c>
      <c r="B247" s="503">
        <v>2330</v>
      </c>
      <c r="C247" s="1663"/>
      <c r="D247" s="1565">
        <v>0</v>
      </c>
      <c r="E247" s="1663"/>
      <c r="F247" s="1663"/>
      <c r="G247" s="1663"/>
      <c r="H247" s="1663"/>
      <c r="I247" s="1663"/>
      <c r="J247" s="1663"/>
      <c r="K247" s="1668">
        <f t="shared" si="21"/>
        <v>0</v>
      </c>
      <c r="L247" s="1565">
        <v>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697</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1022</v>
      </c>
      <c r="B254" s="557" t="s">
        <v>285</v>
      </c>
      <c r="C254" s="1663"/>
      <c r="D254" s="1571">
        <v>0</v>
      </c>
      <c r="E254" s="1663"/>
      <c r="F254" s="1663"/>
      <c r="G254" s="1663"/>
      <c r="H254" s="1663"/>
      <c r="I254" s="1663"/>
      <c r="J254" s="1663"/>
      <c r="K254" s="1668">
        <f t="shared" si="21"/>
        <v>0</v>
      </c>
      <c r="L254" s="1565">
        <v>0</v>
      </c>
    </row>
    <row r="255" spans="1:12" x14ac:dyDescent="0.2">
      <c r="A255" s="1268" t="s">
        <v>1023</v>
      </c>
      <c r="B255" s="494" t="s">
        <v>286</v>
      </c>
      <c r="C255" s="1663"/>
      <c r="D255" s="1571">
        <v>0</v>
      </c>
      <c r="E255" s="1663"/>
      <c r="F255" s="1663"/>
      <c r="G255" s="1663"/>
      <c r="H255" s="1663"/>
      <c r="I255" s="1663"/>
      <c r="J255" s="1663"/>
      <c r="K255" s="1668">
        <f t="shared" si="21"/>
        <v>0</v>
      </c>
      <c r="L255" s="1565">
        <v>0</v>
      </c>
    </row>
    <row r="256" spans="1:12" x14ac:dyDescent="0.2">
      <c r="A256" s="1268" t="s">
        <v>965</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712</v>
      </c>
      <c r="B257" s="1391">
        <v>2300</v>
      </c>
      <c r="C257" s="1663"/>
      <c r="D257" s="1664">
        <f>SUM(D245:D256)</f>
        <v>42707</v>
      </c>
      <c r="E257" s="1663"/>
      <c r="F257" s="1663"/>
      <c r="G257" s="1663"/>
      <c r="H257" s="1663"/>
      <c r="I257" s="1663"/>
      <c r="J257" s="1663"/>
      <c r="K257" s="1664">
        <f>SUM(K245:K256)</f>
        <v>42707</v>
      </c>
      <c r="L257" s="1664">
        <f>SUM(L245:L256)</f>
        <v>34297</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1058</v>
      </c>
      <c r="B259" s="559">
        <v>2410</v>
      </c>
      <c r="C259" s="1663"/>
      <c r="D259" s="1577">
        <v>93674</v>
      </c>
      <c r="E259" s="1663"/>
      <c r="F259" s="1663"/>
      <c r="G259" s="1663"/>
      <c r="H259" s="1663"/>
      <c r="I259" s="1663"/>
      <c r="J259" s="1663"/>
      <c r="K259" s="1668">
        <f>D259</f>
        <v>93674</v>
      </c>
      <c r="L259" s="1577">
        <v>103586</v>
      </c>
    </row>
    <row r="260" spans="1:14" s="493" customFormat="1" x14ac:dyDescent="0.2">
      <c r="A260" s="1285" t="s">
        <v>1778</v>
      </c>
      <c r="B260" s="512">
        <v>2490</v>
      </c>
      <c r="C260" s="1663"/>
      <c r="D260" s="1565">
        <v>19088</v>
      </c>
      <c r="E260" s="1663"/>
      <c r="F260" s="1663"/>
      <c r="G260" s="1663"/>
      <c r="H260" s="1663"/>
      <c r="I260" s="1663"/>
      <c r="J260" s="1663"/>
      <c r="K260" s="1668">
        <f>D260</f>
        <v>19088</v>
      </c>
      <c r="L260" s="1565">
        <v>1576</v>
      </c>
      <c r="M260" s="205"/>
      <c r="N260" s="205"/>
    </row>
    <row r="261" spans="1:14" ht="12.75" customHeight="1" thickBot="1" x14ac:dyDescent="0.25">
      <c r="A261" s="1387" t="s">
        <v>261</v>
      </c>
      <c r="B261" s="1392" t="s">
        <v>34</v>
      </c>
      <c r="C261" s="1663"/>
      <c r="D261" s="1664">
        <f>SUM(D259:D260)</f>
        <v>112762</v>
      </c>
      <c r="E261" s="1663"/>
      <c r="F261" s="1663"/>
      <c r="G261" s="1663"/>
      <c r="H261" s="1663"/>
      <c r="I261" s="1663"/>
      <c r="J261" s="1663"/>
      <c r="K261" s="1664">
        <f>SUM(K259:K260)</f>
        <v>112762</v>
      </c>
      <c r="L261" s="1664">
        <f>SUM(L259:L260)</f>
        <v>105162</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1059</v>
      </c>
      <c r="B263" s="559">
        <v>2510</v>
      </c>
      <c r="C263" s="1663"/>
      <c r="D263" s="1565">
        <v>2269</v>
      </c>
      <c r="E263" s="1663"/>
      <c r="F263" s="1663"/>
      <c r="G263" s="1663"/>
      <c r="H263" s="1663"/>
      <c r="I263" s="1663"/>
      <c r="J263" s="1663"/>
      <c r="K263" s="1668">
        <f>D263</f>
        <v>2269</v>
      </c>
      <c r="L263" s="1577">
        <v>2159</v>
      </c>
    </row>
    <row r="264" spans="1:14" x14ac:dyDescent="0.2">
      <c r="A264" s="1267" t="s">
        <v>460</v>
      </c>
      <c r="B264" s="559">
        <v>2520</v>
      </c>
      <c r="C264" s="1663"/>
      <c r="D264" s="1565">
        <v>55398</v>
      </c>
      <c r="E264" s="1663"/>
      <c r="F264" s="1663"/>
      <c r="G264" s="1663"/>
      <c r="H264" s="1663"/>
      <c r="I264" s="1663"/>
      <c r="J264" s="1663"/>
      <c r="K264" s="1668">
        <f t="shared" ref="K264:K269" si="22">D264</f>
        <v>55398</v>
      </c>
      <c r="L264" s="1565">
        <v>59933</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341211</v>
      </c>
      <c r="E266" s="1663"/>
      <c r="F266" s="1663"/>
      <c r="G266" s="1663"/>
      <c r="H266" s="1663"/>
      <c r="I266" s="1663"/>
      <c r="J266" s="1663"/>
      <c r="K266" s="1668">
        <f t="shared" si="22"/>
        <v>341211</v>
      </c>
      <c r="L266" s="1565">
        <v>393256</v>
      </c>
    </row>
    <row r="267" spans="1:14" x14ac:dyDescent="0.2">
      <c r="A267" s="1267" t="s">
        <v>947</v>
      </c>
      <c r="B267" s="503">
        <v>2550</v>
      </c>
      <c r="C267" s="1663"/>
      <c r="D267" s="1565">
        <v>400774</v>
      </c>
      <c r="E267" s="1663"/>
      <c r="F267" s="1663"/>
      <c r="G267" s="1663"/>
      <c r="H267" s="1663"/>
      <c r="I267" s="1663"/>
      <c r="J267" s="1663"/>
      <c r="K267" s="1668">
        <f t="shared" si="22"/>
        <v>400774</v>
      </c>
      <c r="L267" s="1565">
        <v>477745</v>
      </c>
    </row>
    <row r="268" spans="1:14" x14ac:dyDescent="0.2">
      <c r="A268" s="1267" t="s">
        <v>100</v>
      </c>
      <c r="B268" s="503">
        <v>2560</v>
      </c>
      <c r="C268" s="1663"/>
      <c r="D268" s="1565">
        <v>105829</v>
      </c>
      <c r="E268" s="1663"/>
      <c r="F268" s="1663"/>
      <c r="G268" s="1663"/>
      <c r="H268" s="1663"/>
      <c r="I268" s="1663"/>
      <c r="J268" s="1663"/>
      <c r="K268" s="1668">
        <f t="shared" si="22"/>
        <v>105829</v>
      </c>
      <c r="L268" s="1565">
        <v>96062</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714</v>
      </c>
      <c r="B270" s="1376" t="s">
        <v>35</v>
      </c>
      <c r="C270" s="1663"/>
      <c r="D270" s="1664">
        <f>SUM(D263:D269)</f>
        <v>905481</v>
      </c>
      <c r="E270" s="1663"/>
      <c r="F270" s="1663"/>
      <c r="G270" s="1663"/>
      <c r="H270" s="1663"/>
      <c r="I270" s="1663"/>
      <c r="J270" s="1663"/>
      <c r="K270" s="1664">
        <f>SUM(K263:K269)</f>
        <v>905481</v>
      </c>
      <c r="L270" s="1664">
        <f>SUM(L263:L269)</f>
        <v>1029155</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1051</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1052</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67104</v>
      </c>
      <c r="E276" s="1663"/>
      <c r="F276" s="1663"/>
      <c r="G276" s="1663"/>
      <c r="H276" s="1663"/>
      <c r="I276" s="1663"/>
      <c r="J276" s="1663"/>
      <c r="K276" s="1668">
        <f>D276</f>
        <v>67104</v>
      </c>
      <c r="L276" s="1565">
        <v>72224</v>
      </c>
    </row>
    <row r="277" spans="1:12" ht="12.75" customHeight="1" thickBot="1" x14ac:dyDescent="0.25">
      <c r="A277" s="1386" t="s">
        <v>37</v>
      </c>
      <c r="B277" s="1374" t="s">
        <v>36</v>
      </c>
      <c r="C277" s="1663"/>
      <c r="D277" s="1664">
        <f>SUM(D272:D276)</f>
        <v>67104</v>
      </c>
      <c r="E277" s="1663"/>
      <c r="F277" s="1663"/>
      <c r="G277" s="1663"/>
      <c r="H277" s="1663"/>
      <c r="I277" s="1663"/>
      <c r="J277" s="1663"/>
      <c r="K277" s="1664">
        <f>SUM(K272:K276)</f>
        <v>67104</v>
      </c>
      <c r="L277" s="1664">
        <f>SUM(L272:L276)</f>
        <v>72224</v>
      </c>
    </row>
    <row r="278" spans="1:12" ht="13.5" customHeight="1" thickTop="1" x14ac:dyDescent="0.2">
      <c r="A278" s="1273" t="s">
        <v>973</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806</v>
      </c>
      <c r="B279" s="1380">
        <v>2000</v>
      </c>
      <c r="C279" s="1663"/>
      <c r="D279" s="1671">
        <f>SUM(D238,D243,D257,D261,D270,D277,D278)</f>
        <v>1341037</v>
      </c>
      <c r="E279" s="1663"/>
      <c r="F279" s="1663"/>
      <c r="G279" s="1663"/>
      <c r="H279" s="1663"/>
      <c r="I279" s="1663"/>
      <c r="J279" s="1663"/>
      <c r="K279" s="1671">
        <f>SUM(K238,K243,K257,K261,K270,K277,K278)</f>
        <v>1341037</v>
      </c>
      <c r="L279" s="1671">
        <f>SUM(L238,L243,L257,L261,L270,L277,L278)</f>
        <v>1306967</v>
      </c>
    </row>
    <row r="280" spans="1:12" ht="15.75" customHeight="1" thickTop="1" thickBot="1" x14ac:dyDescent="0.25">
      <c r="A280" s="1355" t="s">
        <v>870</v>
      </c>
      <c r="B280" s="1344">
        <v>3000</v>
      </c>
      <c r="C280" s="1663"/>
      <c r="D280" s="1641">
        <v>373</v>
      </c>
      <c r="E280" s="1663"/>
      <c r="F280" s="1663"/>
      <c r="G280" s="1663"/>
      <c r="H280" s="1663"/>
      <c r="I280" s="1663"/>
      <c r="J280" s="1663"/>
      <c r="K280" s="1677">
        <f>D280</f>
        <v>373</v>
      </c>
      <c r="L280" s="1641">
        <v>0</v>
      </c>
    </row>
    <row r="281" spans="1:12" ht="15.75" customHeight="1" thickTop="1" x14ac:dyDescent="0.2">
      <c r="A281" s="1345" t="s">
        <v>141</v>
      </c>
      <c r="B281" s="1346" t="s">
        <v>855</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692</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1470</v>
      </c>
      <c r="B285" s="1374" t="s">
        <v>855</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871</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1160</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757</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872</v>
      </c>
      <c r="B294" s="1344" t="s">
        <v>856</v>
      </c>
      <c r="C294" s="1663"/>
      <c r="D294" s="1666"/>
      <c r="E294" s="1663"/>
      <c r="F294" s="1663"/>
      <c r="G294" s="1663"/>
      <c r="H294" s="1696"/>
      <c r="I294" s="1663"/>
      <c r="J294" s="1663"/>
      <c r="K294" s="1696"/>
      <c r="L294" s="1643">
        <v>0</v>
      </c>
    </row>
    <row r="295" spans="1:14" ht="12.75" customHeight="1" thickTop="1" thickBot="1" x14ac:dyDescent="0.25">
      <c r="A295" s="2302" t="s">
        <v>502</v>
      </c>
      <c r="B295" s="2303"/>
      <c r="C295" s="1663"/>
      <c r="D295" s="1664">
        <f>SUM(D229,D279,D280,D285)</f>
        <v>2125461</v>
      </c>
      <c r="E295" s="1663"/>
      <c r="F295" s="1663"/>
      <c r="G295" s="1663"/>
      <c r="H295" s="1664">
        <f>H293</f>
        <v>0</v>
      </c>
      <c r="I295" s="1663"/>
      <c r="J295" s="1663"/>
      <c r="K295" s="1664">
        <f>SUM(K229,K279,K280,K285,K293,K294)</f>
        <v>2125461</v>
      </c>
      <c r="L295" s="1664">
        <f>SUM(L229,L279,L280,L285,L293,L294)</f>
        <v>2134223</v>
      </c>
    </row>
    <row r="296" spans="1:14" ht="13.5" thickTop="1" x14ac:dyDescent="0.2">
      <c r="A296" s="2311" t="s">
        <v>989</v>
      </c>
      <c r="B296" s="2312"/>
      <c r="C296" s="1663"/>
      <c r="D296" s="1665"/>
      <c r="E296" s="1663"/>
      <c r="F296" s="1663"/>
      <c r="G296" s="1663"/>
      <c r="H296" s="1697"/>
      <c r="I296" s="1663"/>
      <c r="J296" s="1663"/>
      <c r="K296" s="1679">
        <f>'Revenues 9-14'!G268-'Expenditures 15-22'!K295</f>
        <v>-279967</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94" t="s">
        <v>142</v>
      </c>
      <c r="B298" s="2288"/>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0</v>
      </c>
      <c r="F301" s="1565">
        <v>607</v>
      </c>
      <c r="G301" s="1565">
        <v>5123161</v>
      </c>
      <c r="H301" s="1565">
        <v>0</v>
      </c>
      <c r="I301" s="1566">
        <v>0</v>
      </c>
      <c r="J301" s="1566">
        <v>0</v>
      </c>
      <c r="K301" s="1662">
        <f>SUM(C301:J301)</f>
        <v>5123768</v>
      </c>
      <c r="L301" s="1566">
        <v>6350000</v>
      </c>
    </row>
    <row r="302" spans="1:14" ht="13.5" customHeight="1" x14ac:dyDescent="0.2">
      <c r="A302" s="1280" t="s">
        <v>973</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806</v>
      </c>
      <c r="B303" s="1374" t="s">
        <v>565</v>
      </c>
      <c r="C303" s="1671">
        <f>SUM(C301:C302)</f>
        <v>0</v>
      </c>
      <c r="D303" s="1671">
        <f t="shared" ref="D303:L303" si="23">SUM(D301:D302)</f>
        <v>0</v>
      </c>
      <c r="E303" s="1671">
        <f t="shared" si="23"/>
        <v>0</v>
      </c>
      <c r="F303" s="1671">
        <f t="shared" si="23"/>
        <v>607</v>
      </c>
      <c r="G303" s="1671">
        <f t="shared" si="23"/>
        <v>5123161</v>
      </c>
      <c r="H303" s="1671">
        <f t="shared" si="23"/>
        <v>0</v>
      </c>
      <c r="I303" s="1671">
        <f t="shared" si="23"/>
        <v>0</v>
      </c>
      <c r="J303" s="1671">
        <f t="shared" si="23"/>
        <v>0</v>
      </c>
      <c r="K303" s="1671">
        <f t="shared" si="23"/>
        <v>5123768</v>
      </c>
      <c r="L303" s="1671">
        <f t="shared" si="23"/>
        <v>6350000</v>
      </c>
    </row>
    <row r="304" spans="1:14" ht="15.75" customHeight="1" thickTop="1" x14ac:dyDescent="0.2">
      <c r="A304" s="1343" t="s">
        <v>144</v>
      </c>
      <c r="B304" s="1344" t="s">
        <v>855</v>
      </c>
      <c r="C304" s="1663"/>
      <c r="D304" s="1663"/>
      <c r="E304" s="1663"/>
      <c r="F304" s="1663"/>
      <c r="G304" s="1663"/>
      <c r="H304" s="1663"/>
      <c r="I304" s="1663"/>
      <c r="J304" s="1663"/>
      <c r="K304" s="1663"/>
      <c r="L304" s="1663"/>
    </row>
    <row r="305" spans="1:14" ht="15.75" customHeight="1" x14ac:dyDescent="0.2">
      <c r="A305" s="530" t="s">
        <v>891</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692</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693</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1470</v>
      </c>
      <c r="B310" s="1376" t="s">
        <v>855</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889</v>
      </c>
      <c r="B311" s="1342" t="s">
        <v>856</v>
      </c>
      <c r="C311" s="1666"/>
      <c r="D311" s="1666"/>
      <c r="E311" s="1666"/>
      <c r="F311" s="1666"/>
      <c r="G311" s="1666"/>
      <c r="H311" s="1666"/>
      <c r="I311" s="1666"/>
      <c r="J311" s="1663"/>
      <c r="K311" s="1666"/>
      <c r="L311" s="1641">
        <v>0</v>
      </c>
    </row>
    <row r="312" spans="1:14" s="548" customFormat="1" ht="12.75" customHeight="1" thickTop="1" thickBot="1" x14ac:dyDescent="0.25">
      <c r="A312" s="2299" t="s">
        <v>275</v>
      </c>
      <c r="B312" s="2300"/>
      <c r="C312" s="1664">
        <f>SUM(C303)</f>
        <v>0</v>
      </c>
      <c r="D312" s="1664">
        <f>SUM(D303)</f>
        <v>0</v>
      </c>
      <c r="E312" s="1664">
        <f>SUM(E303,E310)</f>
        <v>0</v>
      </c>
      <c r="F312" s="1664">
        <f>SUM(F303)</f>
        <v>607</v>
      </c>
      <c r="G312" s="1664">
        <f>SUM(G303)</f>
        <v>5123161</v>
      </c>
      <c r="H312" s="1664">
        <f>SUM(H303,H310)</f>
        <v>0</v>
      </c>
      <c r="I312" s="1664">
        <f>SUM(I303)</f>
        <v>0</v>
      </c>
      <c r="J312" s="1664">
        <f>SUM(J303)</f>
        <v>0</v>
      </c>
      <c r="K312" s="1664">
        <f>SUM(K303,K310,K311)</f>
        <v>5123768</v>
      </c>
      <c r="L312" s="1664">
        <f>SUM(L303,L310,L311)</f>
        <v>6350000</v>
      </c>
      <c r="M312" s="539"/>
      <c r="N312" s="539"/>
    </row>
    <row r="313" spans="1:14" ht="13.5" thickTop="1" x14ac:dyDescent="0.2">
      <c r="A313" s="2295" t="s">
        <v>989</v>
      </c>
      <c r="B313" s="2296"/>
      <c r="C313" s="1667"/>
      <c r="D313" s="1667"/>
      <c r="E313" s="1667"/>
      <c r="F313" s="1667"/>
      <c r="G313" s="1667"/>
      <c r="H313" s="1667"/>
      <c r="I313" s="1667"/>
      <c r="J313" s="1667"/>
      <c r="K313" s="1686">
        <f>'Revenues 9-14'!H268-'Expenditures 15-22'!K312</f>
        <v>-3633121</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308" t="s">
        <v>148</v>
      </c>
      <c r="B315" s="2309"/>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310" t="s">
        <v>892</v>
      </c>
      <c r="B317" s="2309"/>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456838</v>
      </c>
      <c r="F320" s="1566">
        <v>0</v>
      </c>
      <c r="G320" s="1566">
        <v>0</v>
      </c>
      <c r="H320" s="1566">
        <v>0</v>
      </c>
      <c r="I320" s="1566">
        <v>0</v>
      </c>
      <c r="J320" s="1566">
        <v>0</v>
      </c>
      <c r="K320" s="1662">
        <f t="shared" ref="K320:K327" si="24">SUM(C320:J320)</f>
        <v>456838</v>
      </c>
      <c r="L320" s="1566">
        <v>174412</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394930</v>
      </c>
      <c r="F322" s="1566">
        <v>0</v>
      </c>
      <c r="G322" s="1566">
        <v>0</v>
      </c>
      <c r="H322" s="1566">
        <v>0</v>
      </c>
      <c r="I322" s="1566">
        <v>0</v>
      </c>
      <c r="J322" s="1566">
        <v>0</v>
      </c>
      <c r="K322" s="1662">
        <f t="shared" si="24"/>
        <v>394930</v>
      </c>
      <c r="L322" s="1566">
        <v>446166</v>
      </c>
      <c r="M322" s="539"/>
      <c r="N322" s="539"/>
    </row>
    <row r="323" spans="1:14" s="548" customFormat="1" x14ac:dyDescent="0.2">
      <c r="A323" s="1282" t="s">
        <v>697</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1022</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1023</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965</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1122</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1123</v>
      </c>
      <c r="B329" s="562" t="s">
        <v>1124</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712</v>
      </c>
      <c r="B330" s="1374" t="s">
        <v>565</v>
      </c>
      <c r="C330" s="1664">
        <f>SUM(C319:C329)</f>
        <v>0</v>
      </c>
      <c r="D330" s="1664">
        <f t="shared" ref="D330:J330" si="25">SUM(D319:D329)</f>
        <v>0</v>
      </c>
      <c r="E330" s="1664">
        <f t="shared" si="25"/>
        <v>851768</v>
      </c>
      <c r="F330" s="1664">
        <f t="shared" si="25"/>
        <v>0</v>
      </c>
      <c r="G330" s="1664">
        <f t="shared" si="25"/>
        <v>0</v>
      </c>
      <c r="H330" s="1664">
        <f t="shared" si="25"/>
        <v>0</v>
      </c>
      <c r="I330" s="1664">
        <f t="shared" si="25"/>
        <v>0</v>
      </c>
      <c r="J330" s="1664">
        <f t="shared" si="25"/>
        <v>0</v>
      </c>
      <c r="K330" s="1664">
        <f>SUM(K319:K329)</f>
        <v>851768</v>
      </c>
      <c r="L330" s="1664">
        <f>SUM(L319:L329)</f>
        <v>620578</v>
      </c>
      <c r="M330" s="539"/>
      <c r="N330" s="539"/>
    </row>
    <row r="331" spans="1:14" s="548" customFormat="1" ht="12.75" customHeight="1" thickTop="1" x14ac:dyDescent="0.2">
      <c r="A331" s="1460" t="s">
        <v>1819</v>
      </c>
      <c r="B331" s="525" t="s">
        <v>855</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855</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893</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894</v>
      </c>
      <c r="C337" s="1674"/>
      <c r="D337" s="1674"/>
      <c r="E337" s="1674"/>
      <c r="F337" s="1674"/>
      <c r="G337" s="1674"/>
      <c r="H337" s="1574">
        <v>0</v>
      </c>
      <c r="I337" s="1674"/>
      <c r="J337" s="1674"/>
      <c r="K337" s="1662">
        <f>H337</f>
        <v>0</v>
      </c>
      <c r="L337" s="1574">
        <v>0</v>
      </c>
    </row>
    <row r="338" spans="1:14" ht="12.75" customHeight="1" x14ac:dyDescent="0.2">
      <c r="A338" s="1281" t="s">
        <v>1160</v>
      </c>
      <c r="B338" s="562" t="s">
        <v>613</v>
      </c>
      <c r="C338" s="1674"/>
      <c r="D338" s="1674"/>
      <c r="E338" s="1674"/>
      <c r="F338" s="1674"/>
      <c r="G338" s="1674"/>
      <c r="H338" s="1574">
        <v>0</v>
      </c>
      <c r="I338" s="1674"/>
      <c r="J338" s="1674"/>
      <c r="K338" s="1662">
        <f>H338</f>
        <v>0</v>
      </c>
      <c r="L338" s="1574">
        <v>0</v>
      </c>
    </row>
    <row r="339" spans="1:14" x14ac:dyDescent="0.2">
      <c r="A339" s="1267" t="s">
        <v>895</v>
      </c>
      <c r="B339" s="512">
        <v>5150</v>
      </c>
      <c r="C339" s="1674"/>
      <c r="D339" s="1674"/>
      <c r="E339" s="1674"/>
      <c r="F339" s="1674"/>
      <c r="G339" s="1674"/>
      <c r="H339" s="1566">
        <v>0</v>
      </c>
      <c r="I339" s="1674"/>
      <c r="J339" s="1674"/>
      <c r="K339" s="1662">
        <f>H339</f>
        <v>0</v>
      </c>
      <c r="L339" s="1566">
        <v>0</v>
      </c>
    </row>
    <row r="340" spans="1:14" ht="13.5" thickBot="1" x14ac:dyDescent="0.25">
      <c r="A340" s="1389" t="s">
        <v>896</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897</v>
      </c>
      <c r="B341" s="1342" t="s">
        <v>856</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851768</v>
      </c>
      <c r="F342" s="1664">
        <f>SUM(F330)</f>
        <v>0</v>
      </c>
      <c r="G342" s="1664">
        <f>SUM(G330)</f>
        <v>0</v>
      </c>
      <c r="H342" s="1664">
        <f>SUM(H330,H334,H340)</f>
        <v>0</v>
      </c>
      <c r="I342" s="1664">
        <f>SUM(I330)</f>
        <v>0</v>
      </c>
      <c r="J342" s="1664">
        <f>SUM(J330)</f>
        <v>0</v>
      </c>
      <c r="K342" s="1664">
        <f>SUM(K330,K334,K340)</f>
        <v>851768</v>
      </c>
      <c r="L342" s="1671">
        <f>SUM(L330,L334,L340,L341)</f>
        <v>620578</v>
      </c>
    </row>
    <row r="343" spans="1:14" ht="12.75" customHeight="1" thickTop="1" x14ac:dyDescent="0.2">
      <c r="A343" s="2297" t="s">
        <v>989</v>
      </c>
      <c r="B343" s="2298"/>
      <c r="C343" s="1663"/>
      <c r="D343" s="1663"/>
      <c r="E343" s="1663"/>
      <c r="F343" s="1663"/>
      <c r="G343" s="1663"/>
      <c r="H343" s="1663"/>
      <c r="I343" s="1663"/>
      <c r="J343" s="1663"/>
      <c r="K343" s="1679">
        <f>'Revenues 9-14'!J268-'Expenditures 15-22'!K342</f>
        <v>-344481</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87" t="s">
        <v>960</v>
      </c>
      <c r="B345" s="2288"/>
      <c r="C345" s="1693"/>
      <c r="D345" s="1694"/>
      <c r="E345" s="1694"/>
      <c r="F345" s="1694"/>
      <c r="G345" s="1694"/>
      <c r="H345" s="1694"/>
      <c r="I345" s="1694"/>
      <c r="J345" s="1694"/>
      <c r="K345" s="1694"/>
      <c r="L345" s="1695"/>
      <c r="M345" s="541"/>
      <c r="N345" s="541"/>
    </row>
    <row r="346" spans="1:14" s="321" customFormat="1" ht="15.75" customHeight="1" x14ac:dyDescent="0.2">
      <c r="A346" s="1354" t="s">
        <v>839</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8080</v>
      </c>
    </row>
    <row r="350" spans="1:14" ht="12.75" customHeight="1" thickBot="1" x14ac:dyDescent="0.25">
      <c r="A350" s="1373" t="s">
        <v>714</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8080</v>
      </c>
    </row>
    <row r="351" spans="1:14" ht="12.75" customHeight="1" thickTop="1" x14ac:dyDescent="0.2">
      <c r="A351" s="1273" t="s">
        <v>973</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8080</v>
      </c>
    </row>
    <row r="353" spans="1:14" s="321" customFormat="1" ht="15.75" customHeight="1" thickTop="1" x14ac:dyDescent="0.2">
      <c r="A353" s="1343" t="s">
        <v>621</v>
      </c>
      <c r="B353" s="1340" t="s">
        <v>855</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693</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1470</v>
      </c>
      <c r="B357" s="1374" t="s">
        <v>855</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942</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713</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1653</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943</v>
      </c>
      <c r="B366" s="1344" t="s">
        <v>856</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8080</v>
      </c>
    </row>
    <row r="368" spans="1:14" ht="13.5" thickTop="1" x14ac:dyDescent="0.2">
      <c r="A368" s="2311" t="s">
        <v>989</v>
      </c>
      <c r="B368" s="2312"/>
      <c r="C368" s="1684"/>
      <c r="D368" s="1684"/>
      <c r="E368" s="1667"/>
      <c r="F368" s="1667"/>
      <c r="G368" s="1667"/>
      <c r="H368" s="1667"/>
      <c r="I368" s="1667"/>
      <c r="J368" s="1666"/>
      <c r="K368" s="1662">
        <f>'Revenues 9-14'!K268-'Expenditures 15-22'!K367</f>
        <v>13330</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Normal="100" workbookViewId="0">
      <selection activeCell="C13" sqref="C1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313"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314"/>
      <c r="B3" s="1287"/>
      <c r="C3" s="1288"/>
      <c r="D3" s="1289" t="s">
        <v>254</v>
      </c>
      <c r="E3" s="1288"/>
      <c r="F3" s="1289" t="s">
        <v>255</v>
      </c>
    </row>
    <row r="4" spans="1:8" ht="13.7" customHeight="1" x14ac:dyDescent="0.2">
      <c r="A4" s="579" t="s">
        <v>1145</v>
      </c>
      <c r="B4" s="1710">
        <f>'Revenues 9-14'!C5</f>
        <v>37085030</v>
      </c>
      <c r="C4" s="1711">
        <v>18406793</v>
      </c>
      <c r="D4" s="1712">
        <f>B4-C4</f>
        <v>18678237</v>
      </c>
      <c r="E4" s="1711">
        <v>39397127</v>
      </c>
      <c r="F4" s="1712">
        <f>E4-C4</f>
        <v>20990334</v>
      </c>
    </row>
    <row r="5" spans="1:8" ht="13.7" customHeight="1" x14ac:dyDescent="0.2">
      <c r="A5" s="579" t="s">
        <v>865</v>
      </c>
      <c r="B5" s="1713">
        <f>'Revenues 9-14'!D5</f>
        <v>5137353</v>
      </c>
      <c r="C5" s="1654">
        <v>2550013</v>
      </c>
      <c r="D5" s="1714">
        <f t="shared" ref="D5:D18" si="0">B5-C5</f>
        <v>2587340</v>
      </c>
      <c r="E5" s="1654">
        <v>5457941</v>
      </c>
      <c r="F5" s="1714">
        <f>E5-C5</f>
        <v>2907928</v>
      </c>
    </row>
    <row r="6" spans="1:8" ht="13.7" customHeight="1" x14ac:dyDescent="0.2">
      <c r="A6" s="579" t="s">
        <v>408</v>
      </c>
      <c r="B6" s="1713">
        <f>'Revenues 9-14'!E5</f>
        <v>2779960</v>
      </c>
      <c r="C6" s="1654">
        <v>0</v>
      </c>
      <c r="D6" s="1714">
        <f t="shared" si="0"/>
        <v>2779960</v>
      </c>
      <c r="E6" s="1654">
        <v>0</v>
      </c>
      <c r="F6" s="1714">
        <f t="shared" ref="F6:F18" si="1">E6-C6</f>
        <v>0</v>
      </c>
    </row>
    <row r="7" spans="1:8" ht="13.7" customHeight="1" x14ac:dyDescent="0.2">
      <c r="A7" s="579" t="s">
        <v>154</v>
      </c>
      <c r="B7" s="1713">
        <f>'Revenues 9-14'!F5</f>
        <v>1976230</v>
      </c>
      <c r="C7" s="1654">
        <v>980992</v>
      </c>
      <c r="D7" s="1714">
        <f t="shared" si="0"/>
        <v>995238</v>
      </c>
      <c r="E7" s="1654">
        <v>2099674</v>
      </c>
      <c r="F7" s="1714">
        <f t="shared" si="1"/>
        <v>1118682</v>
      </c>
    </row>
    <row r="8" spans="1:8" ht="13.7" customHeight="1" x14ac:dyDescent="0.2">
      <c r="A8" s="579" t="s">
        <v>1169</v>
      </c>
      <c r="B8" s="1713">
        <f>'Revenues 9-14'!G5</f>
        <v>790586</v>
      </c>
      <c r="C8" s="1654">
        <v>392488</v>
      </c>
      <c r="D8" s="1714">
        <f t="shared" si="0"/>
        <v>398098</v>
      </c>
      <c r="E8" s="1654">
        <v>840066</v>
      </c>
      <c r="F8" s="1714">
        <f t="shared" si="1"/>
        <v>447578</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464593</v>
      </c>
      <c r="C10" s="1654">
        <v>230630</v>
      </c>
      <c r="D10" s="1714">
        <f t="shared" si="0"/>
        <v>233963</v>
      </c>
      <c r="E10" s="1654">
        <v>493631</v>
      </c>
      <c r="F10" s="1714">
        <f t="shared" si="1"/>
        <v>263001</v>
      </c>
    </row>
    <row r="11" spans="1:8" x14ac:dyDescent="0.2">
      <c r="A11" s="579" t="s">
        <v>406</v>
      </c>
      <c r="B11" s="1713">
        <f>'Revenues 9-14'!J5</f>
        <v>493853</v>
      </c>
      <c r="C11" s="1654">
        <v>245133</v>
      </c>
      <c r="D11" s="1714">
        <f t="shared" si="0"/>
        <v>248720</v>
      </c>
      <c r="E11" s="1654">
        <v>524673</v>
      </c>
      <c r="F11" s="1714">
        <f t="shared" si="1"/>
        <v>279540</v>
      </c>
    </row>
    <row r="12" spans="1:8" ht="13.7" customHeight="1" x14ac:dyDescent="0.2">
      <c r="A12" s="579" t="s">
        <v>156</v>
      </c>
      <c r="B12" s="1713">
        <f>'Revenues 9-14'!K5</f>
        <v>11784</v>
      </c>
      <c r="C12" s="1654">
        <v>6083</v>
      </c>
      <c r="D12" s="1714">
        <f t="shared" si="0"/>
        <v>5701</v>
      </c>
      <c r="E12" s="1654">
        <v>13019</v>
      </c>
      <c r="F12" s="1714">
        <f t="shared" si="1"/>
        <v>6936</v>
      </c>
    </row>
    <row r="13" spans="1:8" ht="13.7" customHeight="1" x14ac:dyDescent="0.2">
      <c r="A13" s="579" t="s">
        <v>930</v>
      </c>
      <c r="B13" s="1713">
        <f>SUM('Revenues 9-14'!C6:D6)</f>
        <v>0</v>
      </c>
      <c r="C13" s="1654"/>
      <c r="D13" s="1714">
        <f t="shared" si="0"/>
        <v>0</v>
      </c>
      <c r="E13" s="1654"/>
      <c r="F13" s="1714">
        <f t="shared" si="1"/>
        <v>0</v>
      </c>
    </row>
    <row r="14" spans="1:8" ht="13.7" customHeight="1" x14ac:dyDescent="0.2">
      <c r="A14" s="579" t="s">
        <v>407</v>
      </c>
      <c r="B14" s="1713">
        <f>SUM('Revenues 9-14'!C7:D7,'Revenues 9-14'!F7:H7)</f>
        <v>1976230</v>
      </c>
      <c r="C14" s="1654">
        <v>980992</v>
      </c>
      <c r="D14" s="1714">
        <f t="shared" si="0"/>
        <v>995238</v>
      </c>
      <c r="E14" s="1654">
        <v>2099674</v>
      </c>
      <c r="F14" s="1714">
        <f t="shared" si="1"/>
        <v>1118682</v>
      </c>
    </row>
    <row r="15" spans="1:8" ht="13.7" customHeight="1" x14ac:dyDescent="0.2">
      <c r="A15" s="579" t="s">
        <v>1148</v>
      </c>
      <c r="B15" s="1713">
        <f>SUM('Revenues 9-14'!D9:E9,'Revenues 9-14'!H9)</f>
        <v>0</v>
      </c>
      <c r="C15" s="1654"/>
      <c r="D15" s="1714">
        <f t="shared" si="0"/>
        <v>0</v>
      </c>
      <c r="E15" s="1654"/>
      <c r="F15" s="1714">
        <f t="shared" si="1"/>
        <v>0</v>
      </c>
    </row>
    <row r="16" spans="1:8" ht="13.7" customHeight="1" x14ac:dyDescent="0.2">
      <c r="A16" s="579" t="s">
        <v>1149</v>
      </c>
      <c r="B16" s="1713">
        <f>'Revenues 9-14'!G8</f>
        <v>790586</v>
      </c>
      <c r="C16" s="1654">
        <v>392488</v>
      </c>
      <c r="D16" s="1714">
        <f t="shared" si="0"/>
        <v>398098</v>
      </c>
      <c r="E16" s="1654">
        <v>840066</v>
      </c>
      <c r="F16" s="1714">
        <f t="shared" si="1"/>
        <v>447578</v>
      </c>
    </row>
    <row r="17" spans="1:6" ht="13.7" customHeight="1" x14ac:dyDescent="0.2">
      <c r="A17" s="579" t="s">
        <v>1150</v>
      </c>
      <c r="B17" s="1713">
        <f>'Revenues 9-14'!C10</f>
        <v>0</v>
      </c>
      <c r="C17" s="1654"/>
      <c r="D17" s="1714">
        <f t="shared" si="0"/>
        <v>0</v>
      </c>
      <c r="E17" s="1654"/>
      <c r="F17" s="1714">
        <f t="shared" si="1"/>
        <v>0</v>
      </c>
    </row>
    <row r="18" spans="1:6" ht="13.7" customHeight="1" x14ac:dyDescent="0.2">
      <c r="A18" s="579" t="s">
        <v>757</v>
      </c>
      <c r="B18" s="1713">
        <f>SUM('Revenues 9-14'!C11:K11)</f>
        <v>0</v>
      </c>
      <c r="C18" s="1654"/>
      <c r="D18" s="1714">
        <f t="shared" si="0"/>
        <v>0</v>
      </c>
      <c r="E18" s="1654"/>
      <c r="F18" s="1714">
        <f t="shared" si="1"/>
        <v>0</v>
      </c>
    </row>
    <row r="19" spans="1:6" ht="13.7" customHeight="1" thickBot="1" x14ac:dyDescent="0.25">
      <c r="A19" s="1425" t="s">
        <v>1151</v>
      </c>
      <c r="B19" s="1715">
        <f>SUM(B4:B18)</f>
        <v>51506205</v>
      </c>
      <c r="C19" s="1715">
        <f>SUM(C4:C18)</f>
        <v>24185612</v>
      </c>
      <c r="D19" s="1715">
        <f>SUM(D4:D18)</f>
        <v>27320593</v>
      </c>
      <c r="E19" s="1715">
        <f>SUM(E4:E18)</f>
        <v>51765871</v>
      </c>
      <c r="F19" s="1715">
        <f>SUM(F4:F18)</f>
        <v>27580259</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colorId="8" zoomScale="90" zoomScaleNormal="90" workbookViewId="0">
      <selection activeCell="G6" sqref="G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9" t="s">
        <v>625</v>
      </c>
      <c r="B1" s="2320"/>
      <c r="C1" s="585"/>
    </row>
    <row r="2" spans="1:7" ht="33.75" x14ac:dyDescent="0.2">
      <c r="A2" s="2328" t="s">
        <v>1776</v>
      </c>
      <c r="B2" s="2329"/>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32" t="s">
        <v>1104</v>
      </c>
      <c r="B3" s="2333"/>
      <c r="C3" s="2321"/>
      <c r="D3" s="2322"/>
      <c r="E3" s="2322"/>
      <c r="F3" s="2323"/>
    </row>
    <row r="4" spans="1:7" ht="12.75" customHeight="1" thickBot="1" x14ac:dyDescent="0.25">
      <c r="A4" s="2330" t="s">
        <v>626</v>
      </c>
      <c r="B4" s="2331"/>
      <c r="C4" s="1646"/>
      <c r="D4" s="1646"/>
      <c r="E4" s="1646"/>
      <c r="F4" s="1721">
        <f>SUM(C4+D4)-E4</f>
        <v>0</v>
      </c>
    </row>
    <row r="5" spans="1:7" ht="15.75" customHeight="1" thickTop="1" x14ac:dyDescent="0.2">
      <c r="A5" s="2315" t="s">
        <v>1101</v>
      </c>
      <c r="B5" s="2316"/>
      <c r="C5" s="2324"/>
      <c r="D5" s="2325"/>
      <c r="E5" s="2325"/>
      <c r="F5" s="2326"/>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1147</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17" t="s">
        <v>627</v>
      </c>
      <c r="B15" s="2318"/>
      <c r="C15" s="1721">
        <f>SUM(C6:C14)</f>
        <v>0</v>
      </c>
      <c r="D15" s="1721">
        <f>SUM(D6:D14)</f>
        <v>0</v>
      </c>
      <c r="E15" s="1721">
        <f>SUM(E6:E14)</f>
        <v>0</v>
      </c>
      <c r="F15" s="1721">
        <f>SUM(F6:F14)</f>
        <v>0</v>
      </c>
      <c r="G15" s="473"/>
    </row>
    <row r="16" spans="1:7" s="197" customFormat="1" ht="15.75" customHeight="1" thickTop="1" x14ac:dyDescent="0.2">
      <c r="A16" s="2327" t="s">
        <v>1102</v>
      </c>
      <c r="B16" s="2316"/>
      <c r="C16" s="2324"/>
      <c r="D16" s="2325"/>
      <c r="E16" s="2325"/>
      <c r="F16" s="2326"/>
    </row>
    <row r="17" spans="1:11" ht="12.75" customHeight="1" thickBot="1" x14ac:dyDescent="0.25">
      <c r="A17" s="2340" t="s">
        <v>64</v>
      </c>
      <c r="B17" s="2341"/>
      <c r="C17" s="1722"/>
      <c r="D17" s="1654"/>
      <c r="E17" s="1722"/>
      <c r="F17" s="1721">
        <f>SUM(C17+D17)-E17</f>
        <v>0</v>
      </c>
    </row>
    <row r="18" spans="1:11" ht="12.75" customHeight="1" thickTop="1" thickBot="1" x14ac:dyDescent="0.25">
      <c r="A18" s="2340" t="s">
        <v>6</v>
      </c>
      <c r="B18" s="2341"/>
      <c r="C18" s="1722"/>
      <c r="D18" s="1654"/>
      <c r="E18" s="1722"/>
      <c r="F18" s="1721">
        <f>SUM(C18+D18)-E18</f>
        <v>0</v>
      </c>
    </row>
    <row r="19" spans="1:11" ht="12.75" customHeight="1" thickTop="1" thickBot="1" x14ac:dyDescent="0.25">
      <c r="A19" s="2340" t="s">
        <v>385</v>
      </c>
      <c r="B19" s="2341"/>
      <c r="C19" s="1722"/>
      <c r="D19" s="1654"/>
      <c r="E19" s="1722"/>
      <c r="F19" s="1721">
        <f>SUM(C19+D19)-E19</f>
        <v>0</v>
      </c>
    </row>
    <row r="20" spans="1:11" ht="12.75" customHeight="1" thickTop="1" thickBot="1" x14ac:dyDescent="0.25">
      <c r="A20" s="2340" t="s">
        <v>445</v>
      </c>
      <c r="B20" s="2341"/>
      <c r="C20" s="1722"/>
      <c r="D20" s="1654"/>
      <c r="E20" s="1722"/>
      <c r="F20" s="1721">
        <f>SUM(C20+D20)-E20</f>
        <v>0</v>
      </c>
    </row>
    <row r="21" spans="1:11" ht="14.25" thickTop="1" thickBot="1" x14ac:dyDescent="0.25">
      <c r="A21" s="2317" t="s">
        <v>628</v>
      </c>
      <c r="B21" s="2318"/>
      <c r="C21" s="1721">
        <f>SUM(C17:C20)</f>
        <v>0</v>
      </c>
      <c r="D21" s="1721">
        <f>SUM(D17:D20)</f>
        <v>0</v>
      </c>
      <c r="E21" s="1721">
        <f>SUM(E17:E20)</f>
        <v>0</v>
      </c>
      <c r="F21" s="1721">
        <f>SUM(F17:F20)</f>
        <v>0</v>
      </c>
      <c r="G21" s="473"/>
    </row>
    <row r="22" spans="1:11" ht="15.75" customHeight="1" thickTop="1" x14ac:dyDescent="0.2">
      <c r="A22" s="2342" t="s">
        <v>1103</v>
      </c>
      <c r="B22" s="2316"/>
      <c r="C22" s="2324"/>
      <c r="D22" s="2325"/>
      <c r="E22" s="2325"/>
      <c r="F22" s="2326"/>
    </row>
    <row r="23" spans="1:11" ht="13.5" thickBot="1" x14ac:dyDescent="0.25">
      <c r="A23" s="2330" t="s">
        <v>629</v>
      </c>
      <c r="B23" s="2331"/>
      <c r="C23" s="1646"/>
      <c r="D23" s="1646"/>
      <c r="E23" s="1646"/>
      <c r="F23" s="1721">
        <f>SUM(C23+D23)-E23</f>
        <v>0</v>
      </c>
      <c r="G23" s="473"/>
    </row>
    <row r="24" spans="1:11" ht="15.75" customHeight="1" thickTop="1" x14ac:dyDescent="0.2">
      <c r="A24" s="2342" t="s">
        <v>2003</v>
      </c>
      <c r="B24" s="2316"/>
      <c r="C24" s="2324"/>
      <c r="D24" s="2325"/>
      <c r="E24" s="2325"/>
      <c r="F24" s="2326"/>
    </row>
    <row r="25" spans="1:11" ht="13.5" thickBot="1" x14ac:dyDescent="0.25">
      <c r="A25" s="2330" t="s">
        <v>2004</v>
      </c>
      <c r="B25" s="2331"/>
      <c r="C25" s="1646"/>
      <c r="D25" s="1646"/>
      <c r="E25" s="1646"/>
      <c r="F25" s="1721">
        <f>SUM(C25+D25)-E25</f>
        <v>0</v>
      </c>
      <c r="G25" s="473"/>
    </row>
    <row r="26" spans="1:11" ht="15.75" customHeight="1" thickTop="1" x14ac:dyDescent="0.2">
      <c r="A26" s="2315" t="s">
        <v>652</v>
      </c>
      <c r="B26" s="2316"/>
      <c r="C26" s="589"/>
      <c r="D26" s="589"/>
      <c r="E26" s="589"/>
      <c r="F26" s="590"/>
    </row>
    <row r="27" spans="1:11" ht="13.5" thickBot="1" x14ac:dyDescent="0.25">
      <c r="A27" s="2317" t="s">
        <v>1061</v>
      </c>
      <c r="B27" s="2318"/>
      <c r="C27" s="1654"/>
      <c r="D27" s="1654"/>
      <c r="E27" s="1654"/>
      <c r="F27" s="1721">
        <f>SUM(C27+D27)-E27</f>
        <v>0</v>
      </c>
      <c r="G27" s="473"/>
    </row>
    <row r="28" spans="1:11" ht="7.5" customHeight="1" thickTop="1" x14ac:dyDescent="0.2">
      <c r="A28" s="489"/>
    </row>
    <row r="29" spans="1:11" ht="23.25" customHeight="1" x14ac:dyDescent="0.2">
      <c r="A29" s="2343" t="s">
        <v>578</v>
      </c>
      <c r="B29" s="2320"/>
      <c r="C29" s="591"/>
      <c r="D29" s="591"/>
      <c r="E29" s="591"/>
      <c r="F29" s="591"/>
      <c r="G29" s="591"/>
      <c r="H29" s="591"/>
      <c r="I29" s="591"/>
      <c r="J29" s="591"/>
    </row>
    <row r="30" spans="1:11" ht="33.75" x14ac:dyDescent="0.2">
      <c r="A30" s="1290" t="s">
        <v>1062</v>
      </c>
      <c r="B30" s="592" t="s">
        <v>1114</v>
      </c>
      <c r="C30" s="592" t="s">
        <v>579</v>
      </c>
      <c r="D30" s="592" t="s">
        <v>1654</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2112</v>
      </c>
      <c r="B31" s="595">
        <v>40422</v>
      </c>
      <c r="C31" s="1723">
        <v>5890000</v>
      </c>
      <c r="D31" s="1724">
        <v>3</v>
      </c>
      <c r="E31" s="1723">
        <v>5515000</v>
      </c>
      <c r="F31" s="1723"/>
      <c r="G31" s="1723"/>
      <c r="H31" s="1723">
        <v>5515000</v>
      </c>
      <c r="I31" s="1725">
        <f>((E31+F31)-H31)+G31</f>
        <v>0</v>
      </c>
      <c r="J31" s="1723"/>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5890000</v>
      </c>
      <c r="D49" s="1731"/>
      <c r="E49" s="1725">
        <f t="shared" ref="E49:J49" si="2">SUM(E31:E48)</f>
        <v>5515000</v>
      </c>
      <c r="F49" s="1725">
        <f t="shared" si="2"/>
        <v>0</v>
      </c>
      <c r="G49" s="1725">
        <f t="shared" si="2"/>
        <v>0</v>
      </c>
      <c r="H49" s="1725">
        <f t="shared" si="2"/>
        <v>5515000</v>
      </c>
      <c r="I49" s="1725">
        <f t="shared" si="2"/>
        <v>0</v>
      </c>
      <c r="J49" s="1725">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34" t="s">
        <v>580</v>
      </c>
      <c r="C52" s="2335"/>
      <c r="D52" s="2335"/>
      <c r="E52" s="603" t="s">
        <v>840</v>
      </c>
      <c r="F52" s="2336"/>
      <c r="G52" s="2337"/>
      <c r="H52" s="596"/>
      <c r="I52" s="596"/>
      <c r="J52" s="600"/>
    </row>
    <row r="53" spans="1:11" ht="11.25" customHeight="1" x14ac:dyDescent="0.2">
      <c r="A53" s="604" t="s">
        <v>907</v>
      </c>
      <c r="B53" s="605" t="s">
        <v>945</v>
      </c>
      <c r="C53" s="600"/>
      <c r="D53" s="597"/>
      <c r="E53" s="603" t="s">
        <v>494</v>
      </c>
      <c r="F53" s="2338"/>
      <c r="G53" s="2339"/>
      <c r="H53" s="596"/>
      <c r="I53" s="596"/>
      <c r="J53" s="600"/>
    </row>
    <row r="54" spans="1:11" ht="11.25" customHeight="1" x14ac:dyDescent="0.2">
      <c r="A54" s="606" t="s">
        <v>908</v>
      </c>
      <c r="B54" s="601" t="s">
        <v>946</v>
      </c>
      <c r="C54" s="600"/>
      <c r="D54" s="597"/>
      <c r="E54" s="603" t="s">
        <v>495</v>
      </c>
      <c r="F54" s="2338"/>
      <c r="G54" s="233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90" zoomScaleNormal="9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0" t="s">
        <v>851</v>
      </c>
      <c r="B1" s="2371"/>
      <c r="C1" s="2371"/>
      <c r="D1" s="2371"/>
      <c r="E1" s="2371"/>
      <c r="F1" s="2371"/>
      <c r="G1" s="2372"/>
      <c r="H1" s="1291"/>
      <c r="I1" s="614"/>
      <c r="J1" s="400"/>
    </row>
    <row r="2" spans="1:11" ht="26.25" x14ac:dyDescent="0.2">
      <c r="A2" s="2347" t="s">
        <v>1658</v>
      </c>
      <c r="B2" s="2348"/>
      <c r="C2" s="2348"/>
      <c r="D2" s="2348"/>
      <c r="E2" s="2349"/>
      <c r="F2" s="615" t="s">
        <v>898</v>
      </c>
      <c r="G2" s="616" t="s">
        <v>1655</v>
      </c>
      <c r="H2" s="616" t="s">
        <v>407</v>
      </c>
      <c r="I2" s="616" t="s">
        <v>1148</v>
      </c>
      <c r="J2" s="616" t="s">
        <v>1786</v>
      </c>
      <c r="K2" s="616" t="s">
        <v>137</v>
      </c>
    </row>
    <row r="3" spans="1:11" x14ac:dyDescent="0.2">
      <c r="A3" s="2350" t="str">
        <f>"Cash Basis Fund Balance as of July 1, "&amp;'AFR20'!E2-1</f>
        <v>Cash Basis Fund Balance as of July 1, 2019</v>
      </c>
      <c r="B3" s="2351"/>
      <c r="C3" s="2351"/>
      <c r="D3" s="2351"/>
      <c r="E3" s="2352"/>
      <c r="F3" s="617"/>
      <c r="G3" s="1733"/>
      <c r="H3" s="1733"/>
      <c r="I3" s="1733"/>
      <c r="J3" s="1734"/>
      <c r="K3" s="1734"/>
    </row>
    <row r="4" spans="1:11" x14ac:dyDescent="0.2">
      <c r="A4" s="2353" t="s">
        <v>366</v>
      </c>
      <c r="B4" s="2354"/>
      <c r="C4" s="2354"/>
      <c r="D4" s="2354"/>
      <c r="E4" s="2335"/>
      <c r="F4" s="620"/>
      <c r="G4" s="1735"/>
      <c r="H4" s="1736"/>
      <c r="I4" s="1735"/>
      <c r="J4" s="1737"/>
      <c r="K4" s="1737"/>
    </row>
    <row r="5" spans="1:11" x14ac:dyDescent="0.2">
      <c r="A5" s="2373" t="s">
        <v>1060</v>
      </c>
      <c r="B5" s="2344"/>
      <c r="C5" s="2344"/>
      <c r="D5" s="2344"/>
      <c r="E5" s="2374"/>
      <c r="F5" s="622" t="s">
        <v>843</v>
      </c>
      <c r="G5" s="1738"/>
      <c r="H5" s="1733">
        <f>'Revenues 9-14'!C7</f>
        <v>1976230</v>
      </c>
      <c r="I5" s="1739"/>
      <c r="J5" s="1740"/>
      <c r="K5" s="1740"/>
    </row>
    <row r="6" spans="1:11" x14ac:dyDescent="0.2">
      <c r="A6" s="625" t="s">
        <v>715</v>
      </c>
      <c r="B6" s="626"/>
      <c r="C6" s="626"/>
      <c r="D6" s="626"/>
      <c r="E6" s="627"/>
      <c r="F6" s="628" t="s">
        <v>844</v>
      </c>
      <c r="G6" s="1733"/>
      <c r="H6" s="1733"/>
      <c r="I6" s="1733"/>
      <c r="J6" s="1734"/>
      <c r="K6" s="1734"/>
    </row>
    <row r="7" spans="1:11" x14ac:dyDescent="0.2">
      <c r="A7" s="629" t="s">
        <v>244</v>
      </c>
      <c r="B7" s="630"/>
      <c r="C7" s="630"/>
      <c r="D7" s="630"/>
      <c r="E7" s="631"/>
      <c r="F7" s="622" t="s">
        <v>845</v>
      </c>
      <c r="G7" s="1735"/>
      <c r="H7" s="1735"/>
      <c r="I7" s="1735"/>
      <c r="J7" s="1741"/>
      <c r="K7" s="1734">
        <f>'Revenues 9-14'!C101</f>
        <v>0</v>
      </c>
    </row>
    <row r="8" spans="1:11" x14ac:dyDescent="0.2">
      <c r="A8" s="629" t="s">
        <v>342</v>
      </c>
      <c r="B8" s="630"/>
      <c r="C8" s="630"/>
      <c r="D8" s="630"/>
      <c r="E8" s="631"/>
      <c r="F8" s="622" t="s">
        <v>846</v>
      </c>
      <c r="G8" s="1742"/>
      <c r="H8" s="1742"/>
      <c r="I8" s="1742"/>
      <c r="J8" s="1734"/>
      <c r="K8" s="1737"/>
    </row>
    <row r="9" spans="1:11" x14ac:dyDescent="0.2">
      <c r="A9" s="629" t="s">
        <v>137</v>
      </c>
      <c r="B9" s="630"/>
      <c r="C9" s="630"/>
      <c r="D9" s="630"/>
      <c r="E9" s="631"/>
      <c r="F9" s="628" t="s">
        <v>848</v>
      </c>
      <c r="G9" s="1742"/>
      <c r="H9" s="1738"/>
      <c r="I9" s="1738"/>
      <c r="J9" s="1741"/>
      <c r="K9" s="1734">
        <f>'Revenues 9-14'!C148</f>
        <v>0</v>
      </c>
    </row>
    <row r="10" spans="1:11" x14ac:dyDescent="0.2">
      <c r="A10" s="2373" t="s">
        <v>1787</v>
      </c>
      <c r="B10" s="2344"/>
      <c r="C10" s="2344"/>
      <c r="D10" s="2344"/>
      <c r="E10" s="2375"/>
      <c r="F10" s="633" t="s">
        <v>857</v>
      </c>
      <c r="G10" s="1742"/>
      <c r="H10" s="1743"/>
      <c r="I10" s="1733"/>
      <c r="J10" s="1734"/>
      <c r="K10" s="1734"/>
    </row>
    <row r="11" spans="1:11" x14ac:dyDescent="0.2">
      <c r="A11" s="2373" t="s">
        <v>159</v>
      </c>
      <c r="B11" s="2344"/>
      <c r="C11" s="2344"/>
      <c r="D11" s="2344"/>
      <c r="E11" s="2374"/>
      <c r="F11" s="622" t="s">
        <v>847</v>
      </c>
      <c r="G11" s="1738"/>
      <c r="H11" s="1733"/>
      <c r="I11" s="1733"/>
      <c r="J11" s="1734"/>
      <c r="K11" s="1740"/>
    </row>
    <row r="12" spans="1:11" ht="13.5" thickBot="1" x14ac:dyDescent="0.25">
      <c r="A12" s="2361" t="s">
        <v>899</v>
      </c>
      <c r="B12" s="2362"/>
      <c r="C12" s="2362"/>
      <c r="D12" s="2362"/>
      <c r="E12" s="2363"/>
      <c r="F12" s="1426"/>
      <c r="G12" s="1744">
        <f>SUM(G5:G11)</f>
        <v>0</v>
      </c>
      <c r="H12" s="1744">
        <f>SUM(H5:H11)</f>
        <v>1976230</v>
      </c>
      <c r="I12" s="1744">
        <f>SUM(I5:I11)</f>
        <v>0</v>
      </c>
      <c r="J12" s="1744">
        <f>SUM(J5:J11)</f>
        <v>0</v>
      </c>
      <c r="K12" s="1744">
        <f>SUM(K5:K11)</f>
        <v>0</v>
      </c>
    </row>
    <row r="13" spans="1:11" ht="13.5" thickTop="1" x14ac:dyDescent="0.2">
      <c r="A13" s="2355" t="s">
        <v>367</v>
      </c>
      <c r="B13" s="2356"/>
      <c r="C13" s="2356"/>
      <c r="D13" s="2356"/>
      <c r="E13" s="2357"/>
      <c r="F13" s="634"/>
      <c r="G13" s="1745"/>
      <c r="H13" s="1746"/>
      <c r="I13" s="1747"/>
      <c r="J13" s="1747"/>
      <c r="K13" s="1747"/>
    </row>
    <row r="14" spans="1:11" x14ac:dyDescent="0.2">
      <c r="A14" s="2379" t="s">
        <v>453</v>
      </c>
      <c r="B14" s="2379"/>
      <c r="C14" s="2379"/>
      <c r="D14" s="2379"/>
      <c r="E14" s="2380"/>
      <c r="F14" s="635" t="s">
        <v>849</v>
      </c>
      <c r="G14" s="1742"/>
      <c r="H14" s="1733">
        <f>H12</f>
        <v>1976230</v>
      </c>
      <c r="I14" s="1738"/>
      <c r="J14" s="1740"/>
      <c r="K14" s="1734"/>
    </row>
    <row r="15" spans="1:11" x14ac:dyDescent="0.2">
      <c r="A15" s="2344" t="s">
        <v>4</v>
      </c>
      <c r="B15" s="2344"/>
      <c r="C15" s="2344"/>
      <c r="D15" s="2344"/>
      <c r="E15" s="2374"/>
      <c r="F15" s="635" t="s">
        <v>850</v>
      </c>
      <c r="G15" s="1738"/>
      <c r="H15" s="1733"/>
      <c r="I15" s="1733"/>
      <c r="J15" s="1734"/>
      <c r="K15" s="1734"/>
    </row>
    <row r="16" spans="1:11" x14ac:dyDescent="0.2">
      <c r="A16" s="2344" t="s">
        <v>295</v>
      </c>
      <c r="B16" s="2344"/>
      <c r="C16" s="2344"/>
      <c r="D16" s="2344"/>
      <c r="E16" s="2374"/>
      <c r="F16" s="635" t="s">
        <v>917</v>
      </c>
      <c r="G16" s="1739"/>
      <c r="H16" s="1735"/>
      <c r="I16" s="1735"/>
      <c r="J16" s="1737"/>
      <c r="K16" s="1737"/>
    </row>
    <row r="17" spans="1:15" x14ac:dyDescent="0.2">
      <c r="A17" s="2368" t="s">
        <v>929</v>
      </c>
      <c r="B17" s="2368"/>
      <c r="C17" s="2368"/>
      <c r="D17" s="2368"/>
      <c r="E17" s="2369"/>
      <c r="F17" s="636"/>
      <c r="G17" s="1748"/>
      <c r="H17" s="1749"/>
      <c r="I17" s="1749"/>
      <c r="J17" s="1750"/>
      <c r="K17" s="1751"/>
    </row>
    <row r="18" spans="1:15" x14ac:dyDescent="0.2">
      <c r="A18" s="2358" t="s">
        <v>365</v>
      </c>
      <c r="B18" s="2359"/>
      <c r="C18" s="2359"/>
      <c r="D18" s="2359"/>
      <c r="E18" s="2360"/>
      <c r="F18" s="635" t="s">
        <v>926</v>
      </c>
      <c r="G18" s="1742"/>
      <c r="H18" s="1742"/>
      <c r="I18" s="1742"/>
      <c r="J18" s="1734"/>
      <c r="K18" s="1752"/>
    </row>
    <row r="19" spans="1:15" ht="21.75" customHeight="1" x14ac:dyDescent="0.2">
      <c r="A19" s="2381" t="s">
        <v>1783</v>
      </c>
      <c r="B19" s="2381"/>
      <c r="C19" s="2381"/>
      <c r="D19" s="2381"/>
      <c r="E19" s="2382"/>
      <c r="F19" s="635" t="s">
        <v>927</v>
      </c>
      <c r="G19" s="1742"/>
      <c r="H19" s="1742"/>
      <c r="I19" s="1742"/>
      <c r="J19" s="1734"/>
      <c r="K19" s="1752"/>
    </row>
    <row r="20" spans="1:15" x14ac:dyDescent="0.2">
      <c r="A20" s="2358" t="s">
        <v>1788</v>
      </c>
      <c r="B20" s="2359"/>
      <c r="C20" s="2359"/>
      <c r="D20" s="2359"/>
      <c r="E20" s="2360"/>
      <c r="F20" s="635" t="s">
        <v>928</v>
      </c>
      <c r="G20" s="1742"/>
      <c r="H20" s="1742"/>
      <c r="I20" s="1742"/>
      <c r="J20" s="1734"/>
      <c r="K20" s="1752"/>
    </row>
    <row r="21" spans="1:15" ht="13.5" thickBot="1" x14ac:dyDescent="0.25">
      <c r="A21" s="2364" t="s">
        <v>633</v>
      </c>
      <c r="B21" s="2364"/>
      <c r="C21" s="2364"/>
      <c r="D21" s="2364"/>
      <c r="E21" s="2364"/>
      <c r="F21" s="1427"/>
      <c r="G21" s="1749"/>
      <c r="H21" s="1753"/>
      <c r="I21" s="1753"/>
      <c r="J21" s="1754">
        <f>SUM(J18:J20)</f>
        <v>0</v>
      </c>
      <c r="K21" s="1750"/>
    </row>
    <row r="22" spans="1:15" ht="13.5" thickTop="1" x14ac:dyDescent="0.2">
      <c r="A22" s="2344" t="s">
        <v>1789</v>
      </c>
      <c r="B22" s="2344"/>
      <c r="C22" s="2344"/>
      <c r="D22" s="2344"/>
      <c r="E22" s="2374"/>
      <c r="F22" s="635" t="s">
        <v>857</v>
      </c>
      <c r="G22" s="1742"/>
      <c r="H22" s="1733"/>
      <c r="I22" s="1733"/>
      <c r="J22" s="1755"/>
      <c r="K22" s="1734"/>
    </row>
    <row r="23" spans="1:15" ht="13.5" thickBot="1" x14ac:dyDescent="0.25">
      <c r="A23" s="2365" t="s">
        <v>900</v>
      </c>
      <c r="B23" s="2364"/>
      <c r="C23" s="2364"/>
      <c r="D23" s="2364"/>
      <c r="E23" s="2364"/>
      <c r="F23" s="1429"/>
      <c r="G23" s="1744">
        <f>SUM(G14:G16,G21,G22)</f>
        <v>0</v>
      </c>
      <c r="H23" s="1744">
        <f>SUM(H14:H16,H21,H22)</f>
        <v>1976230</v>
      </c>
      <c r="I23" s="1744">
        <f>SUM(I14:I16,I21,I22)</f>
        <v>0</v>
      </c>
      <c r="J23" s="1744">
        <f>SUM(J14:J16,J21,J22)</f>
        <v>0</v>
      </c>
      <c r="K23" s="1744">
        <f>SUM(K14:K16,K21,K22)</f>
        <v>0</v>
      </c>
      <c r="M23" s="1835"/>
      <c r="N23" s="1835"/>
      <c r="O23" s="1835"/>
    </row>
    <row r="24" spans="1:15" ht="14.25" thickTop="1" thickBot="1" x14ac:dyDescent="0.25">
      <c r="A24" s="2366" t="str">
        <f>"Ending Cash Basis Fund Balance as of June 30, "&amp;'AFR20'!E2</f>
        <v>Ending Cash Basis Fund Balance as of June 30, 2020</v>
      </c>
      <c r="B24" s="2367"/>
      <c r="C24" s="2367"/>
      <c r="D24" s="2367"/>
      <c r="E24" s="2367"/>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76"/>
      <c r="I31" s="2377"/>
      <c r="J31" s="2377"/>
      <c r="K31" s="2377"/>
    </row>
    <row r="32" spans="1:15" x14ac:dyDescent="0.2">
      <c r="A32" s="649"/>
      <c r="B32" s="232"/>
      <c r="C32" s="232"/>
      <c r="D32" s="232"/>
      <c r="E32" s="645"/>
      <c r="F32" s="651" t="s">
        <v>537</v>
      </c>
      <c r="G32" s="618"/>
      <c r="H32" s="2378"/>
      <c r="I32" s="2377"/>
      <c r="J32" s="2377"/>
      <c r="K32" s="2377"/>
    </row>
    <row r="33" spans="1:11" ht="1.5" customHeight="1" x14ac:dyDescent="0.2">
      <c r="A33" s="652" t="s">
        <v>1159</v>
      </c>
      <c r="B33" s="341"/>
      <c r="C33" s="341"/>
      <c r="D33" s="341"/>
      <c r="E33" s="341"/>
      <c r="F33" s="341"/>
      <c r="G33" s="653"/>
      <c r="H33" s="2378"/>
      <c r="I33" s="2377"/>
      <c r="J33" s="2377"/>
      <c r="K33" s="2377"/>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4" t="s">
        <v>538</v>
      </c>
      <c r="B41" s="2345"/>
      <c r="C41" s="2345"/>
      <c r="D41" s="2345"/>
      <c r="E41" s="2345"/>
      <c r="F41" s="234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1784</v>
      </c>
      <c r="B46" s="382" t="s">
        <v>1656</v>
      </c>
    </row>
    <row r="47" spans="1:11" s="663" customFormat="1" ht="12.75" customHeight="1" x14ac:dyDescent="0.2">
      <c r="A47" s="661"/>
      <c r="B47" s="662" t="s">
        <v>1657</v>
      </c>
      <c r="E47" s="662"/>
      <c r="K47" s="664"/>
    </row>
    <row r="48" spans="1:11" ht="12.75" customHeight="1" x14ac:dyDescent="0.2">
      <c r="A48" s="1293"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90" zoomScaleNormal="90" workbookViewId="0">
      <selection activeCell="C14" sqref="C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5" t="s">
        <v>1872</v>
      </c>
      <c r="B1" s="2386"/>
      <c r="C1" s="2387"/>
      <c r="D1" s="666"/>
      <c r="E1" s="667"/>
      <c r="F1" s="667"/>
      <c r="G1" s="668"/>
      <c r="H1" s="669"/>
      <c r="I1" s="670"/>
      <c r="J1" s="2383"/>
      <c r="K1" s="2384"/>
      <c r="L1" s="2384"/>
    </row>
    <row r="2" spans="1:14" ht="69.75" customHeight="1" x14ac:dyDescent="0.2">
      <c r="A2" s="671" t="s">
        <v>1659</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886</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887</v>
      </c>
      <c r="B5" s="679">
        <v>221</v>
      </c>
      <c r="C5" s="1759">
        <v>1262074</v>
      </c>
      <c r="D5" s="1759"/>
      <c r="E5" s="1759"/>
      <c r="F5" s="1754">
        <f>(C5+D5)-E5</f>
        <v>1262074</v>
      </c>
      <c r="G5" s="676"/>
      <c r="H5" s="680"/>
      <c r="I5" s="680"/>
      <c r="J5" s="680"/>
      <c r="K5" s="637"/>
      <c r="L5" s="1435">
        <f>F5-K5</f>
        <v>1262074</v>
      </c>
    </row>
    <row r="6" spans="1:14" ht="14.25" thickTop="1" thickBot="1" x14ac:dyDescent="0.25">
      <c r="A6" s="629" t="s">
        <v>1107</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1108</v>
      </c>
      <c r="B8" s="679">
        <v>231</v>
      </c>
      <c r="C8" s="1760">
        <v>89120797</v>
      </c>
      <c r="D8" s="1760">
        <v>5123161</v>
      </c>
      <c r="E8" s="1760"/>
      <c r="F8" s="1754">
        <f>(C8+D8)-E8</f>
        <v>94243958</v>
      </c>
      <c r="G8" s="681">
        <v>50</v>
      </c>
      <c r="H8" s="619">
        <v>33080723</v>
      </c>
      <c r="I8" s="619">
        <v>3125862</v>
      </c>
      <c r="J8" s="619"/>
      <c r="K8" s="1435">
        <f>(H8+I8)-J8</f>
        <v>36206585</v>
      </c>
      <c r="L8" s="1435">
        <f>F8-K8</f>
        <v>58037373</v>
      </c>
    </row>
    <row r="9" spans="1:14" ht="14.25" thickTop="1" thickBot="1" x14ac:dyDescent="0.25">
      <c r="A9" s="629" t="s">
        <v>1109</v>
      </c>
      <c r="B9" s="679">
        <v>232</v>
      </c>
      <c r="C9" s="1734"/>
      <c r="D9" s="1734"/>
      <c r="E9" s="1734"/>
      <c r="F9" s="1754">
        <f>(C9+D9)-E9</f>
        <v>0</v>
      </c>
      <c r="G9" s="681">
        <v>20</v>
      </c>
      <c r="H9" s="619"/>
      <c r="I9" s="619"/>
      <c r="J9" s="619"/>
      <c r="K9" s="1435">
        <f>(H9+I9)-J9</f>
        <v>0</v>
      </c>
      <c r="L9" s="1435">
        <f>F9-K9</f>
        <v>0</v>
      </c>
    </row>
    <row r="10" spans="1:14" ht="24" thickTop="1" thickBot="1" x14ac:dyDescent="0.25">
      <c r="A10" s="682" t="s">
        <v>1110</v>
      </c>
      <c r="B10" s="679">
        <v>240</v>
      </c>
      <c r="C10" s="1761">
        <v>2174474</v>
      </c>
      <c r="D10" s="1761"/>
      <c r="E10" s="1761"/>
      <c r="F10" s="1762">
        <f>(C10+D10)-E10</f>
        <v>2174474</v>
      </c>
      <c r="G10" s="681">
        <v>20</v>
      </c>
      <c r="H10" s="683">
        <v>1654222</v>
      </c>
      <c r="I10" s="683">
        <v>58431</v>
      </c>
      <c r="J10" s="683"/>
      <c r="K10" s="1435">
        <f>(H10+I10)-J10</f>
        <v>1712653</v>
      </c>
      <c r="L10" s="1435">
        <f>F10-K10</f>
        <v>461821</v>
      </c>
    </row>
    <row r="11" spans="1:14" ht="13.5" thickTop="1" x14ac:dyDescent="0.2">
      <c r="A11" s="1360" t="s">
        <v>1126</v>
      </c>
      <c r="B11" s="1358">
        <v>250</v>
      </c>
      <c r="C11" s="1741"/>
      <c r="D11" s="1741"/>
      <c r="E11" s="1741"/>
      <c r="F11" s="1740"/>
      <c r="G11" s="681"/>
      <c r="H11" s="632"/>
      <c r="I11" s="632"/>
      <c r="J11" s="632"/>
      <c r="K11" s="624"/>
      <c r="L11" s="624"/>
    </row>
    <row r="12" spans="1:14" ht="13.5" thickBot="1" x14ac:dyDescent="0.25">
      <c r="A12" s="684" t="s">
        <v>1111</v>
      </c>
      <c r="B12" s="679">
        <v>251</v>
      </c>
      <c r="C12" s="1760"/>
      <c r="D12" s="1760"/>
      <c r="E12" s="1760"/>
      <c r="F12" s="1754">
        <f>(C12+D12)-E12</f>
        <v>0</v>
      </c>
      <c r="G12" s="681">
        <v>10</v>
      </c>
      <c r="H12" s="619"/>
      <c r="I12" s="619"/>
      <c r="J12" s="619"/>
      <c r="K12" s="1435">
        <f>(H12+I12)-J12</f>
        <v>0</v>
      </c>
      <c r="L12" s="1435">
        <f>F12-K12</f>
        <v>0</v>
      </c>
    </row>
    <row r="13" spans="1:14" ht="14.25" thickTop="1" thickBot="1" x14ac:dyDescent="0.25">
      <c r="A13" s="684" t="s">
        <v>1112</v>
      </c>
      <c r="B13" s="679">
        <v>252</v>
      </c>
      <c r="C13" s="1760">
        <v>11190091</v>
      </c>
      <c r="D13" s="1760">
        <v>733990</v>
      </c>
      <c r="E13" s="1760"/>
      <c r="F13" s="1754">
        <f>(C13+D13)-E13</f>
        <v>11924081</v>
      </c>
      <c r="G13" s="681">
        <v>5</v>
      </c>
      <c r="H13" s="619">
        <v>8030132</v>
      </c>
      <c r="I13" s="619">
        <v>543086</v>
      </c>
      <c r="J13" s="619"/>
      <c r="K13" s="1435">
        <f>(H13+I13)-J13</f>
        <v>8573218</v>
      </c>
      <c r="L13" s="1435">
        <f>F13-K13</f>
        <v>3350863</v>
      </c>
    </row>
    <row r="14" spans="1:14" ht="14.25" thickTop="1" thickBot="1" x14ac:dyDescent="0.25">
      <c r="A14" s="684" t="s">
        <v>1113</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c r="D15" s="1760"/>
      <c r="E15" s="1760"/>
      <c r="F15" s="1754">
        <f>(C15+D15)-E15</f>
        <v>0</v>
      </c>
      <c r="G15" s="685" t="s">
        <v>857</v>
      </c>
      <c r="H15" s="632"/>
      <c r="I15" s="632"/>
      <c r="J15" s="632"/>
      <c r="K15" s="632"/>
      <c r="L15" s="1435">
        <f>F15-K15</f>
        <v>0</v>
      </c>
    </row>
    <row r="16" spans="1:14" ht="15" customHeight="1" thickTop="1" thickBot="1" x14ac:dyDescent="0.25">
      <c r="A16" s="1431" t="s">
        <v>638</v>
      </c>
      <c r="B16" s="1432">
        <v>200</v>
      </c>
      <c r="C16" s="1754">
        <f>SUM(C3,C5:C6,C8:C10,C12:C15)</f>
        <v>103747436</v>
      </c>
      <c r="D16" s="1754">
        <f>SUM(D3,D5:D6,D8:D10,D12:D15)</f>
        <v>5857151</v>
      </c>
      <c r="E16" s="1754">
        <f>SUM(E3,E5:E6,E8:E10,E12:E15)</f>
        <v>0</v>
      </c>
      <c r="F16" s="1754">
        <f>SUM(F3,F5:F6,F8:F10,F12:F15)</f>
        <v>109604587</v>
      </c>
      <c r="G16" s="681"/>
      <c r="H16" s="1428">
        <f>SUM(H3,H6,H8:H10,H12:H14,)</f>
        <v>42765077</v>
      </c>
      <c r="I16" s="1428">
        <f>SUM(I3,I6,I8:I10,I12:I14,)</f>
        <v>3727379</v>
      </c>
      <c r="J16" s="1428">
        <f>SUM(J3,J6,J8:J10,J12:J14,)</f>
        <v>0</v>
      </c>
      <c r="K16" s="1428">
        <f>(H16+I16)-J16</f>
        <v>46492456</v>
      </c>
      <c r="L16" s="1428">
        <f>F16-K16</f>
        <v>63112131</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142412</v>
      </c>
      <c r="G17" s="676">
        <v>10</v>
      </c>
      <c r="H17" s="621"/>
      <c r="I17" s="1435">
        <f>F17/G17</f>
        <v>14241.2</v>
      </c>
      <c r="J17" s="621"/>
      <c r="K17" s="638"/>
      <c r="L17" s="638"/>
    </row>
    <row r="18" spans="1:12" ht="14.25" thickTop="1" thickBot="1" x14ac:dyDescent="0.25">
      <c r="A18" s="1433" t="s">
        <v>680</v>
      </c>
      <c r="B18" s="1434"/>
      <c r="C18" s="623"/>
      <c r="D18" s="623"/>
      <c r="E18" s="623"/>
      <c r="F18" s="686"/>
      <c r="G18" s="687"/>
      <c r="H18" s="624"/>
      <c r="I18" s="1428">
        <f>SUM(I16,I17)</f>
        <v>3741620.2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Normal="100" workbookViewId="0">
      <pane ySplit="5" topLeftCell="A55" activePane="bottomLeft" state="frozen"/>
      <selection activeCell="A47" sqref="A47"/>
      <selection pane="bottomLeft" activeCell="I79" sqref="I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1" t="str">
        <f>"ESTIMATED OPERATING EXPENSE PER PUPIL (OEPP)/PER CAPITA TUITION CHARGE (PCTC) COMPUTATIONS ("&amp;'AFR20'!E2-1&amp;" - "&amp;'AFR20'!E2&amp;")"</f>
        <v>ESTIMATED OPERATING EXPENSE PER PUPIL (OEPP)/PER CAPITA TUITION CHARGE (PCTC) COMPUTATIONS (2019 - 2020)</v>
      </c>
      <c r="B1" s="2392"/>
      <c r="C1" s="2392"/>
      <c r="D1" s="2392"/>
      <c r="E1" s="2392"/>
      <c r="F1" s="2393"/>
      <c r="G1" s="691"/>
      <c r="I1" s="701"/>
    </row>
    <row r="2" spans="1:9" ht="15" customHeight="1" thickBot="1" x14ac:dyDescent="0.25">
      <c r="A2" s="2394" t="s">
        <v>474</v>
      </c>
      <c r="B2" s="2395"/>
      <c r="C2" s="2395"/>
      <c r="D2" s="2395"/>
      <c r="E2" s="2395"/>
      <c r="F2" s="239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7"/>
      <c r="B5" s="2398"/>
      <c r="C5" s="2398"/>
      <c r="D5" s="2398"/>
      <c r="E5" s="2398"/>
      <c r="F5" s="2398"/>
    </row>
    <row r="6" spans="1:9" ht="13.5" customHeight="1" thickBot="1" x14ac:dyDescent="0.25">
      <c r="A6" s="2388" t="s">
        <v>1095</v>
      </c>
      <c r="B6" s="2389"/>
      <c r="C6" s="2389"/>
      <c r="D6" s="2389"/>
      <c r="E6" s="2389"/>
      <c r="F6" s="239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63">
        <f>'Expenditures 15-22'!K114</f>
        <v>52363885</v>
      </c>
      <c r="G8" s="701"/>
    </row>
    <row r="9" spans="1:9" x14ac:dyDescent="0.2">
      <c r="A9" s="705" t="s">
        <v>457</v>
      </c>
      <c r="B9" s="706" t="s">
        <v>1845</v>
      </c>
      <c r="C9" s="707"/>
      <c r="D9" s="705" t="s">
        <v>498</v>
      </c>
      <c r="E9" s="704"/>
      <c r="F9" s="1764">
        <f>'Expenditures 15-22'!K151</f>
        <v>2456597</v>
      </c>
      <c r="G9" s="708"/>
    </row>
    <row r="10" spans="1:9" x14ac:dyDescent="0.2">
      <c r="A10" s="705" t="s">
        <v>496</v>
      </c>
      <c r="B10" s="706" t="s">
        <v>1846</v>
      </c>
      <c r="C10" s="707"/>
      <c r="D10" s="705" t="s">
        <v>498</v>
      </c>
      <c r="E10" s="704"/>
      <c r="F10" s="1764">
        <f>'Expenditures 15-22'!K174</f>
        <v>5618406</v>
      </c>
      <c r="G10" s="708"/>
    </row>
    <row r="11" spans="1:9" x14ac:dyDescent="0.2">
      <c r="A11" s="705" t="s">
        <v>458</v>
      </c>
      <c r="B11" s="706" t="s">
        <v>1847</v>
      </c>
      <c r="C11" s="707"/>
      <c r="D11" s="705" t="s">
        <v>498</v>
      </c>
      <c r="E11" s="704"/>
      <c r="F11" s="1764">
        <f>'Expenditures 15-22'!K210</f>
        <v>4220426</v>
      </c>
      <c r="G11" s="708"/>
    </row>
    <row r="12" spans="1:9" x14ac:dyDescent="0.2">
      <c r="A12" s="705" t="s">
        <v>459</v>
      </c>
      <c r="B12" s="706" t="s">
        <v>1848</v>
      </c>
      <c r="C12" s="707"/>
      <c r="D12" s="705" t="s">
        <v>498</v>
      </c>
      <c r="E12" s="704"/>
      <c r="F12" s="1764">
        <f>'Expenditures 15-22'!K295</f>
        <v>2125461</v>
      </c>
      <c r="G12" s="708"/>
    </row>
    <row r="13" spans="1:9" x14ac:dyDescent="0.2">
      <c r="A13" s="705" t="s">
        <v>106</v>
      </c>
      <c r="B13" s="706" t="s">
        <v>1849</v>
      </c>
      <c r="C13" s="707"/>
      <c r="D13" s="705" t="s">
        <v>498</v>
      </c>
      <c r="E13" s="704"/>
      <c r="F13" s="1764">
        <f>'Expenditures 15-22'!K342</f>
        <v>851768</v>
      </c>
      <c r="G13" s="709"/>
    </row>
    <row r="14" spans="1:9" ht="12" customHeight="1" thickBot="1" x14ac:dyDescent="0.25">
      <c r="A14" s="1436"/>
      <c r="B14" s="1437"/>
      <c r="C14" s="1438"/>
      <c r="D14" s="1439" t="s">
        <v>498</v>
      </c>
      <c r="E14" s="1440" t="s">
        <v>952</v>
      </c>
      <c r="F14" s="1765">
        <f>SUM(F8:F13)</f>
        <v>67636543</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1003</v>
      </c>
      <c r="C18" s="711">
        <f>'Revenues 9-14'!B43</f>
        <v>1412</v>
      </c>
      <c r="D18" s="712" t="str">
        <f>'Revenues 9-14'!A43</f>
        <v>Regular - Transp Fees from Other Districts (In State)</v>
      </c>
      <c r="E18" s="704" t="s">
        <v>952</v>
      </c>
      <c r="F18" s="1768">
        <f>'Revenues 9-14'!F43</f>
        <v>0</v>
      </c>
      <c r="G18" s="701"/>
    </row>
    <row r="19" spans="1:7" x14ac:dyDescent="0.2">
      <c r="A19" s="705" t="s">
        <v>458</v>
      </c>
      <c r="B19" s="706" t="s">
        <v>1004</v>
      </c>
      <c r="C19" s="713">
        <f>'Revenues 9-14'!B47</f>
        <v>1421</v>
      </c>
      <c r="D19" s="714" t="str">
        <f>'Revenues 9-14'!A47</f>
        <v>Summer Sch - Transp. Fees from Pupils or Parents (In State)</v>
      </c>
      <c r="E19" s="715"/>
      <c r="F19" s="1769">
        <f>'Revenues 9-14'!F47</f>
        <v>0</v>
      </c>
      <c r="G19" s="701"/>
    </row>
    <row r="20" spans="1:7" x14ac:dyDescent="0.2">
      <c r="A20" s="705" t="s">
        <v>458</v>
      </c>
      <c r="B20" s="706" t="s">
        <v>1005</v>
      </c>
      <c r="C20" s="711">
        <f>'Revenues 9-14'!B48</f>
        <v>1422</v>
      </c>
      <c r="D20" s="712" t="str">
        <f>'Revenues 9-14'!A48</f>
        <v>Summer Sch - Transp. Fees from Other Districts (In State)</v>
      </c>
      <c r="E20" s="704"/>
      <c r="F20" s="1770">
        <f>'Revenues 9-14'!F48</f>
        <v>0</v>
      </c>
      <c r="G20" s="701"/>
    </row>
    <row r="21" spans="1:7" x14ac:dyDescent="0.2">
      <c r="A21" s="705" t="s">
        <v>458</v>
      </c>
      <c r="B21" s="706" t="s">
        <v>1006</v>
      </c>
      <c r="C21" s="713">
        <f>'Revenues 9-14'!B49</f>
        <v>1423</v>
      </c>
      <c r="D21" s="712" t="str">
        <f>'Revenues 9-14'!A49</f>
        <v>Summer Sch - Transp. Fees from Other Sources (In State)</v>
      </c>
      <c r="E21" s="704"/>
      <c r="F21" s="1771">
        <f>'Revenues 9-14'!F49</f>
        <v>0</v>
      </c>
      <c r="G21" s="701"/>
    </row>
    <row r="22" spans="1:7" x14ac:dyDescent="0.2">
      <c r="A22" s="705" t="s">
        <v>458</v>
      </c>
      <c r="B22" s="706" t="s">
        <v>1007</v>
      </c>
      <c r="C22" s="713">
        <f>'Revenues 9-14'!B50</f>
        <v>1424</v>
      </c>
      <c r="D22" s="712" t="str">
        <f>'Revenues 9-14'!A50</f>
        <v>Summer Sch - Transp. Fees from Other Sources (Out of State)</v>
      </c>
      <c r="E22" s="704"/>
      <c r="F22" s="1771">
        <f>'Revenues 9-14'!F50</f>
        <v>0</v>
      </c>
      <c r="G22" s="701"/>
    </row>
    <row r="23" spans="1:7" x14ac:dyDescent="0.2">
      <c r="A23" s="705" t="s">
        <v>458</v>
      </c>
      <c r="B23" s="706" t="s">
        <v>1008</v>
      </c>
      <c r="C23" s="711">
        <f>'Revenues 9-14'!B52</f>
        <v>1432</v>
      </c>
      <c r="D23" s="712" t="str">
        <f>'Revenues 9-14'!A52</f>
        <v>CTE - Transp Fees from Other Districts (In State)</v>
      </c>
      <c r="E23" s="704"/>
      <c r="F23" s="1771">
        <f>'Revenues 9-14'!F52</f>
        <v>0</v>
      </c>
      <c r="G23" s="701"/>
    </row>
    <row r="24" spans="1:7" x14ac:dyDescent="0.2">
      <c r="A24" s="705" t="s">
        <v>458</v>
      </c>
      <c r="B24" s="706" t="s">
        <v>1009</v>
      </c>
      <c r="C24" s="711">
        <f>'Revenues 9-14'!B56</f>
        <v>1442</v>
      </c>
      <c r="D24" s="712" t="str">
        <f>'Revenues 9-14'!A56</f>
        <v>Special Ed - Transp Fees from Other Districts (In State)</v>
      </c>
      <c r="E24" s="704"/>
      <c r="F24" s="1771">
        <f>'Revenues 9-14'!F56</f>
        <v>0</v>
      </c>
      <c r="G24" s="701"/>
    </row>
    <row r="25" spans="1:7" x14ac:dyDescent="0.2">
      <c r="A25" s="705" t="s">
        <v>458</v>
      </c>
      <c r="B25" s="706" t="s">
        <v>1010</v>
      </c>
      <c r="C25" s="711">
        <f>'Revenues 9-14'!B59</f>
        <v>1451</v>
      </c>
      <c r="D25" s="712" t="str">
        <f>'Revenues 9-14'!A59</f>
        <v>Adult - Transp Fees from Pupils or Parents (In State)</v>
      </c>
      <c r="E25" s="704"/>
      <c r="F25" s="1771">
        <f>'Revenues 9-14'!F59</f>
        <v>0</v>
      </c>
      <c r="G25" s="701"/>
    </row>
    <row r="26" spans="1:7" x14ac:dyDescent="0.2">
      <c r="A26" s="705" t="s">
        <v>458</v>
      </c>
      <c r="B26" s="706" t="s">
        <v>1011</v>
      </c>
      <c r="C26" s="711">
        <f>'Revenues 9-14'!B60</f>
        <v>1452</v>
      </c>
      <c r="D26" s="712" t="str">
        <f>'Revenues 9-14'!A60</f>
        <v>Adult - Transp Fees from Other Districts (In State)</v>
      </c>
      <c r="E26" s="704"/>
      <c r="F26" s="1771">
        <f>'Revenues 9-14'!F60</f>
        <v>0</v>
      </c>
      <c r="G26" s="701"/>
    </row>
    <row r="27" spans="1:7" x14ac:dyDescent="0.2">
      <c r="A27" s="705" t="s">
        <v>458</v>
      </c>
      <c r="B27" s="706" t="s">
        <v>1012</v>
      </c>
      <c r="C27" s="711">
        <f>'Revenues 9-14'!B61</f>
        <v>1453</v>
      </c>
      <c r="D27" s="712" t="str">
        <f>'Revenues 9-14'!A61</f>
        <v>Adult - Transp Fees from Other Sources (In State)</v>
      </c>
      <c r="E27" s="704"/>
      <c r="F27" s="1771">
        <f>'Revenues 9-14'!F61</f>
        <v>0</v>
      </c>
      <c r="G27" s="701"/>
    </row>
    <row r="28" spans="1:7" x14ac:dyDescent="0.2">
      <c r="A28" s="705" t="s">
        <v>458</v>
      </c>
      <c r="B28" s="706" t="s">
        <v>1013</v>
      </c>
      <c r="C28" s="711">
        <f>'Revenues 9-14'!B62</f>
        <v>1454</v>
      </c>
      <c r="D28" s="712" t="str">
        <f>'Revenues 9-14'!A62</f>
        <v>Adult - Transp Fees from Other Sources (Out of State)</v>
      </c>
      <c r="E28" s="704"/>
      <c r="F28" s="1771">
        <f>'Revenues 9-14'!F62</f>
        <v>0</v>
      </c>
      <c r="G28" s="701"/>
    </row>
    <row r="29" spans="1:7" x14ac:dyDescent="0.2">
      <c r="A29" s="705" t="s">
        <v>1088</v>
      </c>
      <c r="B29" s="706" t="s">
        <v>805</v>
      </c>
      <c r="C29" s="716">
        <f>'Revenues 9-14'!B149</f>
        <v>3410</v>
      </c>
      <c r="D29" s="717" t="str">
        <f>'Revenues 9-14'!A149</f>
        <v>Adult Ed (from ICCB)</v>
      </c>
      <c r="E29" s="704"/>
      <c r="F29" s="177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7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1452</v>
      </c>
      <c r="C34" s="721" t="str">
        <f>'Expenditures 15-22'!B7</f>
        <v>1125</v>
      </c>
      <c r="D34" s="722" t="str">
        <f>'Expenditures 15-22'!A7</f>
        <v>Pre-K Programs</v>
      </c>
      <c r="E34" s="704"/>
      <c r="F34" s="1771">
        <f>'Expenditures 15-22'!K7-SUM('Expenditures 15-22'!G7,'Expenditures 15-22'!I7)</f>
        <v>8294894</v>
      </c>
      <c r="G34" s="701"/>
    </row>
    <row r="35" spans="1:7" x14ac:dyDescent="0.2">
      <c r="A35" s="705" t="s">
        <v>456</v>
      </c>
      <c r="B35" s="705" t="s">
        <v>1453</v>
      </c>
      <c r="C35" s="721" t="str">
        <f>'Expenditures 15-22'!B9</f>
        <v>1225</v>
      </c>
      <c r="D35" s="722" t="str">
        <f>'Expenditures 15-22'!A9</f>
        <v>Special Education Programs Pre-K</v>
      </c>
      <c r="E35" s="704"/>
      <c r="F35" s="177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71">
        <f>'Expenditures 15-22'!K15-SUM('Expenditures 15-22'!G15,'Expenditures 15-22'!I15)</f>
        <v>4462</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887706</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1457</v>
      </c>
      <c r="C52" s="724" t="str">
        <f>'Expenditures 15-22'!B75</f>
        <v>3000</v>
      </c>
      <c r="D52" s="723" t="s">
        <v>446</v>
      </c>
      <c r="E52" s="704"/>
      <c r="F52" s="1771">
        <f>'Expenditures 15-22'!K75-SUM('Expenditures 15-22'!G75,'Expenditures 15-22'!I75)</f>
        <v>54117</v>
      </c>
      <c r="G52" s="701"/>
    </row>
    <row r="53" spans="1:7" x14ac:dyDescent="0.2">
      <c r="A53" s="705" t="s">
        <v>456</v>
      </c>
      <c r="B53" s="705" t="s">
        <v>1458</v>
      </c>
      <c r="C53" s="724">
        <f>'Expenditures 15-22'!B102</f>
        <v>4000</v>
      </c>
      <c r="D53" s="723" t="str">
        <f>'Expenditures 15-22'!A102</f>
        <v>Total Payments to Other Govt Units</v>
      </c>
      <c r="E53" s="704"/>
      <c r="F53" s="1771">
        <f>'Expenditures 15-22'!K102</f>
        <v>1366693</v>
      </c>
      <c r="G53" s="701"/>
    </row>
    <row r="54" spans="1:7" x14ac:dyDescent="0.2">
      <c r="A54" s="705" t="s">
        <v>456</v>
      </c>
      <c r="B54" s="705" t="s">
        <v>1459</v>
      </c>
      <c r="C54" s="724" t="s">
        <v>975</v>
      </c>
      <c r="D54" s="720" t="s">
        <v>1086</v>
      </c>
      <c r="E54" s="704"/>
      <c r="F54" s="1771">
        <f>'Expenditures 15-22'!G114</f>
        <v>684153</v>
      </c>
      <c r="G54" s="701"/>
    </row>
    <row r="55" spans="1:7" x14ac:dyDescent="0.2">
      <c r="A55" s="705" t="s">
        <v>456</v>
      </c>
      <c r="B55" s="705" t="s">
        <v>1460</v>
      </c>
      <c r="C55" s="724" t="s">
        <v>975</v>
      </c>
      <c r="D55" s="720" t="s">
        <v>288</v>
      </c>
      <c r="E55" s="704"/>
      <c r="F55" s="1771">
        <f>'Expenditures 15-22'!I114</f>
        <v>125644</v>
      </c>
      <c r="G55" s="701"/>
    </row>
    <row r="56" spans="1:7" x14ac:dyDescent="0.2">
      <c r="A56" s="705" t="s">
        <v>457</v>
      </c>
      <c r="B56" s="705" t="s">
        <v>1461</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0</v>
      </c>
      <c r="G57" s="701"/>
    </row>
    <row r="58" spans="1:7" x14ac:dyDescent="0.2">
      <c r="A58" s="705" t="s">
        <v>457</v>
      </c>
      <c r="B58" s="705" t="s">
        <v>1851</v>
      </c>
      <c r="C58" s="721" t="s">
        <v>975</v>
      </c>
      <c r="D58" s="720" t="s">
        <v>1086</v>
      </c>
      <c r="E58" s="704"/>
      <c r="F58" s="1773">
        <f>'Expenditures 15-22'!G151</f>
        <v>49837</v>
      </c>
      <c r="G58" s="701"/>
    </row>
    <row r="59" spans="1:7" x14ac:dyDescent="0.2">
      <c r="A59" s="728" t="s">
        <v>457</v>
      </c>
      <c r="B59" s="692" t="s">
        <v>1852</v>
      </c>
      <c r="C59" s="729" t="s">
        <v>975</v>
      </c>
      <c r="D59" s="692" t="s">
        <v>288</v>
      </c>
      <c r="F59" s="1774">
        <f>'Expenditures 15-22'!I151</f>
        <v>9318</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5515000</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975</v>
      </c>
      <c r="D65" s="720" t="s">
        <v>1086</v>
      </c>
      <c r="E65" s="704"/>
      <c r="F65" s="1771">
        <f>'Expenditures 15-22'!G210</f>
        <v>0</v>
      </c>
      <c r="G65" s="701"/>
    </row>
    <row r="66" spans="1:9" x14ac:dyDescent="0.2">
      <c r="A66" s="705" t="s">
        <v>458</v>
      </c>
      <c r="B66" s="705" t="s">
        <v>1859</v>
      </c>
      <c r="C66" s="721" t="s">
        <v>975</v>
      </c>
      <c r="D66" s="720" t="s">
        <v>288</v>
      </c>
      <c r="E66" s="704"/>
      <c r="F66" s="1771">
        <f>'Expenditures 15-22'!I210</f>
        <v>7450</v>
      </c>
      <c r="G66" s="701"/>
    </row>
    <row r="67" spans="1:9" x14ac:dyDescent="0.2">
      <c r="A67" s="705" t="s">
        <v>459</v>
      </c>
      <c r="B67" s="705" t="s">
        <v>1860</v>
      </c>
      <c r="C67" s="721" t="str">
        <f>'Expenditures 15-22'!B216</f>
        <v>1125</v>
      </c>
      <c r="D67" s="727" t="str">
        <f>'Expenditures 15-22'!A216</f>
        <v>Pre-K Programs</v>
      </c>
      <c r="E67" s="704"/>
      <c r="F67" s="1771">
        <f>'Expenditures 15-22'!K216</f>
        <v>105710</v>
      </c>
      <c r="G67" s="701"/>
    </row>
    <row r="68" spans="1:9" x14ac:dyDescent="0.2">
      <c r="A68" s="705" t="s">
        <v>459</v>
      </c>
      <c r="B68" s="705" t="s">
        <v>1462</v>
      </c>
      <c r="C68" s="721" t="str">
        <f>'Expenditures 15-22'!B218</f>
        <v>1225</v>
      </c>
      <c r="D68" s="727" t="str">
        <f>'Expenditures 15-22'!A218</f>
        <v>Special Education Programs - Pre-K</v>
      </c>
      <c r="E68" s="704"/>
      <c r="F68" s="177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0</v>
      </c>
      <c r="G71" s="701"/>
    </row>
    <row r="72" spans="1:9" x14ac:dyDescent="0.2">
      <c r="A72" s="705" t="s">
        <v>459</v>
      </c>
      <c r="B72" s="705" t="s">
        <v>1864</v>
      </c>
      <c r="C72" s="721">
        <f>'Expenditures 15-22'!B280</f>
        <v>3000</v>
      </c>
      <c r="D72" s="712" t="s">
        <v>446</v>
      </c>
      <c r="E72" s="704"/>
      <c r="F72" s="1771">
        <f>'Expenditures 15-22'!K280</f>
        <v>373</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1866</v>
      </c>
      <c r="C74" s="721" t="s">
        <v>855</v>
      </c>
      <c r="D74" s="722" t="s">
        <v>1470</v>
      </c>
      <c r="E74" s="704"/>
      <c r="F74" s="1775">
        <f>'Expenditures 15-22'!K334</f>
        <v>0</v>
      </c>
      <c r="G74" s="701"/>
    </row>
    <row r="75" spans="1:9" x14ac:dyDescent="0.2">
      <c r="A75" s="705" t="s">
        <v>2005</v>
      </c>
      <c r="B75" s="705" t="s">
        <v>2006</v>
      </c>
      <c r="C75" s="721" t="s">
        <v>975</v>
      </c>
      <c r="D75" s="722" t="s">
        <v>1086</v>
      </c>
      <c r="E75" s="704"/>
      <c r="F75" s="1775">
        <f>'Expenditures 15-22'!G342</f>
        <v>0</v>
      </c>
      <c r="G75" s="701"/>
    </row>
    <row r="76" spans="1:9" ht="10.5" customHeight="1" x14ac:dyDescent="0.2">
      <c r="A76" s="701" t="s">
        <v>433</v>
      </c>
      <c r="B76" s="705" t="s">
        <v>2007</v>
      </c>
      <c r="C76" s="711" t="s">
        <v>975</v>
      </c>
      <c r="D76" s="701" t="s">
        <v>288</v>
      </c>
      <c r="E76" s="704"/>
      <c r="F76" s="1775">
        <f>'Expenditures 15-22'!I342</f>
        <v>0</v>
      </c>
      <c r="G76" s="703"/>
    </row>
    <row r="77" spans="1:9" ht="12" thickBot="1" x14ac:dyDescent="0.25">
      <c r="A77" s="1436"/>
      <c r="B77" s="1441"/>
      <c r="C77" s="1438"/>
      <c r="D77" s="1442" t="s">
        <v>2008</v>
      </c>
      <c r="E77" s="1440" t="s">
        <v>952</v>
      </c>
      <c r="F77" s="1776">
        <f>SUM(F18:F76)</f>
        <v>17105357</v>
      </c>
      <c r="G77" s="701"/>
    </row>
    <row r="78" spans="1:9" s="728" customFormat="1" ht="12" customHeight="1" thickTop="1" thickBot="1" x14ac:dyDescent="0.25">
      <c r="A78" s="1443"/>
      <c r="B78" s="1441"/>
      <c r="C78" s="1438"/>
      <c r="D78" s="1442" t="s">
        <v>2009</v>
      </c>
      <c r="E78" s="1440"/>
      <c r="F78" s="1777">
        <f>(F14-F77)</f>
        <v>50531186</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4325.8999999999996</v>
      </c>
      <c r="G79" s="733"/>
      <c r="H79" s="705"/>
      <c r="I79" s="705"/>
    </row>
    <row r="80" spans="1:9" s="728" customFormat="1" ht="12" customHeight="1" thickBot="1" x14ac:dyDescent="0.25">
      <c r="A80" s="1445"/>
      <c r="B80" s="1441"/>
      <c r="C80" s="1438"/>
      <c r="D80" s="1442" t="s">
        <v>2010</v>
      </c>
      <c r="E80" s="1440" t="s">
        <v>952</v>
      </c>
      <c r="F80" s="1779">
        <f>IF(F79&gt;0,F78/F79," Complete Line 79")</f>
        <v>11681.080468804181</v>
      </c>
      <c r="G80" s="705"/>
    </row>
    <row r="81" spans="1:7" s="728" customFormat="1" ht="8.25" customHeight="1" thickTop="1" x14ac:dyDescent="0.2">
      <c r="A81" s="734"/>
      <c r="B81" s="705"/>
      <c r="C81" s="707"/>
      <c r="D81" s="735"/>
      <c r="E81" s="704"/>
      <c r="F81" s="1780"/>
      <c r="G81" s="705"/>
    </row>
    <row r="82" spans="1:7" s="728" customFormat="1" ht="12" thickBot="1" x14ac:dyDescent="0.25">
      <c r="A82" s="2388" t="s">
        <v>1096</v>
      </c>
      <c r="B82" s="2389"/>
      <c r="C82" s="2389"/>
      <c r="D82" s="2389"/>
      <c r="E82" s="2389"/>
      <c r="F82" s="239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1">
        <f>'Revenues 9-14'!F42</f>
        <v>26866</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542077</v>
      </c>
      <c r="G95" s="745"/>
    </row>
    <row r="96" spans="1:7" x14ac:dyDescent="0.2">
      <c r="A96" s="741" t="s">
        <v>139</v>
      </c>
      <c r="B96" s="741" t="s">
        <v>174</v>
      </c>
      <c r="C96" s="743">
        <v>1700</v>
      </c>
      <c r="D96" s="751" t="str">
        <f>'Revenues 9-14'!A82</f>
        <v>Total District/School Activity Income</v>
      </c>
      <c r="E96" s="739"/>
      <c r="F96" s="1782">
        <f>SUM('Revenues 9-14'!C82,'Revenues 9-14'!D82)</f>
        <v>35976</v>
      </c>
      <c r="G96" s="745"/>
    </row>
    <row r="97" spans="1:7" x14ac:dyDescent="0.2">
      <c r="A97" s="741" t="s">
        <v>456</v>
      </c>
      <c r="B97" s="741" t="s">
        <v>175</v>
      </c>
      <c r="C97" s="743">
        <f>'Revenues 9-14'!B84</f>
        <v>1811</v>
      </c>
      <c r="D97" s="744" t="str">
        <f>'Revenues 9-14'!A84</f>
        <v>Rentals - Regular Textbooks</v>
      </c>
      <c r="E97" s="739"/>
      <c r="F97" s="1782">
        <f>'Revenues 9-14'!C84</f>
        <v>201953</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16768</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2">
        <f>SUM('Revenues 9-14'!C104,'Revenues 9-14'!D104,'Revenues 9-14'!E104,'Revenues 9-14'!F104,'Revenues 9-14'!G104)</f>
        <v>1150104</v>
      </c>
      <c r="G104" s="745"/>
    </row>
    <row r="105" spans="1:7" x14ac:dyDescent="0.2">
      <c r="A105" s="741" t="s">
        <v>456</v>
      </c>
      <c r="B105" s="741" t="s">
        <v>803</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276761</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9251</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1564333</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0</v>
      </c>
      <c r="G121" s="763"/>
    </row>
    <row r="122" spans="1:7" x14ac:dyDescent="0.2">
      <c r="A122" s="760" t="s">
        <v>497</v>
      </c>
      <c r="B122" s="760" t="s">
        <v>1923</v>
      </c>
      <c r="C122" s="761">
        <f>'Revenues 9-14'!B168</f>
        <v>3999</v>
      </c>
      <c r="D122" s="762" t="s">
        <v>540</v>
      </c>
      <c r="E122" s="764"/>
      <c r="F122" s="1782">
        <f>SUM('Revenues 9-14'!C168:G168,'Revenues 9-14'!J168)</f>
        <v>3458</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821803</v>
      </c>
      <c r="G126" s="763"/>
    </row>
    <row r="127" spans="1:7" x14ac:dyDescent="0.2">
      <c r="A127" s="760" t="s">
        <v>663</v>
      </c>
      <c r="B127" s="760" t="s">
        <v>1928</v>
      </c>
      <c r="C127" s="765">
        <v>4300</v>
      </c>
      <c r="D127" s="766" t="str">
        <f>'Revenues 9-14'!A204</f>
        <v>Total Title I</v>
      </c>
      <c r="E127" s="739"/>
      <c r="F127" s="1782">
        <f>SUM('Revenues 9-14'!C204,'Revenues 9-14'!D204,'Revenues 9-14'!F204,'Revenues 9-14'!G204)</f>
        <v>756998</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1032706</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255628</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1400</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836</v>
      </c>
      <c r="D158" s="774" t="s">
        <v>772</v>
      </c>
      <c r="E158" s="775"/>
      <c r="F158" s="1782">
        <f>SUM(F134:F157)</f>
        <v>0</v>
      </c>
      <c r="G158" s="738"/>
    </row>
    <row r="159" spans="1:7" s="703" customFormat="1" x14ac:dyDescent="0.2">
      <c r="A159" s="771" t="s">
        <v>456</v>
      </c>
      <c r="B159" s="772" t="s">
        <v>1949</v>
      </c>
      <c r="C159" s="773" t="s">
        <v>1410</v>
      </c>
      <c r="D159" s="774" t="s">
        <v>1411</v>
      </c>
      <c r="E159" s="775"/>
      <c r="F159" s="1782">
        <f>SUM('Revenues 9-14'!C253)</f>
        <v>0</v>
      </c>
      <c r="G159" s="738"/>
    </row>
    <row r="160" spans="1:7" s="703" customFormat="1" x14ac:dyDescent="0.2">
      <c r="A160" s="771" t="s">
        <v>497</v>
      </c>
      <c r="B160" s="772" t="s">
        <v>1950</v>
      </c>
      <c r="C160" s="773" t="s">
        <v>1449</v>
      </c>
      <c r="D160" s="774" t="s">
        <v>1450</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56846</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117911</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126746</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382403</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v>1966511.32</v>
      </c>
      <c r="G172" s="760"/>
    </row>
    <row r="173" spans="1:7" x14ac:dyDescent="0.2">
      <c r="A173" s="1522" t="s">
        <v>659</v>
      </c>
      <c r="B173" s="1523" t="s">
        <v>1882</v>
      </c>
      <c r="C173" s="1524">
        <v>3300</v>
      </c>
      <c r="D173" s="1525" t="s">
        <v>1885</v>
      </c>
      <c r="E173" s="739"/>
      <c r="F173" s="1783">
        <v>261424.03</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952</v>
      </c>
      <c r="F175" s="1785">
        <f>SUM(F85:F133,F158:F173)</f>
        <v>9606523.3499999996</v>
      </c>
    </row>
    <row r="176" spans="1:7" ht="12" customHeight="1" x14ac:dyDescent="0.2">
      <c r="A176" s="1436"/>
      <c r="B176" s="1446"/>
      <c r="C176" s="1447"/>
      <c r="D176" s="1448" t="s">
        <v>2011</v>
      </c>
      <c r="E176" s="1449"/>
      <c r="F176" s="1782">
        <f>'PCTC-OEPP 27-28'!F78-F175</f>
        <v>40924662.649999999</v>
      </c>
    </row>
    <row r="177" spans="1:9" ht="12" customHeight="1" x14ac:dyDescent="0.2">
      <c r="A177" s="1436"/>
      <c r="B177" s="1446"/>
      <c r="C177" s="1447"/>
      <c r="D177" s="1448" t="s">
        <v>1791</v>
      </c>
      <c r="E177" s="1449"/>
      <c r="F177" s="1782">
        <f>'Cap Outlay Deprec 26'!I18</f>
        <v>3741620.2</v>
      </c>
    </row>
    <row r="178" spans="1:9" ht="12" customHeight="1" x14ac:dyDescent="0.2">
      <c r="A178" s="1436"/>
      <c r="B178" s="1446"/>
      <c r="C178" s="1447"/>
      <c r="D178" s="1448" t="s">
        <v>2012</v>
      </c>
      <c r="E178" s="1449"/>
      <c r="F178" s="1782">
        <f>F176+F177</f>
        <v>44666282.850000001</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4325.8999999999996</v>
      </c>
      <c r="G179" s="763"/>
      <c r="I179" s="701"/>
    </row>
    <row r="180" spans="1:9" ht="12" customHeight="1" thickBot="1" x14ac:dyDescent="0.25">
      <c r="A180" s="1436"/>
      <c r="B180" s="1450"/>
      <c r="C180" s="1447"/>
      <c r="D180" s="1448" t="s">
        <v>2014</v>
      </c>
      <c r="E180" s="1449" t="s">
        <v>1528</v>
      </c>
      <c r="F180" s="1787">
        <f>F178/F179</f>
        <v>10325.315622182668</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90" zoomScaleNormal="90" workbookViewId="0">
      <selection activeCell="B19" sqref="B19"/>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402" t="s">
        <v>1792</v>
      </c>
      <c r="B4" s="2403"/>
      <c r="C4" s="2403"/>
      <c r="D4" s="2403"/>
      <c r="E4" s="2403"/>
      <c r="F4" s="2404"/>
    </row>
    <row r="5" spans="1:6" x14ac:dyDescent="0.25">
      <c r="A5" s="2405"/>
      <c r="B5" s="2406"/>
      <c r="C5" s="2406"/>
      <c r="D5" s="2406"/>
      <c r="E5" s="2406"/>
      <c r="F5" s="2407"/>
    </row>
    <row r="6" spans="1:6" ht="18.75" x14ac:dyDescent="0.25">
      <c r="A6" s="1854" t="s">
        <v>1793</v>
      </c>
      <c r="B6" s="1855"/>
      <c r="C6" s="1856"/>
      <c r="D6" s="1856"/>
      <c r="E6" s="1856"/>
      <c r="F6" s="1857"/>
    </row>
    <row r="7" spans="1:6" ht="47.25" customHeight="1" x14ac:dyDescent="0.25">
      <c r="A7" s="2408" t="s">
        <v>1982</v>
      </c>
      <c r="B7" s="2409"/>
      <c r="C7" s="2409"/>
      <c r="D7" s="2409"/>
      <c r="E7" s="2409"/>
      <c r="F7" s="2410"/>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411" t="s">
        <v>1978</v>
      </c>
      <c r="B10" s="2412"/>
      <c r="C10" s="2412"/>
      <c r="D10" s="2412"/>
      <c r="E10" s="2412"/>
      <c r="F10" s="2413"/>
    </row>
    <row r="11" spans="1:6" ht="33" customHeight="1" x14ac:dyDescent="0.25">
      <c r="A11" s="2408" t="s">
        <v>1983</v>
      </c>
      <c r="B11" s="2409"/>
      <c r="C11" s="2409"/>
      <c r="D11" s="2409"/>
      <c r="E11" s="2409"/>
      <c r="F11" s="2410"/>
    </row>
    <row r="12" spans="1:6" ht="15" customHeight="1" x14ac:dyDescent="0.25">
      <c r="A12" s="1860" t="s">
        <v>1979</v>
      </c>
      <c r="B12" s="1861"/>
      <c r="C12" s="1862"/>
      <c r="D12" s="1862"/>
      <c r="E12" s="1862"/>
      <c r="F12" s="1863"/>
    </row>
    <row r="13" spans="1:6" ht="17.25" customHeight="1" x14ac:dyDescent="0.25">
      <c r="A13" s="2408" t="s">
        <v>1980</v>
      </c>
      <c r="B13" s="2409"/>
      <c r="C13" s="2409"/>
      <c r="D13" s="2409"/>
      <c r="E13" s="2409"/>
      <c r="F13" s="2410"/>
    </row>
    <row r="14" spans="1:6" ht="15" customHeight="1" x14ac:dyDescent="0.25">
      <c r="A14" s="1860" t="s">
        <v>1797</v>
      </c>
      <c r="B14" s="1861"/>
      <c r="C14" s="1862"/>
      <c r="D14" s="1862"/>
      <c r="E14" s="1862"/>
      <c r="F14" s="1863"/>
    </row>
    <row r="15" spans="1:6" ht="32.25" customHeight="1" x14ac:dyDescent="0.25">
      <c r="A15" s="239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0"/>
      <c r="C15" s="2400"/>
      <c r="D15" s="2400"/>
      <c r="E15" s="2400"/>
      <c r="F15" s="2401"/>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1940" t="s">
        <v>2115</v>
      </c>
      <c r="B18" s="1895">
        <v>202540300</v>
      </c>
      <c r="C18" s="1941" t="s">
        <v>2117</v>
      </c>
      <c r="D18" s="1873">
        <v>94127</v>
      </c>
      <c r="E18" s="1893" t="str">
        <f t="shared" ref="E18:E81" si="0">IF(D18&lt;25000,D18,"25,000")</f>
        <v>25,000</v>
      </c>
      <c r="F18" s="1893">
        <f t="shared" ref="F18:F81" si="1">IF(D18&gt;=25000,(D18-E18),"0")</f>
        <v>69127</v>
      </c>
      <c r="G18" s="1874"/>
    </row>
    <row r="19" spans="1:7" x14ac:dyDescent="0.25">
      <c r="A19" s="1940" t="s">
        <v>2115</v>
      </c>
      <c r="B19" s="1895">
        <v>202540300</v>
      </c>
      <c r="C19" s="1941" t="s">
        <v>2118</v>
      </c>
      <c r="D19" s="1873">
        <v>138241</v>
      </c>
      <c r="E19" s="1893" t="str">
        <f t="shared" si="0"/>
        <v>25,000</v>
      </c>
      <c r="F19" s="1893">
        <f t="shared" si="1"/>
        <v>113241</v>
      </c>
    </row>
    <row r="20" spans="1:7" x14ac:dyDescent="0.25">
      <c r="A20" s="1940" t="s">
        <v>2116</v>
      </c>
      <c r="B20" s="1895">
        <v>402550600</v>
      </c>
      <c r="C20" s="1941" t="s">
        <v>2119</v>
      </c>
      <c r="D20" s="1873">
        <v>485405</v>
      </c>
      <c r="E20" s="1893" t="str">
        <f t="shared" si="0"/>
        <v>25,000</v>
      </c>
      <c r="F20" s="1893">
        <f t="shared" si="1"/>
        <v>460405</v>
      </c>
    </row>
    <row r="21" spans="1:7" x14ac:dyDescent="0.25">
      <c r="A21" s="1940" t="s">
        <v>2116</v>
      </c>
      <c r="B21" s="1895">
        <v>402550600</v>
      </c>
      <c r="C21" s="1941" t="s">
        <v>2120</v>
      </c>
      <c r="D21" s="1873">
        <v>257260</v>
      </c>
      <c r="E21" s="1893" t="str">
        <f t="shared" si="0"/>
        <v>25,000</v>
      </c>
      <c r="F21" s="1893">
        <f t="shared" si="1"/>
        <v>232260</v>
      </c>
    </row>
    <row r="22" spans="1:7" x14ac:dyDescent="0.25">
      <c r="A22" s="1875"/>
      <c r="B22" s="1895"/>
      <c r="C22" s="1872"/>
      <c r="D22" s="1873"/>
      <c r="E22" s="1893">
        <f t="shared" si="0"/>
        <v>0</v>
      </c>
      <c r="F22" s="1893" t="str">
        <f t="shared" si="1"/>
        <v>0</v>
      </c>
    </row>
    <row r="23" spans="1:7" x14ac:dyDescent="0.25">
      <c r="A23" s="1875"/>
      <c r="B23" s="1895"/>
      <c r="C23" s="1872"/>
      <c r="D23" s="1873"/>
      <c r="E23" s="1893">
        <f t="shared" si="0"/>
        <v>0</v>
      </c>
      <c r="F23" s="1893" t="str">
        <f t="shared" si="1"/>
        <v>0</v>
      </c>
    </row>
    <row r="24" spans="1:7" x14ac:dyDescent="0.25">
      <c r="A24" s="1875"/>
      <c r="B24" s="1895"/>
      <c r="C24" s="1872"/>
      <c r="D24" s="1873"/>
      <c r="E24" s="1893">
        <f t="shared" si="0"/>
        <v>0</v>
      </c>
      <c r="F24" s="1893" t="str">
        <f t="shared" si="1"/>
        <v>0</v>
      </c>
    </row>
    <row r="25" spans="1:7" x14ac:dyDescent="0.25">
      <c r="A25" s="1875"/>
      <c r="B25" s="1895"/>
      <c r="C25" s="1872"/>
      <c r="D25" s="1873"/>
      <c r="E25" s="1893">
        <f t="shared" si="0"/>
        <v>0</v>
      </c>
      <c r="F25" s="1893" t="str">
        <f t="shared" si="1"/>
        <v>0</v>
      </c>
    </row>
    <row r="26" spans="1:7" x14ac:dyDescent="0.25">
      <c r="A26" s="1875"/>
      <c r="B26" s="1895"/>
      <c r="C26" s="1872"/>
      <c r="D26" s="1873"/>
      <c r="E26" s="1893">
        <f t="shared" si="0"/>
        <v>0</v>
      </c>
      <c r="F26" s="1893" t="str">
        <f t="shared" si="1"/>
        <v>0</v>
      </c>
    </row>
    <row r="27" spans="1:7" x14ac:dyDescent="0.25">
      <c r="A27" s="1875"/>
      <c r="B27" s="1895"/>
      <c r="C27" s="1876"/>
      <c r="D27" s="1873"/>
      <c r="E27" s="1893">
        <f t="shared" si="0"/>
        <v>0</v>
      </c>
      <c r="F27" s="1893" t="str">
        <f t="shared" si="1"/>
        <v>0</v>
      </c>
    </row>
    <row r="28" spans="1:7" x14ac:dyDescent="0.25">
      <c r="A28" s="1875"/>
      <c r="B28" s="1895"/>
      <c r="C28" s="1876"/>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975033</v>
      </c>
      <c r="E142" s="1880">
        <f>SUM(E18:E141)</f>
        <v>0</v>
      </c>
      <c r="F142" s="1881">
        <f>SUM(F18:F141)</f>
        <v>875033</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Normal="100" workbookViewId="0">
      <selection activeCell="J12" sqref="J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1105</v>
      </c>
      <c r="B1" s="1363"/>
      <c r="C1" s="1364"/>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4" t="s">
        <v>1660</v>
      </c>
      <c r="B5" s="2415"/>
      <c r="C5" s="2415"/>
      <c r="D5" s="2415"/>
      <c r="E5" s="2415"/>
      <c r="F5" s="2415"/>
      <c r="G5" s="2416"/>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v>611860</v>
      </c>
      <c r="F10" s="805"/>
      <c r="G10" s="806"/>
      <c r="H10" s="157"/>
      <c r="I10" s="157"/>
    </row>
    <row r="11" spans="1:13" s="542" customFormat="1" ht="22.5" customHeight="1" x14ac:dyDescent="0.2">
      <c r="A11" s="241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0"/>
      <c r="C11" s="2420"/>
      <c r="D11" s="2421"/>
      <c r="E11" s="1790">
        <v>136844</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36616236</v>
      </c>
      <c r="F19" s="1791"/>
      <c r="G19" s="1793">
        <f>'Expenditures 15-22'!K33-SUM('Expenditures 15-22'!G33,'Expenditures 15-22'!I33)+'Expenditures 15-22'!D229</f>
        <v>36616236</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4778364</v>
      </c>
      <c r="F21" s="1794"/>
      <c r="G21" s="1797">
        <f>'Expenditures 15-22'!K42-SUM('Expenditures 15-22'!G42,'Expenditures 15-22'!I42)+'Expenditures 15-22'!K120-SUM('Expenditures 15-22'!G120,'Expenditures 15-22'!I120)+'Expenditures 15-22'!K180-SUM('Expenditures 15-22'!G180,'Expenditures 15-22'!I180)+'Expenditures 15-22'!D238</f>
        <v>4778364</v>
      </c>
      <c r="H21" s="817"/>
      <c r="I21" s="157"/>
    </row>
    <row r="22" spans="1:9" s="542" customFormat="1" ht="12" customHeight="1" x14ac:dyDescent="0.2">
      <c r="A22" s="824" t="s">
        <v>560</v>
      </c>
      <c r="B22" s="825"/>
      <c r="C22" s="823">
        <v>2200</v>
      </c>
      <c r="D22" s="1794"/>
      <c r="E22" s="1796">
        <f>'Expenditures 15-22'!K47-SUM('Expenditures 15-22'!G47,'Expenditures 15-22'!I47)+'Expenditures 15-22'!D243</f>
        <v>767543</v>
      </c>
      <c r="F22" s="1794"/>
      <c r="G22" s="1797">
        <f>'Expenditures 15-22'!K47-SUM('Expenditures 15-22'!G47,'Expenditures 15-22'!I47)+'Expenditures 15-22'!D243</f>
        <v>767543</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1747021</v>
      </c>
      <c r="F23" s="1794"/>
      <c r="G23" s="1796">
        <f>'Expenditures 15-22'!K53-SUM('Expenditures 15-22'!G53,'Expenditures 15-22'!I53)+'Expenditures 15-22'!D257+'Expenditures 15-22'!K330-SUM('Expenditures 15-22'!G330,'Expenditures 15-22'!I330)</f>
        <v>1747021</v>
      </c>
      <c r="H23" s="817"/>
      <c r="I23" s="157"/>
    </row>
    <row r="24" spans="1:9" s="542" customFormat="1" ht="12" customHeight="1" x14ac:dyDescent="0.2">
      <c r="A24" s="824" t="s">
        <v>562</v>
      </c>
      <c r="B24" s="825"/>
      <c r="C24" s="823">
        <v>2400</v>
      </c>
      <c r="D24" s="1794"/>
      <c r="E24" s="1796">
        <f>'Expenditures 15-22'!K57-SUM('Expenditures 15-22'!G57,'Expenditures 15-22'!I57)+'Expenditures 15-22'!D261</f>
        <v>2766545</v>
      </c>
      <c r="F24" s="1794"/>
      <c r="G24" s="1797">
        <f>'Expenditures 15-22'!K57-SUM('Expenditures 15-22'!G57,'Expenditures 15-22'!I57)+'Expenditures 15-22'!D261</f>
        <v>2766545</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194075</v>
      </c>
      <c r="E26" s="1796">
        <f>'Expenditures 15-22'!K122-SUM('Expenditures 15-22'!G122,'Expenditures 15-22'!I122)+E7</f>
        <v>0</v>
      </c>
      <c r="F26" s="1796">
        <f>'Expenditures 15-22'!K59-SUM('Expenditures 15-22'!G59,'Expenditures 15-22'!I59)+'Expenditures 15-22'!D263-E7</f>
        <v>194075</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454040</v>
      </c>
      <c r="E27" s="1796">
        <f>E8</f>
        <v>0</v>
      </c>
      <c r="F27" s="1796">
        <f>'Expenditures 15-22'!K60-SUM('Expenditures 15-22'!G60,'Expenditures 15-22'!I60)+'Expenditures 15-22'!D264-E8</f>
        <v>454040</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5117239</v>
      </c>
      <c r="F28" s="1798">
        <f>'Expenditures 15-22'!K61-SUM('Expenditures 15-22'!G61,'Expenditures 15-22'!I61)+'Expenditures 15-22'!K124-SUM('Expenditures 15-22'!G124,'Expenditures 15-22'!I124)+'Expenditures 15-22'!D266-E9</f>
        <v>5117239</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4612131</v>
      </c>
      <c r="F29" s="1794"/>
      <c r="G29" s="1797">
        <f>'Expenditures 15-22'!K62-SUM('Expenditures 15-22'!G62,'Expenditures 15-22'!I62)+'Expenditures 15-22'!K125-SUM('Expenditures 15-22'!G125,'Expenditures 15-22'!I125)+'Expenditures 15-22'!K182-SUM('Expenditures 15-22'!G182,'Expenditures 15-22'!I182)+'Expenditures 15-22'!D267</f>
        <v>4612131</v>
      </c>
      <c r="H29" s="815"/>
    </row>
    <row r="30" spans="1:9" ht="12" customHeight="1" x14ac:dyDescent="0.2">
      <c r="A30" s="824" t="s">
        <v>100</v>
      </c>
      <c r="B30" s="827"/>
      <c r="C30" s="823">
        <v>2560</v>
      </c>
      <c r="D30" s="1794"/>
      <c r="E30" s="1796">
        <f>'Expenditures 15-22'!K63-SUM('Expenditures 15-22'!G63,'Expenditures 15-22'!I63)+'Expenditures 15-22'!D268-E10</f>
        <v>876498</v>
      </c>
      <c r="F30" s="1794"/>
      <c r="G30" s="1796">
        <f>'Expenditures 15-22'!K63-SUM('Expenditures 15-22'!G63,'Expenditures 15-22'!I63)+'Expenditures 15-22'!D268-E10</f>
        <v>876498</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1052</v>
      </c>
      <c r="B35" s="827"/>
      <c r="C35" s="823">
        <v>2630</v>
      </c>
      <c r="D35" s="1794"/>
      <c r="E35" s="1796">
        <f>'Expenditures 15-22'!K69-SUM('Expenditures 15-22'!G69,'Expenditures 15-22'!I69)+'Expenditures 15-22'!D274</f>
        <v>4836</v>
      </c>
      <c r="F35" s="1794"/>
      <c r="G35" s="1796">
        <f>'Expenditures 15-22'!K69-SUM('Expenditures 15-22'!G69,'Expenditures 15-22'!I69)+'Expenditures 15-22'!D274</f>
        <v>4836</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1173372</v>
      </c>
      <c r="E37" s="1796">
        <f>E14</f>
        <v>0</v>
      </c>
      <c r="F37" s="1796">
        <f>'Expenditures 15-22'!K71-SUM('Expenditures 15-22'!G71,'Expenditures 15-22'!I71)+'Expenditures 15-22'!D276-E14</f>
        <v>1173372</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54490</v>
      </c>
      <c r="F39" s="1794"/>
      <c r="G39" s="1796">
        <f>'Expenditures 15-22'!K75-SUM('Expenditures 15-22'!G75,'Expenditures 15-22'!I75)+'Expenditures 15-22'!K130-SUM('Expenditures 15-22'!G130,'Expenditures 15-22'!I130)+'Expenditures 15-22'!K185-SUM('Expenditures 15-22'!G185,'Expenditures 15-22'!I185)+'Expenditures 15-22'!D280</f>
        <v>54490</v>
      </c>
    </row>
    <row r="40" spans="1:7" ht="12" customHeight="1" x14ac:dyDescent="0.2">
      <c r="A40" s="820" t="s">
        <v>1795</v>
      </c>
      <c r="B40" s="821"/>
      <c r="C40" s="823"/>
      <c r="D40" s="1794"/>
      <c r="E40" s="1798">
        <f>-'Contracts Paid in CY 29'!F142</f>
        <v>-875033</v>
      </c>
      <c r="F40" s="1794"/>
      <c r="G40" s="1798">
        <f>-'Contracts Paid in CY 29'!F142</f>
        <v>-875033</v>
      </c>
    </row>
    <row r="41" spans="1:7" ht="12" customHeight="1" x14ac:dyDescent="0.2">
      <c r="A41" s="828" t="s">
        <v>155</v>
      </c>
      <c r="B41" s="829"/>
      <c r="C41" s="830"/>
      <c r="D41" s="1798">
        <f>SUM(D19:D39)</f>
        <v>1821487</v>
      </c>
      <c r="E41" s="1798">
        <f>SUM(E19:E40)</f>
        <v>56465870</v>
      </c>
      <c r="F41" s="1798">
        <f>SUM(F19:F39)</f>
        <v>6938726</v>
      </c>
      <c r="G41" s="1798">
        <f>SUM(G19:G40)</f>
        <v>51348631</v>
      </c>
    </row>
    <row r="42" spans="1:7" x14ac:dyDescent="0.2">
      <c r="A42" s="817"/>
      <c r="B42" s="157"/>
      <c r="C42" s="831"/>
      <c r="D42" s="2417" t="s">
        <v>519</v>
      </c>
      <c r="E42" s="2418"/>
      <c r="F42" s="832" t="s">
        <v>520</v>
      </c>
      <c r="G42" s="833"/>
    </row>
    <row r="43" spans="1:7" ht="12" customHeight="1" x14ac:dyDescent="0.2">
      <c r="A43" s="817"/>
      <c r="B43" s="157"/>
      <c r="C43" s="831"/>
      <c r="D43" s="1451" t="s">
        <v>470</v>
      </c>
      <c r="E43" s="1799">
        <f>D41</f>
        <v>1821487</v>
      </c>
      <c r="F43" s="1451" t="s">
        <v>470</v>
      </c>
      <c r="G43" s="1799">
        <f>F41</f>
        <v>6938726</v>
      </c>
    </row>
    <row r="44" spans="1:7" ht="12" customHeight="1" x14ac:dyDescent="0.2">
      <c r="A44" s="817"/>
      <c r="B44" s="157"/>
      <c r="C44" s="831"/>
      <c r="D44" s="1451" t="s">
        <v>471</v>
      </c>
      <c r="E44" s="1799">
        <f>E41</f>
        <v>56465870</v>
      </c>
      <c r="F44" s="1451" t="s">
        <v>471</v>
      </c>
      <c r="G44" s="1799">
        <f>G41</f>
        <v>51348631</v>
      </c>
    </row>
    <row r="45" spans="1:7" ht="12" customHeight="1" x14ac:dyDescent="0.2">
      <c r="A45" s="817"/>
      <c r="B45" s="157"/>
      <c r="C45" s="157"/>
      <c r="D45" s="1452" t="s">
        <v>999</v>
      </c>
      <c r="E45" s="1800">
        <f>(E43/E44)</f>
        <v>3.2258194197663119E-2</v>
      </c>
      <c r="F45" s="1452" t="s">
        <v>999</v>
      </c>
      <c r="G45" s="1800">
        <f>(G43/G44)</f>
        <v>0.13512971747971236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H30" sqref="H30"/>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25" t="s">
        <v>1363</v>
      </c>
      <c r="B1" s="2425"/>
      <c r="C1" s="2425"/>
      <c r="D1" s="2425"/>
      <c r="E1" s="2425"/>
      <c r="F1" s="2425"/>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26" t="s">
        <v>1529</v>
      </c>
      <c r="B5" s="2427"/>
      <c r="C5" s="2428"/>
      <c r="D5" s="2428"/>
      <c r="E5" s="2428"/>
      <c r="F5" s="2428"/>
      <c r="G5" s="1500"/>
      <c r="L5" s="1500"/>
      <c r="M5" s="1844"/>
      <c r="N5" s="1844"/>
      <c r="O5" s="1844"/>
    </row>
    <row r="6" spans="1:15" ht="12" customHeight="1" x14ac:dyDescent="0.25">
      <c r="A6" s="1473"/>
      <c r="B6" s="1474"/>
      <c r="C6" s="2429" t="str">
        <f>COVER!A17</f>
        <v xml:space="preserve">  McHenry CCSD 15</v>
      </c>
      <c r="D6" s="2429"/>
      <c r="E6" s="2429"/>
      <c r="F6" s="1475"/>
      <c r="G6" s="1500"/>
      <c r="L6" s="1500"/>
      <c r="M6" s="1844"/>
      <c r="N6" s="1844"/>
      <c r="O6" s="1844"/>
    </row>
    <row r="7" spans="1:15" ht="11.25" customHeight="1" thickBot="1" x14ac:dyDescent="0.3">
      <c r="A7" s="1473"/>
      <c r="B7" s="1474"/>
      <c r="C7" s="2430">
        <f>COVER!A13</f>
        <v>44063015004</v>
      </c>
      <c r="D7" s="2430"/>
      <c r="E7" s="2430"/>
      <c r="F7" s="1475"/>
      <c r="G7" s="1500"/>
      <c r="L7" s="1500"/>
      <c r="M7" s="1844"/>
      <c r="N7" s="1844"/>
      <c r="O7" s="1844"/>
    </row>
    <row r="8" spans="1:15" ht="25.5" customHeight="1" thickBot="1" x14ac:dyDescent="0.25">
      <c r="A8" s="1512" t="s">
        <v>1871</v>
      </c>
      <c r="B8" s="1476"/>
      <c r="C8" s="1508" t="s">
        <v>1662</v>
      </c>
      <c r="D8" s="1507" t="s">
        <v>1663</v>
      </c>
      <c r="E8" s="1509" t="s">
        <v>1364</v>
      </c>
      <c r="F8" s="1507" t="s">
        <v>1664</v>
      </c>
      <c r="G8" s="1500"/>
      <c r="H8" s="1477" t="b">
        <v>0</v>
      </c>
      <c r="L8" s="1500"/>
      <c r="M8" s="1844"/>
      <c r="N8" s="1844"/>
      <c r="O8" s="1844"/>
    </row>
    <row r="9" spans="1:15" ht="15.75" customHeight="1" x14ac:dyDescent="0.2">
      <c r="A9" s="1478" t="s">
        <v>1525</v>
      </c>
      <c r="B9" s="1479"/>
      <c r="C9" s="1480"/>
      <c r="D9" s="1480"/>
      <c r="E9" s="1481"/>
      <c r="F9" s="1482"/>
      <c r="G9" s="1500"/>
      <c r="L9" s="1500"/>
      <c r="M9" s="1844"/>
      <c r="N9" s="1844"/>
      <c r="O9" s="1844"/>
    </row>
    <row r="10" spans="1:15" ht="27.75" customHeight="1" x14ac:dyDescent="0.2">
      <c r="A10" s="1483" t="s">
        <v>1661</v>
      </c>
      <c r="B10" s="1484"/>
      <c r="C10" s="1485"/>
      <c r="D10" s="1485"/>
      <c r="E10" s="1510" t="s">
        <v>1365</v>
      </c>
      <c r="F10" s="1511" t="s">
        <v>1366</v>
      </c>
      <c r="G10" s="1500"/>
      <c r="L10" s="1500"/>
      <c r="M10" s="1844"/>
      <c r="N10" s="1844"/>
      <c r="O10" s="1844"/>
    </row>
    <row r="11" spans="1:15" ht="12" customHeight="1" x14ac:dyDescent="0.2">
      <c r="A11" s="1486" t="s">
        <v>1367</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1368</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1369</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1370</v>
      </c>
      <c r="B14" s="1487"/>
      <c r="C14" s="1488" t="s">
        <v>2029</v>
      </c>
      <c r="D14" s="1488" t="s">
        <v>2029</v>
      </c>
      <c r="E14" s="1491"/>
      <c r="F14" s="1490" t="s">
        <v>2194</v>
      </c>
      <c r="G14" s="1500"/>
      <c r="H14" s="1500">
        <f t="shared" si="0"/>
        <v>5</v>
      </c>
      <c r="I14" s="1500">
        <f t="shared" si="1"/>
        <v>5</v>
      </c>
      <c r="J14" s="1500">
        <f t="shared" si="2"/>
        <v>0</v>
      </c>
      <c r="L14" s="1500"/>
      <c r="M14" s="1844"/>
      <c r="N14" s="1844"/>
      <c r="O14" s="1844"/>
    </row>
    <row r="15" spans="1:15" ht="12" customHeight="1" x14ac:dyDescent="0.2">
      <c r="A15" s="1486" t="s">
        <v>1371</v>
      </c>
      <c r="B15" s="1487"/>
      <c r="C15" s="1488" t="s">
        <v>2029</v>
      </c>
      <c r="D15" s="1488" t="s">
        <v>2029</v>
      </c>
      <c r="E15" s="1491"/>
      <c r="F15" s="1490" t="s">
        <v>2195</v>
      </c>
      <c r="G15" s="1500"/>
      <c r="H15" s="1500">
        <f t="shared" si="0"/>
        <v>5</v>
      </c>
      <c r="I15" s="1500">
        <f t="shared" si="1"/>
        <v>5</v>
      </c>
      <c r="J15" s="1500">
        <f t="shared" si="2"/>
        <v>0</v>
      </c>
      <c r="L15" s="1500"/>
      <c r="M15" s="1844"/>
      <c r="N15" s="1844"/>
      <c r="O15" s="1844"/>
    </row>
    <row r="16" spans="1:15" ht="12" customHeight="1" x14ac:dyDescent="0.2">
      <c r="A16" s="1486" t="s">
        <v>1372</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1373</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1374</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1510</v>
      </c>
      <c r="B19" s="1487"/>
      <c r="C19" s="1488" t="s">
        <v>2029</v>
      </c>
      <c r="D19" s="1488" t="s">
        <v>2029</v>
      </c>
      <c r="E19" s="1491"/>
      <c r="F19" s="1490" t="s">
        <v>2196</v>
      </c>
      <c r="G19" s="1500"/>
      <c r="H19" s="1500">
        <f t="shared" si="0"/>
        <v>5</v>
      </c>
      <c r="I19" s="1500">
        <f t="shared" si="1"/>
        <v>5</v>
      </c>
      <c r="J19" s="1500">
        <f t="shared" si="2"/>
        <v>0</v>
      </c>
      <c r="L19" s="1500"/>
      <c r="M19" s="1844"/>
      <c r="N19" s="1844"/>
      <c r="O19" s="1844"/>
    </row>
    <row r="20" spans="1:15" ht="12" customHeight="1" x14ac:dyDescent="0.2">
      <c r="A20" s="1486" t="s">
        <v>1511</v>
      </c>
      <c r="B20" s="1487"/>
      <c r="C20" s="1488" t="s">
        <v>2029</v>
      </c>
      <c r="D20" s="1488" t="s">
        <v>2029</v>
      </c>
      <c r="E20" s="1491"/>
      <c r="F20" s="1490" t="s">
        <v>2197</v>
      </c>
      <c r="G20" s="1500"/>
      <c r="H20" s="1500">
        <f t="shared" si="0"/>
        <v>5</v>
      </c>
      <c r="I20" s="1500">
        <f t="shared" si="1"/>
        <v>5</v>
      </c>
      <c r="J20" s="1500">
        <f t="shared" si="2"/>
        <v>0</v>
      </c>
      <c r="L20" s="1500"/>
      <c r="M20" s="1844"/>
      <c r="N20" s="1844"/>
      <c r="O20" s="1844"/>
    </row>
    <row r="21" spans="1:15" ht="12" customHeight="1" x14ac:dyDescent="0.2">
      <c r="A21" s="1486" t="s">
        <v>1512</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1513</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1514</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1515</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1516</v>
      </c>
      <c r="B25" s="1487"/>
      <c r="C25" s="1488"/>
      <c r="D25" s="1488"/>
      <c r="E25" s="1491"/>
      <c r="F25" s="1490"/>
      <c r="G25" s="1500"/>
      <c r="H25" s="1500">
        <f t="shared" si="0"/>
        <v>0</v>
      </c>
      <c r="I25" s="1500">
        <f t="shared" si="1"/>
        <v>0</v>
      </c>
      <c r="J25" s="1500">
        <f t="shared" si="2"/>
        <v>0</v>
      </c>
      <c r="L25" s="1500"/>
      <c r="M25" s="1844"/>
      <c r="N25" s="1844"/>
      <c r="O25" s="1844"/>
    </row>
    <row r="26" spans="1:15" ht="12" customHeight="1" x14ac:dyDescent="0.2">
      <c r="A26" s="1486" t="s">
        <v>1517</v>
      </c>
      <c r="B26" s="1487"/>
      <c r="C26" s="1488" t="s">
        <v>2029</v>
      </c>
      <c r="D26" s="1488" t="s">
        <v>2029</v>
      </c>
      <c r="E26" s="1491"/>
      <c r="F26" s="1490" t="s">
        <v>2198</v>
      </c>
      <c r="G26" s="1500"/>
      <c r="H26" s="1500">
        <f t="shared" si="0"/>
        <v>5</v>
      </c>
      <c r="I26" s="1500">
        <f t="shared" si="1"/>
        <v>5</v>
      </c>
      <c r="J26" s="1500">
        <f t="shared" si="2"/>
        <v>0</v>
      </c>
      <c r="L26" s="1500"/>
      <c r="M26" s="1844"/>
      <c r="N26" s="1844"/>
      <c r="O26" s="1844"/>
    </row>
    <row r="27" spans="1:15" ht="18.75" x14ac:dyDescent="0.2">
      <c r="A27" s="1486" t="s">
        <v>1518</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1519</v>
      </c>
      <c r="B28" s="1487"/>
      <c r="C28" s="1488" t="s">
        <v>2029</v>
      </c>
      <c r="D28" s="1488" t="s">
        <v>2029</v>
      </c>
      <c r="E28" s="1491"/>
      <c r="F28" s="1490" t="s">
        <v>2199</v>
      </c>
      <c r="G28" s="1500"/>
      <c r="H28" s="1500">
        <f t="shared" si="0"/>
        <v>5</v>
      </c>
      <c r="I28" s="1500">
        <f t="shared" si="1"/>
        <v>5</v>
      </c>
      <c r="J28" s="1500">
        <f t="shared" si="2"/>
        <v>0</v>
      </c>
      <c r="L28" s="1500"/>
      <c r="M28" s="1844"/>
      <c r="N28" s="1844"/>
      <c r="O28" s="1844"/>
    </row>
    <row r="29" spans="1:15" ht="12" customHeight="1" x14ac:dyDescent="0.2">
      <c r="A29" s="1486" t="s">
        <v>1520</v>
      </c>
      <c r="B29" s="1487"/>
      <c r="C29" s="1488"/>
      <c r="D29" s="1488"/>
      <c r="E29" s="1491"/>
      <c r="F29" s="1490"/>
      <c r="G29" s="1500"/>
      <c r="H29" s="1500">
        <f t="shared" si="0"/>
        <v>0</v>
      </c>
      <c r="I29" s="1500">
        <f t="shared" si="1"/>
        <v>0</v>
      </c>
      <c r="J29" s="1500">
        <f t="shared" si="2"/>
        <v>0</v>
      </c>
      <c r="L29" s="1500"/>
      <c r="M29" s="1844"/>
      <c r="N29" s="1844"/>
      <c r="O29" s="1844"/>
    </row>
    <row r="30" spans="1:15" ht="12" customHeight="1" x14ac:dyDescent="0.2">
      <c r="A30" s="1486" t="s">
        <v>1521</v>
      </c>
      <c r="B30" s="1487"/>
      <c r="C30" s="1488" t="s">
        <v>2029</v>
      </c>
      <c r="D30" s="1488" t="s">
        <v>2029</v>
      </c>
      <c r="E30" s="1491"/>
      <c r="F30" s="1490" t="s">
        <v>2200</v>
      </c>
      <c r="G30" s="1500"/>
      <c r="H30" s="1500">
        <f t="shared" si="0"/>
        <v>5</v>
      </c>
      <c r="I30" s="1500">
        <f t="shared" si="1"/>
        <v>5</v>
      </c>
      <c r="J30" s="1500">
        <f t="shared" si="2"/>
        <v>0</v>
      </c>
      <c r="L30" s="1500"/>
      <c r="M30" s="1844"/>
      <c r="N30" s="1844"/>
      <c r="O30" s="1844"/>
    </row>
    <row r="31" spans="1:15" ht="12" customHeight="1" x14ac:dyDescent="0.2">
      <c r="A31" s="1486" t="s">
        <v>1522</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1523</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1524</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35</v>
      </c>
      <c r="I34" s="1500">
        <f>SUM(I11:I32)</f>
        <v>35</v>
      </c>
      <c r="J34" s="1500">
        <f>SUM(J11:J32)</f>
        <v>0</v>
      </c>
      <c r="K34" s="1500">
        <f>SUM(H34:J34)</f>
        <v>70</v>
      </c>
      <c r="L34" s="1500"/>
      <c r="M34" s="1844"/>
      <c r="N34" s="1844"/>
      <c r="O34" s="1844"/>
    </row>
    <row r="35" spans="1:15" ht="12" customHeight="1" x14ac:dyDescent="0.2">
      <c r="A35" s="1493" t="s">
        <v>1376</v>
      </c>
      <c r="B35" s="1494"/>
      <c r="C35" s="2431"/>
      <c r="D35" s="2431"/>
      <c r="E35" s="2431"/>
      <c r="F35" s="2432"/>
    </row>
    <row r="36" spans="1:15" ht="12" customHeight="1" x14ac:dyDescent="0.2">
      <c r="A36" s="2422"/>
      <c r="B36" s="2423"/>
      <c r="C36" s="2423"/>
      <c r="D36" s="2423"/>
      <c r="E36" s="2423"/>
      <c r="F36" s="2424"/>
    </row>
    <row r="37" spans="1:15" ht="12" customHeight="1" x14ac:dyDescent="0.2">
      <c r="A37" s="2422"/>
      <c r="B37" s="2423"/>
      <c r="C37" s="2423"/>
      <c r="D37" s="2423"/>
      <c r="E37" s="2423"/>
      <c r="F37" s="2424"/>
    </row>
    <row r="38" spans="1:15" ht="12" customHeight="1" x14ac:dyDescent="0.2">
      <c r="A38" s="2436"/>
      <c r="B38" s="2437"/>
      <c r="C38" s="2437"/>
      <c r="D38" s="2437"/>
      <c r="E38" s="2437"/>
      <c r="F38" s="2438"/>
    </row>
    <row r="39" spans="1:15" ht="4.5" hidden="1" customHeight="1" x14ac:dyDescent="0.2">
      <c r="A39" s="1495"/>
      <c r="B39" s="1495"/>
      <c r="C39" s="1495"/>
      <c r="D39" s="1495"/>
      <c r="E39" s="1495"/>
      <c r="F39" s="1495"/>
    </row>
    <row r="40" spans="1:15" s="1492" customFormat="1" ht="12" customHeight="1" x14ac:dyDescent="0.25">
      <c r="A40" s="1496" t="s">
        <v>1375</v>
      </c>
      <c r="B40" s="1497"/>
      <c r="C40" s="2439"/>
      <c r="D40" s="2439"/>
      <c r="E40" s="2439"/>
      <c r="F40" s="2440"/>
      <c r="H40" s="1501"/>
      <c r="I40" s="1501"/>
      <c r="J40" s="1501"/>
      <c r="K40" s="1501"/>
    </row>
    <row r="41" spans="1:15" s="1492" customFormat="1" ht="12" customHeight="1" x14ac:dyDescent="0.25">
      <c r="A41" s="2441"/>
      <c r="B41" s="2442"/>
      <c r="C41" s="2442"/>
      <c r="D41" s="2442"/>
      <c r="E41" s="2442"/>
      <c r="F41" s="2443"/>
      <c r="H41" s="1501"/>
      <c r="I41" s="1501"/>
      <c r="J41" s="1501"/>
      <c r="K41" s="1501"/>
    </row>
    <row r="42" spans="1:15" s="1492" customFormat="1" ht="12" customHeight="1" x14ac:dyDescent="0.25">
      <c r="A42" s="2441"/>
      <c r="B42" s="2442"/>
      <c r="C42" s="2442"/>
      <c r="D42" s="2442"/>
      <c r="E42" s="2442"/>
      <c r="F42" s="2443"/>
      <c r="H42" s="1501"/>
      <c r="I42" s="1501"/>
      <c r="J42" s="1501"/>
      <c r="K42" s="1501"/>
    </row>
    <row r="43" spans="1:15" s="1492" customFormat="1" ht="15" x14ac:dyDescent="0.25">
      <c r="A43" s="2433"/>
      <c r="B43" s="2434"/>
      <c r="C43" s="2434"/>
      <c r="D43" s="2434"/>
      <c r="E43" s="2434"/>
      <c r="F43" s="2435"/>
      <c r="H43" s="1501"/>
      <c r="I43" s="1501"/>
      <c r="J43" s="1501"/>
      <c r="K43" s="1501"/>
    </row>
    <row r="44" spans="1:15" s="1492" customFormat="1" ht="12" hidden="1" customHeight="1" x14ac:dyDescent="0.25">
      <c r="A44" s="2433"/>
      <c r="B44" s="2434"/>
      <c r="C44" s="2434"/>
      <c r="D44" s="2434"/>
      <c r="E44" s="2434"/>
      <c r="F44" s="2435"/>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3D400-21D2-440F-BA36-BE155F17A8A3}">
  <sheetPr>
    <tabColor rgb="FF92D050"/>
  </sheetPr>
  <dimension ref="A1:N72"/>
  <sheetViews>
    <sheetView showGridLines="0" topLeftCell="A34" zoomScale="80" zoomScaleNormal="80" workbookViewId="0">
      <selection activeCell="E67" sqref="E67"/>
    </sheetView>
  </sheetViews>
  <sheetFormatPr defaultColWidth="9.140625" defaultRowHeight="15" x14ac:dyDescent="0.25"/>
  <cols>
    <col min="1" max="1" width="2.7109375" style="1944" customWidth="1"/>
    <col min="2" max="2" width="3" style="1944" customWidth="1"/>
    <col min="3" max="3" width="38" style="1944" customWidth="1"/>
    <col min="4" max="4" width="7.7109375" style="1944" customWidth="1"/>
    <col min="5" max="5" width="10.7109375" style="1944" customWidth="1"/>
    <col min="6" max="6" width="11" style="1944" customWidth="1"/>
    <col min="7" max="8" width="9.140625" style="1944"/>
    <col min="9" max="9" width="10.85546875" style="1944" customWidth="1"/>
    <col min="10" max="10" width="12.42578125" style="1944" customWidth="1"/>
    <col min="11" max="11" width="9.140625" style="1944"/>
    <col min="12" max="12" width="13.140625" style="1944" customWidth="1"/>
    <col min="13" max="13" width="9.140625" style="1944"/>
    <col min="14" max="14" width="17.85546875" style="1944" customWidth="1"/>
    <col min="15" max="16384" width="9.140625" style="1944"/>
  </cols>
  <sheetData>
    <row r="1" spans="1:14" x14ac:dyDescent="0.25">
      <c r="A1" s="2058"/>
      <c r="B1" s="2055"/>
      <c r="C1" s="2055"/>
      <c r="D1" s="2055"/>
      <c r="E1" s="2055"/>
      <c r="F1" s="2055"/>
      <c r="G1" s="2057" t="s">
        <v>402</v>
      </c>
      <c r="H1" s="2056"/>
      <c r="I1" s="2055"/>
      <c r="J1" s="2055"/>
      <c r="K1" s="2055"/>
      <c r="L1" s="2055"/>
      <c r="M1" s="2055"/>
      <c r="N1" s="2054"/>
    </row>
    <row r="2" spans="1:14" x14ac:dyDescent="0.25">
      <c r="A2" s="1987"/>
      <c r="B2" s="847"/>
      <c r="C2" s="847"/>
      <c r="D2" s="847"/>
      <c r="E2" s="847"/>
      <c r="F2" s="847"/>
      <c r="G2" s="1943" t="s">
        <v>1999</v>
      </c>
      <c r="H2" s="2053"/>
      <c r="I2" s="847"/>
      <c r="J2" s="847"/>
      <c r="K2" s="847"/>
      <c r="L2" s="847"/>
      <c r="M2" s="847"/>
      <c r="N2" s="1986"/>
    </row>
    <row r="3" spans="1:14" x14ac:dyDescent="0.25">
      <c r="A3" s="1987"/>
      <c r="B3" s="847"/>
      <c r="C3" s="847"/>
      <c r="D3" s="847"/>
      <c r="E3" s="847"/>
      <c r="F3" s="847"/>
      <c r="G3" s="1943" t="s">
        <v>403</v>
      </c>
      <c r="H3" s="847"/>
      <c r="I3" s="847"/>
      <c r="J3" s="847"/>
      <c r="K3" s="847"/>
      <c r="L3" s="847"/>
      <c r="M3" s="847"/>
      <c r="N3" s="1986"/>
    </row>
    <row r="4" spans="1:14" x14ac:dyDescent="0.25">
      <c r="A4" s="1987"/>
      <c r="B4" s="847"/>
      <c r="C4" s="847"/>
      <c r="D4" s="847"/>
      <c r="E4" s="847"/>
      <c r="F4" s="847"/>
      <c r="G4" s="1943" t="s">
        <v>863</v>
      </c>
      <c r="H4" s="847"/>
      <c r="I4" s="847"/>
      <c r="J4" s="847"/>
      <c r="K4" s="847"/>
      <c r="L4" s="847"/>
      <c r="M4" s="847"/>
      <c r="N4" s="1986"/>
    </row>
    <row r="5" spans="1:14" x14ac:dyDescent="0.25">
      <c r="A5" s="1987"/>
      <c r="B5" s="847"/>
      <c r="C5" s="847"/>
      <c r="D5" s="847"/>
      <c r="E5" s="847"/>
      <c r="F5" s="1943"/>
      <c r="G5" s="1943"/>
      <c r="H5" s="847"/>
      <c r="I5" s="847"/>
      <c r="J5" s="847"/>
      <c r="K5" s="847"/>
      <c r="L5" s="847"/>
      <c r="M5" s="847"/>
      <c r="N5" s="1986"/>
    </row>
    <row r="6" spans="1:14" x14ac:dyDescent="0.25">
      <c r="A6" s="2052" t="s">
        <v>667</v>
      </c>
      <c r="B6" s="1370"/>
      <c r="C6" s="1370"/>
      <c r="D6" s="1370"/>
      <c r="E6" s="1371"/>
      <c r="F6" s="2051"/>
      <c r="G6" s="1943"/>
      <c r="H6" s="847"/>
      <c r="I6" s="1975" t="s">
        <v>1021</v>
      </c>
      <c r="J6" s="2444" t="str">
        <f>COVER!A17</f>
        <v xml:space="preserve">  McHenry CCSD 15</v>
      </c>
      <c r="K6" s="2444"/>
      <c r="L6" s="2445"/>
      <c r="M6" s="847"/>
      <c r="N6" s="1986"/>
    </row>
    <row r="7" spans="1:14" x14ac:dyDescent="0.25">
      <c r="A7" s="2446" t="s">
        <v>864</v>
      </c>
      <c r="B7" s="2447"/>
      <c r="C7" s="2447"/>
      <c r="D7" s="2447"/>
      <c r="E7" s="2448"/>
      <c r="F7" s="2050"/>
      <c r="G7" s="847"/>
      <c r="H7" s="847"/>
      <c r="I7" s="1975" t="s">
        <v>369</v>
      </c>
      <c r="J7" s="2449">
        <f>COVER!A13</f>
        <v>44063015004</v>
      </c>
      <c r="K7" s="2449"/>
      <c r="L7" s="2449"/>
      <c r="M7" s="847"/>
      <c r="N7" s="1986"/>
    </row>
    <row r="8" spans="1:14" x14ac:dyDescent="0.25">
      <c r="A8" s="2049"/>
      <c r="B8" s="2048"/>
      <c r="C8" s="2048"/>
      <c r="D8" s="2048"/>
      <c r="E8" s="2047"/>
      <c r="F8" s="2046"/>
      <c r="G8" s="2045"/>
      <c r="H8" s="2045"/>
      <c r="I8" s="2045"/>
      <c r="J8" s="2045"/>
      <c r="K8" s="2045"/>
      <c r="L8" s="2045"/>
      <c r="M8" s="847"/>
      <c r="N8" s="1986"/>
    </row>
    <row r="9" spans="1:14" x14ac:dyDescent="0.25">
      <c r="A9" s="2044"/>
      <c r="B9" s="2043"/>
      <c r="C9" s="2043"/>
      <c r="D9" s="2042"/>
      <c r="E9" s="2041" t="s">
        <v>2190</v>
      </c>
      <c r="F9" s="2039"/>
      <c r="G9" s="2039"/>
      <c r="H9" s="2039"/>
      <c r="I9" s="2040" t="s">
        <v>2189</v>
      </c>
      <c r="J9" s="2039"/>
      <c r="K9" s="2039"/>
      <c r="L9" s="2038"/>
      <c r="M9" s="847"/>
      <c r="N9" s="1986"/>
    </row>
    <row r="10" spans="1:14" x14ac:dyDescent="0.25">
      <c r="A10" s="1987"/>
      <c r="B10" s="847"/>
      <c r="C10" s="1943"/>
      <c r="D10" s="2037"/>
      <c r="E10" s="2036" t="s">
        <v>422</v>
      </c>
      <c r="F10" s="2033" t="s">
        <v>423</v>
      </c>
      <c r="G10" s="2034" t="s">
        <v>429</v>
      </c>
      <c r="H10" s="2035"/>
      <c r="I10" s="2033" t="s">
        <v>422</v>
      </c>
      <c r="J10" s="2033" t="s">
        <v>423</v>
      </c>
      <c r="K10" s="2034" t="s">
        <v>429</v>
      </c>
      <c r="L10" s="2033"/>
      <c r="M10" s="847"/>
      <c r="N10" s="1986"/>
    </row>
    <row r="11" spans="1:14" ht="51" x14ac:dyDescent="0.25">
      <c r="A11" s="2450" t="s">
        <v>478</v>
      </c>
      <c r="B11" s="2451"/>
      <c r="C11" s="2452"/>
      <c r="D11" s="2032" t="s">
        <v>866</v>
      </c>
      <c r="E11" s="2032" t="s">
        <v>64</v>
      </c>
      <c r="F11" s="2032" t="s">
        <v>6</v>
      </c>
      <c r="G11" s="2031" t="s">
        <v>2188</v>
      </c>
      <c r="H11" s="2030" t="s">
        <v>155</v>
      </c>
      <c r="I11" s="2032" t="s">
        <v>64</v>
      </c>
      <c r="J11" s="2032" t="s">
        <v>6</v>
      </c>
      <c r="K11" s="2031" t="s">
        <v>1998</v>
      </c>
      <c r="L11" s="2030" t="s">
        <v>155</v>
      </c>
      <c r="M11" s="847"/>
      <c r="N11" s="1986"/>
    </row>
    <row r="12" spans="1:14" x14ac:dyDescent="0.25">
      <c r="A12" s="2016">
        <v>1</v>
      </c>
      <c r="B12" s="2028" t="s">
        <v>813</v>
      </c>
      <c r="C12" s="2027"/>
      <c r="D12" s="2026">
        <v>2320</v>
      </c>
      <c r="E12" s="2025">
        <f>'Expenditures 15-22'!K50</f>
        <v>660498</v>
      </c>
      <c r="F12" s="2023"/>
      <c r="G12" s="2024">
        <f>G68</f>
        <v>0</v>
      </c>
      <c r="H12" s="2020">
        <f t="shared" ref="H12:H18" si="0">SUM(E12:G12)</f>
        <v>660498</v>
      </c>
      <c r="I12" s="2021">
        <v>708000</v>
      </c>
      <c r="J12" s="2023"/>
      <c r="K12" s="2021"/>
      <c r="L12" s="2020">
        <f t="shared" ref="L12:L18" si="1">SUM(I12:K12)</f>
        <v>708000</v>
      </c>
      <c r="M12" s="847"/>
      <c r="N12" s="1986"/>
    </row>
    <row r="13" spans="1:14" x14ac:dyDescent="0.25">
      <c r="A13" s="2016">
        <v>2</v>
      </c>
      <c r="B13" s="2028" t="s">
        <v>42</v>
      </c>
      <c r="C13" s="2027"/>
      <c r="D13" s="2026">
        <v>2330</v>
      </c>
      <c r="E13" s="2025">
        <f>'Expenditures 15-22'!K51</f>
        <v>0</v>
      </c>
      <c r="F13" s="2023"/>
      <c r="G13" s="2024">
        <f>H68</f>
        <v>0</v>
      </c>
      <c r="H13" s="2020">
        <f t="shared" si="0"/>
        <v>0</v>
      </c>
      <c r="I13" s="2021"/>
      <c r="J13" s="2023"/>
      <c r="K13" s="2021"/>
      <c r="L13" s="2020">
        <f t="shared" si="1"/>
        <v>0</v>
      </c>
      <c r="M13" s="847"/>
      <c r="N13" s="1986"/>
    </row>
    <row r="14" spans="1:14" x14ac:dyDescent="0.25">
      <c r="A14" s="2016">
        <v>3</v>
      </c>
      <c r="B14" s="2028" t="s">
        <v>43</v>
      </c>
      <c r="C14" s="2027"/>
      <c r="D14" s="2029">
        <v>2490</v>
      </c>
      <c r="E14" s="2025">
        <f>'Expenditures 15-22'!K56</f>
        <v>138557</v>
      </c>
      <c r="F14" s="2023"/>
      <c r="G14" s="2024">
        <f>I68</f>
        <v>0</v>
      </c>
      <c r="H14" s="2020">
        <f t="shared" si="0"/>
        <v>138557</v>
      </c>
      <c r="I14" s="2021">
        <v>133000</v>
      </c>
      <c r="J14" s="2023"/>
      <c r="K14" s="2021"/>
      <c r="L14" s="2020">
        <f t="shared" si="1"/>
        <v>133000</v>
      </c>
      <c r="M14" s="847"/>
      <c r="N14" s="1986"/>
    </row>
    <row r="15" spans="1:14" x14ac:dyDescent="0.25">
      <c r="A15" s="2016">
        <v>4</v>
      </c>
      <c r="B15" s="2028" t="s">
        <v>1059</v>
      </c>
      <c r="C15" s="2027"/>
      <c r="D15" s="2026">
        <v>2510</v>
      </c>
      <c r="E15" s="2025">
        <f>'Expenditures 15-22'!K59</f>
        <v>191806</v>
      </c>
      <c r="F15" s="2025">
        <f>'Expenditures 15-22'!K122</f>
        <v>0</v>
      </c>
      <c r="G15" s="2024">
        <f>J68</f>
        <v>0</v>
      </c>
      <c r="H15" s="2020">
        <f t="shared" si="0"/>
        <v>191806</v>
      </c>
      <c r="I15" s="2021">
        <v>217000</v>
      </c>
      <c r="J15" s="2021"/>
      <c r="K15" s="2021"/>
      <c r="L15" s="2020">
        <f t="shared" si="1"/>
        <v>217000</v>
      </c>
      <c r="M15" s="847"/>
      <c r="N15" s="1986"/>
    </row>
    <row r="16" spans="1:14" x14ac:dyDescent="0.25">
      <c r="A16" s="2016">
        <v>5</v>
      </c>
      <c r="B16" s="2028" t="s">
        <v>101</v>
      </c>
      <c r="C16" s="2027"/>
      <c r="D16" s="2026">
        <v>2570</v>
      </c>
      <c r="E16" s="2025">
        <f>'Expenditures 15-22'!K64</f>
        <v>0</v>
      </c>
      <c r="F16" s="2023"/>
      <c r="G16" s="2024">
        <f>K68</f>
        <v>0</v>
      </c>
      <c r="H16" s="2020">
        <f t="shared" si="0"/>
        <v>0</v>
      </c>
      <c r="I16" s="2021"/>
      <c r="J16" s="2023"/>
      <c r="K16" s="2021"/>
      <c r="L16" s="2020">
        <f t="shared" si="1"/>
        <v>0</v>
      </c>
      <c r="M16" s="847"/>
      <c r="N16" s="1986"/>
    </row>
    <row r="17" spans="1:14" x14ac:dyDescent="0.25">
      <c r="A17" s="2016">
        <v>6</v>
      </c>
      <c r="B17" s="2028" t="s">
        <v>1051</v>
      </c>
      <c r="C17" s="2027"/>
      <c r="D17" s="2026">
        <v>2610</v>
      </c>
      <c r="E17" s="2025">
        <f>'Expenditures 15-22'!K67</f>
        <v>0</v>
      </c>
      <c r="F17" s="2023"/>
      <c r="G17" s="2024">
        <f>L68</f>
        <v>0</v>
      </c>
      <c r="H17" s="2020">
        <f t="shared" si="0"/>
        <v>0</v>
      </c>
      <c r="I17" s="2021"/>
      <c r="J17" s="2023"/>
      <c r="K17" s="2021"/>
      <c r="L17" s="2020">
        <f t="shared" si="1"/>
        <v>0</v>
      </c>
      <c r="M17" s="847"/>
      <c r="N17" s="1986"/>
    </row>
    <row r="18" spans="1:14" ht="28.5" customHeight="1" x14ac:dyDescent="0.25">
      <c r="A18" s="2022">
        <v>7</v>
      </c>
      <c r="B18" s="2453" t="s">
        <v>7</v>
      </c>
      <c r="C18" s="2453"/>
      <c r="D18" s="2454"/>
      <c r="E18" s="2021"/>
      <c r="F18" s="2021"/>
      <c r="G18" s="2021"/>
      <c r="H18" s="2020">
        <f t="shared" si="0"/>
        <v>0</v>
      </c>
      <c r="I18" s="2021"/>
      <c r="J18" s="2021"/>
      <c r="K18" s="2021"/>
      <c r="L18" s="2020">
        <f t="shared" si="1"/>
        <v>0</v>
      </c>
      <c r="M18" s="847"/>
      <c r="N18" s="1986"/>
    </row>
    <row r="19" spans="1:14" ht="15.75" thickBot="1" x14ac:dyDescent="0.3">
      <c r="A19" s="2016">
        <v>8</v>
      </c>
      <c r="B19" s="2019" t="s">
        <v>1151</v>
      </c>
      <c r="C19" s="847"/>
      <c r="D19" s="2018"/>
      <c r="E19" s="2017">
        <f t="shared" ref="E19:L19" si="2">SUM(E12:E17)-E18</f>
        <v>990861</v>
      </c>
      <c r="F19" s="2017">
        <f t="shared" si="2"/>
        <v>0</v>
      </c>
      <c r="G19" s="2017">
        <f t="shared" si="2"/>
        <v>0</v>
      </c>
      <c r="H19" s="2017">
        <f t="shared" si="2"/>
        <v>990861</v>
      </c>
      <c r="I19" s="2017">
        <f t="shared" si="2"/>
        <v>1058000</v>
      </c>
      <c r="J19" s="2017">
        <f t="shared" si="2"/>
        <v>0</v>
      </c>
      <c r="K19" s="2017">
        <f t="shared" si="2"/>
        <v>0</v>
      </c>
      <c r="L19" s="2017">
        <f t="shared" si="2"/>
        <v>1058000</v>
      </c>
      <c r="M19" s="847"/>
      <c r="N19" s="1986"/>
    </row>
    <row r="20" spans="1:14" ht="15.75" thickTop="1" x14ac:dyDescent="0.25">
      <c r="A20" s="2016">
        <v>9</v>
      </c>
      <c r="B20" s="2459" t="s">
        <v>2187</v>
      </c>
      <c r="C20" s="2459"/>
      <c r="D20" s="2460"/>
      <c r="E20" s="2015"/>
      <c r="F20" s="2015"/>
      <c r="G20" s="2015"/>
      <c r="H20" s="2015"/>
      <c r="I20" s="2015"/>
      <c r="J20" s="2015"/>
      <c r="K20" s="2015"/>
      <c r="L20" s="2014">
        <f>IF(AND(H19&gt;0,L19&gt;0),(((L19-H19)/H19)),"Enter Budget Data")</f>
        <v>6.7758242578928832E-2</v>
      </c>
      <c r="M20" s="847"/>
      <c r="N20" s="1986"/>
    </row>
    <row r="21" spans="1:14" x14ac:dyDescent="0.25">
      <c r="A21" s="2013" t="s">
        <v>194</v>
      </c>
      <c r="B21" s="294" t="s">
        <v>2186</v>
      </c>
      <c r="C21" s="847"/>
      <c r="D21" s="1997"/>
      <c r="E21" s="1996"/>
      <c r="F21" s="2012"/>
      <c r="G21" s="2012"/>
      <c r="H21" s="2012"/>
      <c r="I21" s="2012"/>
      <c r="J21" s="2012"/>
      <c r="K21" s="2012"/>
      <c r="L21" s="2011"/>
      <c r="M21" s="847"/>
      <c r="N21" s="1986"/>
    </row>
    <row r="22" spans="1:14" x14ac:dyDescent="0.25">
      <c r="A22" s="1987"/>
      <c r="B22" s="1999"/>
      <c r="C22" s="847"/>
      <c r="D22" s="847"/>
      <c r="E22" s="847"/>
      <c r="F22" s="847"/>
      <c r="G22" s="847"/>
      <c r="H22" s="847"/>
      <c r="I22" s="847"/>
      <c r="J22" s="847"/>
      <c r="K22" s="847"/>
      <c r="L22" s="847"/>
      <c r="M22" s="847"/>
      <c r="N22" s="1986"/>
    </row>
    <row r="23" spans="1:14" x14ac:dyDescent="0.25">
      <c r="A23" s="2010" t="s">
        <v>132</v>
      </c>
      <c r="B23" s="1999"/>
      <c r="C23" s="847"/>
      <c r="D23" s="847"/>
      <c r="E23" s="847"/>
      <c r="F23" s="847"/>
      <c r="G23" s="847"/>
      <c r="H23" s="847"/>
      <c r="I23" s="847"/>
      <c r="J23" s="847"/>
      <c r="K23" s="847"/>
      <c r="L23" s="847"/>
      <c r="M23" s="847"/>
      <c r="N23" s="1986"/>
    </row>
    <row r="24" spans="1:14" x14ac:dyDescent="0.25">
      <c r="A24" s="2009" t="s">
        <v>2185</v>
      </c>
      <c r="B24" s="2008"/>
      <c r="C24" s="2007"/>
      <c r="D24" s="2007"/>
      <c r="E24" s="2007"/>
      <c r="F24" s="2007"/>
      <c r="G24" s="2007"/>
      <c r="H24" s="2007"/>
      <c r="I24" s="2007"/>
      <c r="J24" s="2007"/>
      <c r="K24" s="2007"/>
      <c r="L24" s="847"/>
      <c r="M24" s="847"/>
      <c r="N24" s="1986"/>
    </row>
    <row r="25" spans="1:14" x14ac:dyDescent="0.25">
      <c r="A25" s="2009" t="s">
        <v>2184</v>
      </c>
      <c r="B25" s="2008"/>
      <c r="C25" s="2007"/>
      <c r="D25" s="2007"/>
      <c r="E25" s="2007"/>
      <c r="F25" s="2007"/>
      <c r="G25" s="2007"/>
      <c r="H25" s="2007"/>
      <c r="I25" s="2007"/>
      <c r="J25" s="2007"/>
      <c r="K25" s="2007"/>
      <c r="L25" s="847"/>
      <c r="M25" s="847"/>
      <c r="N25" s="1986"/>
    </row>
    <row r="26" spans="1:14" x14ac:dyDescent="0.25">
      <c r="A26" s="2006"/>
      <c r="B26" s="1999"/>
      <c r="C26" s="847"/>
      <c r="D26" s="847"/>
      <c r="E26" s="847"/>
      <c r="F26" s="847"/>
      <c r="G26" s="847"/>
      <c r="H26" s="847"/>
      <c r="I26" s="847"/>
      <c r="J26" s="847"/>
      <c r="K26" s="847"/>
      <c r="L26" s="847"/>
      <c r="M26" s="847"/>
      <c r="N26" s="1986"/>
    </row>
    <row r="27" spans="1:14" x14ac:dyDescent="0.25">
      <c r="A27" s="1987"/>
      <c r="B27" s="1999"/>
      <c r="C27" s="2461"/>
      <c r="D27" s="2461"/>
      <c r="E27" s="2005"/>
      <c r="F27" s="2462"/>
      <c r="G27" s="2462"/>
      <c r="H27" s="2462"/>
      <c r="I27" s="847"/>
      <c r="J27" s="847"/>
      <c r="K27" s="847"/>
      <c r="L27" s="847"/>
      <c r="M27" s="847"/>
      <c r="N27" s="1986"/>
    </row>
    <row r="28" spans="1:14" x14ac:dyDescent="0.25">
      <c r="A28" s="1987"/>
      <c r="B28" s="1999"/>
      <c r="C28" s="2004" t="s">
        <v>1026</v>
      </c>
      <c r="D28" s="2003"/>
      <c r="E28" s="2002"/>
      <c r="F28" s="2463" t="s">
        <v>1492</v>
      </c>
      <c r="G28" s="2463"/>
      <c r="H28" s="2463"/>
      <c r="I28" s="847"/>
      <c r="J28" s="847"/>
      <c r="K28" s="847"/>
      <c r="L28" s="847"/>
      <c r="M28" s="847"/>
      <c r="N28" s="1986"/>
    </row>
    <row r="29" spans="1:14" x14ac:dyDescent="0.25">
      <c r="A29" s="1987"/>
      <c r="B29" s="1999"/>
      <c r="C29" s="2464"/>
      <c r="D29" s="2464"/>
      <c r="E29" s="846"/>
      <c r="F29" s="2464"/>
      <c r="G29" s="2464"/>
      <c r="H29" s="2464"/>
      <c r="I29" s="847"/>
      <c r="J29" s="847"/>
      <c r="K29" s="847"/>
      <c r="L29" s="847"/>
      <c r="M29" s="847"/>
      <c r="N29" s="1986"/>
    </row>
    <row r="30" spans="1:14" x14ac:dyDescent="0.25">
      <c r="A30" s="1987"/>
      <c r="B30" s="1999"/>
      <c r="C30" s="2001" t="s">
        <v>1544</v>
      </c>
      <c r="D30" s="847"/>
      <c r="E30" s="2000"/>
      <c r="F30" s="2455" t="s">
        <v>1493</v>
      </c>
      <c r="G30" s="2455"/>
      <c r="H30" s="2455"/>
      <c r="I30" s="847"/>
      <c r="J30" s="847"/>
      <c r="K30" s="847"/>
      <c r="L30" s="847"/>
      <c r="M30" s="847"/>
      <c r="N30" s="1986"/>
    </row>
    <row r="31" spans="1:14" x14ac:dyDescent="0.25">
      <c r="A31" s="1987"/>
      <c r="B31" s="1999"/>
      <c r="C31" s="1998"/>
      <c r="D31" s="847"/>
      <c r="E31" s="1997"/>
      <c r="F31" s="1996"/>
      <c r="G31" s="1996"/>
      <c r="H31" s="1996"/>
      <c r="I31" s="847"/>
      <c r="J31" s="847"/>
      <c r="K31" s="847"/>
      <c r="L31" s="847"/>
      <c r="M31" s="847"/>
      <c r="N31" s="1986"/>
    </row>
    <row r="32" spans="1:14" x14ac:dyDescent="0.25">
      <c r="A32" s="1987"/>
      <c r="B32" s="1995" t="s">
        <v>1027</v>
      </c>
      <c r="C32" s="847"/>
      <c r="D32" s="847"/>
      <c r="E32" s="847"/>
      <c r="F32" s="847"/>
      <c r="G32" s="847"/>
      <c r="H32" s="847"/>
      <c r="I32" s="847"/>
      <c r="J32" s="847"/>
      <c r="K32" s="847"/>
      <c r="L32" s="847"/>
      <c r="M32" s="847"/>
      <c r="N32" s="1986"/>
    </row>
    <row r="33" spans="1:14" x14ac:dyDescent="0.25">
      <c r="A33" s="1987"/>
      <c r="B33" s="1994"/>
      <c r="C33" s="847"/>
      <c r="D33" s="847"/>
      <c r="E33" s="847"/>
      <c r="F33" s="847"/>
      <c r="G33" s="847"/>
      <c r="H33" s="847"/>
      <c r="I33" s="847"/>
      <c r="J33" s="847"/>
      <c r="K33" s="847"/>
      <c r="L33" s="847"/>
      <c r="M33" s="847"/>
      <c r="N33" s="1986"/>
    </row>
    <row r="34" spans="1:14" x14ac:dyDescent="0.25">
      <c r="A34" s="1987"/>
      <c r="B34" s="1989"/>
      <c r="C34" s="2456" t="s">
        <v>2183</v>
      </c>
      <c r="D34" s="2456"/>
      <c r="E34" s="2456"/>
      <c r="F34" s="2456"/>
      <c r="G34" s="2456"/>
      <c r="H34" s="2456"/>
      <c r="I34" s="2456"/>
      <c r="J34" s="2456"/>
      <c r="K34" s="1993"/>
      <c r="L34" s="847"/>
      <c r="M34" s="847"/>
      <c r="N34" s="1986"/>
    </row>
    <row r="35" spans="1:14" x14ac:dyDescent="0.25">
      <c r="A35" s="1987"/>
      <c r="B35" s="847"/>
      <c r="C35" s="2456"/>
      <c r="D35" s="2456"/>
      <c r="E35" s="2456"/>
      <c r="F35" s="2456"/>
      <c r="G35" s="2456"/>
      <c r="H35" s="2456"/>
      <c r="I35" s="2456"/>
      <c r="J35" s="2456"/>
      <c r="K35" s="1993"/>
      <c r="L35" s="847"/>
      <c r="M35" s="847"/>
      <c r="N35" s="1986"/>
    </row>
    <row r="36" spans="1:14" x14ac:dyDescent="0.25">
      <c r="A36" s="1987"/>
      <c r="B36" s="847"/>
      <c r="C36" s="1992"/>
      <c r="D36" s="847"/>
      <c r="E36" s="847"/>
      <c r="F36" s="847"/>
      <c r="G36" s="847"/>
      <c r="H36" s="847"/>
      <c r="I36" s="847"/>
      <c r="J36" s="847"/>
      <c r="K36" s="847"/>
      <c r="L36" s="847"/>
      <c r="M36" s="847"/>
      <c r="N36" s="1986"/>
    </row>
    <row r="37" spans="1:14" x14ac:dyDescent="0.25">
      <c r="A37" s="1987"/>
      <c r="B37" s="1989"/>
      <c r="C37" s="2456" t="s">
        <v>2182</v>
      </c>
      <c r="D37" s="2456"/>
      <c r="E37" s="2456"/>
      <c r="F37" s="2456"/>
      <c r="G37" s="2456"/>
      <c r="H37" s="2456"/>
      <c r="I37" s="2456"/>
      <c r="J37" s="2456"/>
      <c r="K37" s="1993"/>
      <c r="L37" s="838"/>
      <c r="M37" s="847"/>
      <c r="N37" s="1986"/>
    </row>
    <row r="38" spans="1:14" x14ac:dyDescent="0.25">
      <c r="A38" s="1987"/>
      <c r="B38" s="847"/>
      <c r="C38" s="2456"/>
      <c r="D38" s="2456"/>
      <c r="E38" s="2456"/>
      <c r="F38" s="2456"/>
      <c r="G38" s="2456"/>
      <c r="H38" s="2456"/>
      <c r="I38" s="2456"/>
      <c r="J38" s="2456"/>
      <c r="K38" s="1993"/>
      <c r="L38" s="838"/>
      <c r="M38" s="847"/>
      <c r="N38" s="1986"/>
    </row>
    <row r="39" spans="1:14" x14ac:dyDescent="0.25">
      <c r="A39" s="1987"/>
      <c r="B39" s="847"/>
      <c r="C39" s="1992"/>
      <c r="D39" s="847"/>
      <c r="E39" s="1990"/>
      <c r="F39" s="1991"/>
      <c r="G39" s="1991"/>
      <c r="H39" s="1990"/>
      <c r="I39" s="847"/>
      <c r="J39" s="847"/>
      <c r="K39" s="847"/>
      <c r="L39" s="847"/>
      <c r="M39" s="847"/>
      <c r="N39" s="1986"/>
    </row>
    <row r="40" spans="1:14" x14ac:dyDescent="0.25">
      <c r="A40" s="1987"/>
      <c r="B40" s="1989" t="s">
        <v>2027</v>
      </c>
      <c r="C40" s="2457" t="s">
        <v>2181</v>
      </c>
      <c r="D40" s="2458"/>
      <c r="E40" s="2458"/>
      <c r="F40" s="2458"/>
      <c r="G40" s="2458"/>
      <c r="H40" s="2458"/>
      <c r="I40" s="2458"/>
      <c r="J40" s="2458"/>
      <c r="K40" s="1988"/>
      <c r="L40" s="847"/>
      <c r="M40" s="847"/>
      <c r="N40" s="1986"/>
    </row>
    <row r="41" spans="1:14" x14ac:dyDescent="0.25">
      <c r="A41" s="1987"/>
      <c r="B41" s="847"/>
      <c r="C41" s="839"/>
      <c r="D41" s="839"/>
      <c r="E41" s="839"/>
      <c r="F41" s="839"/>
      <c r="G41" s="839"/>
      <c r="H41" s="839"/>
      <c r="I41" s="839"/>
      <c r="J41" s="839"/>
      <c r="K41" s="839"/>
      <c r="L41" s="847"/>
      <c r="M41" s="847"/>
      <c r="N41" s="1986"/>
    </row>
    <row r="42" spans="1:14" ht="15.75" thickBot="1" x14ac:dyDescent="0.3">
      <c r="A42" s="1985"/>
      <c r="B42" s="1984"/>
      <c r="C42" s="1984"/>
      <c r="D42" s="1984"/>
      <c r="E42" s="1984"/>
      <c r="F42" s="1984"/>
      <c r="G42" s="1984"/>
      <c r="H42" s="1984"/>
      <c r="I42" s="1984"/>
      <c r="J42" s="1984"/>
      <c r="K42" s="1984"/>
      <c r="L42" s="1984"/>
      <c r="M42" s="1984"/>
      <c r="N42" s="1983"/>
    </row>
    <row r="43" spans="1:14" ht="27" thickBot="1" x14ac:dyDescent="0.45">
      <c r="A43" s="2465" t="s">
        <v>2180</v>
      </c>
      <c r="B43" s="2466"/>
      <c r="C43" s="2466"/>
      <c r="D43" s="2466"/>
      <c r="E43" s="2466"/>
      <c r="F43" s="2466"/>
      <c r="G43" s="2466"/>
      <c r="H43" s="2466"/>
      <c r="I43" s="2466"/>
      <c r="J43" s="2466"/>
      <c r="K43" s="2466"/>
      <c r="L43" s="2466"/>
      <c r="M43" s="2466"/>
      <c r="N43" s="2467"/>
    </row>
    <row r="44" spans="1:14" x14ac:dyDescent="0.25">
      <c r="A44" s="1974"/>
      <c r="B44" s="1973"/>
      <c r="C44" s="1973"/>
      <c r="D44" s="1973"/>
      <c r="E44" s="1973"/>
      <c r="F44" s="1973"/>
      <c r="G44" s="1973"/>
      <c r="H44" s="1973"/>
      <c r="I44" s="1973"/>
      <c r="J44" s="1973"/>
      <c r="K44" s="1973"/>
      <c r="L44" s="1973"/>
      <c r="M44" s="1973"/>
      <c r="N44" s="1972"/>
    </row>
    <row r="45" spans="1:14" x14ac:dyDescent="0.25">
      <c r="A45" s="1974" t="s">
        <v>2179</v>
      </c>
      <c r="B45" s="1973"/>
      <c r="C45" s="1973"/>
      <c r="D45" s="1973"/>
      <c r="E45" s="1973"/>
      <c r="F45" s="1973"/>
      <c r="G45" s="1973"/>
      <c r="H45" s="1973"/>
      <c r="I45" s="1973"/>
      <c r="J45" s="1973"/>
      <c r="K45" s="1973"/>
      <c r="L45" s="1973"/>
      <c r="M45" s="1973"/>
      <c r="N45" s="1972"/>
    </row>
    <row r="46" spans="1:14" x14ac:dyDescent="0.25">
      <c r="A46" s="2468" t="s">
        <v>2178</v>
      </c>
      <c r="B46" s="2469"/>
      <c r="C46" s="2469"/>
      <c r="D46" s="2469"/>
      <c r="E46" s="2469"/>
      <c r="F46" s="2469"/>
      <c r="G46" s="2469"/>
      <c r="H46" s="2469"/>
      <c r="I46" s="2469"/>
      <c r="J46" s="2469"/>
      <c r="K46" s="2469"/>
      <c r="L46" s="2469"/>
      <c r="M46" s="2469"/>
      <c r="N46" s="2470"/>
    </row>
    <row r="47" spans="1:14" x14ac:dyDescent="0.25">
      <c r="A47" s="2468"/>
      <c r="B47" s="2469"/>
      <c r="C47" s="2469"/>
      <c r="D47" s="2469"/>
      <c r="E47" s="2469"/>
      <c r="F47" s="2469"/>
      <c r="G47" s="2469"/>
      <c r="H47" s="2469"/>
      <c r="I47" s="2469"/>
      <c r="J47" s="2469"/>
      <c r="K47" s="2469"/>
      <c r="L47" s="2469"/>
      <c r="M47" s="2469"/>
      <c r="N47" s="2470"/>
    </row>
    <row r="48" spans="1:14" x14ac:dyDescent="0.25">
      <c r="A48" s="1982"/>
      <c r="B48" s="1973"/>
      <c r="C48" s="1973"/>
      <c r="D48" s="1981"/>
      <c r="E48" s="1981"/>
      <c r="F48" s="1981"/>
      <c r="G48" s="1981"/>
      <c r="H48" s="1981"/>
      <c r="I48" s="1981"/>
      <c r="J48" s="1981"/>
      <c r="K48" s="1981"/>
      <c r="L48" s="1981"/>
      <c r="M48" s="1981"/>
      <c r="N48" s="1980"/>
    </row>
    <row r="49" spans="1:14" ht="15.75" x14ac:dyDescent="0.25">
      <c r="A49" s="1976" t="s">
        <v>2177</v>
      </c>
      <c r="B49" s="1979"/>
      <c r="C49" s="1979"/>
      <c r="D49" s="1978"/>
      <c r="E49" s="1978"/>
      <c r="F49" s="1978"/>
      <c r="G49" s="1978"/>
      <c r="H49" s="1978"/>
      <c r="I49" s="1978"/>
      <c r="J49" s="1978"/>
      <c r="K49" s="1978"/>
      <c r="L49" s="1978"/>
      <c r="M49" s="1978"/>
      <c r="N49" s="1977"/>
    </row>
    <row r="50" spans="1:14" x14ac:dyDescent="0.25">
      <c r="A50" s="1976" t="s">
        <v>2176</v>
      </c>
      <c r="B50" s="1973"/>
      <c r="C50" s="1973"/>
      <c r="D50" s="1973"/>
      <c r="E50" s="1973"/>
      <c r="F50" s="1973"/>
      <c r="G50" s="1973"/>
      <c r="H50" s="1973"/>
      <c r="I50" s="1973"/>
      <c r="J50" s="1973"/>
      <c r="K50" s="1973"/>
      <c r="L50" s="1973"/>
      <c r="M50" s="1973"/>
      <c r="N50" s="1972"/>
    </row>
    <row r="51" spans="1:14" x14ac:dyDescent="0.25">
      <c r="A51" s="1974"/>
      <c r="B51" s="1973"/>
      <c r="C51" s="1973"/>
      <c r="D51" s="1973"/>
      <c r="E51" s="1973"/>
      <c r="F51" s="1973"/>
      <c r="G51" s="1973"/>
      <c r="H51" s="1973"/>
      <c r="I51" s="1973"/>
      <c r="J51" s="1973"/>
      <c r="K51" s="1973"/>
      <c r="L51" s="1973"/>
      <c r="M51" s="1973"/>
      <c r="N51" s="1972"/>
    </row>
    <row r="52" spans="1:14" x14ac:dyDescent="0.25">
      <c r="A52" s="1974"/>
      <c r="B52" s="1973"/>
      <c r="C52" s="1973"/>
      <c r="D52" s="1973"/>
      <c r="E52" s="1973"/>
      <c r="F52" s="1973"/>
      <c r="G52" s="1973"/>
      <c r="H52" s="1973"/>
      <c r="I52" s="1973"/>
      <c r="J52" s="1973"/>
      <c r="K52" s="1975" t="s">
        <v>1021</v>
      </c>
      <c r="L52" s="2486" t="str">
        <f>J6</f>
        <v xml:space="preserve">  McHenry CCSD 15</v>
      </c>
      <c r="M52" s="2486"/>
      <c r="N52" s="2487"/>
    </row>
    <row r="53" spans="1:14" x14ac:dyDescent="0.25">
      <c r="A53" s="1974"/>
      <c r="B53" s="1973"/>
      <c r="C53" s="1973"/>
      <c r="D53" s="1973"/>
      <c r="E53" s="1973"/>
      <c r="F53" s="1973"/>
      <c r="G53" s="1973"/>
      <c r="H53" s="1973"/>
      <c r="I53" s="1973"/>
      <c r="J53" s="1973"/>
      <c r="K53" s="1975" t="s">
        <v>369</v>
      </c>
      <c r="L53" s="2473">
        <f>J7</f>
        <v>44063015004</v>
      </c>
      <c r="M53" s="2473"/>
      <c r="N53" s="2474"/>
    </row>
    <row r="54" spans="1:14" ht="15.75" thickBot="1" x14ac:dyDescent="0.3">
      <c r="A54" s="1974"/>
      <c r="B54" s="1973"/>
      <c r="C54" s="1973"/>
      <c r="D54" s="1973"/>
      <c r="E54" s="1973"/>
      <c r="F54" s="1973"/>
      <c r="G54" s="1973"/>
      <c r="H54" s="1973"/>
      <c r="I54" s="1973"/>
      <c r="J54" s="1973"/>
      <c r="K54" s="1973"/>
      <c r="L54" s="1973"/>
      <c r="M54" s="1973"/>
      <c r="N54" s="1972"/>
    </row>
    <row r="55" spans="1:14" x14ac:dyDescent="0.25">
      <c r="A55" s="2475"/>
      <c r="B55" s="2476"/>
      <c r="C55" s="2476"/>
      <c r="D55" s="1956"/>
      <c r="E55" s="1956"/>
      <c r="F55" s="1956"/>
      <c r="G55" s="2477" t="s">
        <v>2175</v>
      </c>
      <c r="H55" s="2477"/>
      <c r="I55" s="2477"/>
      <c r="J55" s="2477"/>
      <c r="K55" s="2477"/>
      <c r="L55" s="2477"/>
      <c r="M55" s="2477"/>
      <c r="N55" s="2478"/>
    </row>
    <row r="56" spans="1:14" ht="64.5" x14ac:dyDescent="0.25">
      <c r="A56" s="2479" t="s">
        <v>2174</v>
      </c>
      <c r="B56" s="2480"/>
      <c r="C56" s="2481"/>
      <c r="D56" s="1970" t="s">
        <v>2173</v>
      </c>
      <c r="E56" s="1970" t="s">
        <v>2172</v>
      </c>
      <c r="F56" s="1971"/>
      <c r="G56" s="1970" t="s">
        <v>2171</v>
      </c>
      <c r="H56" s="1970" t="s">
        <v>2170</v>
      </c>
      <c r="I56" s="1970" t="s">
        <v>2169</v>
      </c>
      <c r="J56" s="1970" t="s">
        <v>2168</v>
      </c>
      <c r="K56" s="1970" t="s">
        <v>2167</v>
      </c>
      <c r="L56" s="1970" t="s">
        <v>2166</v>
      </c>
      <c r="M56" s="1970" t="s">
        <v>2165</v>
      </c>
      <c r="N56" s="1969" t="s">
        <v>2164</v>
      </c>
    </row>
    <row r="57" spans="1:14" ht="24" customHeight="1" x14ac:dyDescent="0.25">
      <c r="A57" s="2482" t="s">
        <v>296</v>
      </c>
      <c r="B57" s="2483"/>
      <c r="C57" s="2483"/>
      <c r="D57" s="1968">
        <v>2361</v>
      </c>
      <c r="E57" s="1961">
        <f>'Expenditures 15-22'!K319</f>
        <v>0</v>
      </c>
      <c r="F57" s="1960"/>
      <c r="G57" s="1967"/>
      <c r="H57" s="1966"/>
      <c r="I57" s="1966"/>
      <c r="J57" s="1966"/>
      <c r="K57" s="1966"/>
      <c r="L57" s="1966"/>
      <c r="M57" s="1966"/>
      <c r="N57" s="1957">
        <f t="shared" ref="N57:N67" si="3">IF((SUM(G57:M57))=E57,SUM(G57:M57),"Column N does not agree with Column E")</f>
        <v>0</v>
      </c>
    </row>
    <row r="58" spans="1:14" ht="24.75" customHeight="1" x14ac:dyDescent="0.25">
      <c r="A58" s="2484" t="s">
        <v>2163</v>
      </c>
      <c r="B58" s="2485"/>
      <c r="C58" s="2485"/>
      <c r="D58" s="1965">
        <v>2362</v>
      </c>
      <c r="E58" s="1961">
        <f>'Expenditures 15-22'!K320</f>
        <v>456838</v>
      </c>
      <c r="F58" s="1960"/>
      <c r="G58" s="1964"/>
      <c r="H58" s="1963"/>
      <c r="I58" s="1963"/>
      <c r="J58" s="1963"/>
      <c r="K58" s="1963"/>
      <c r="L58" s="1963"/>
      <c r="M58" s="1963">
        <v>456838</v>
      </c>
      <c r="N58" s="1957">
        <f t="shared" si="3"/>
        <v>456838</v>
      </c>
    </row>
    <row r="59" spans="1:14" ht="24.75" customHeight="1" x14ac:dyDescent="0.25">
      <c r="A59" s="2471" t="s">
        <v>297</v>
      </c>
      <c r="B59" s="2472"/>
      <c r="C59" s="2472"/>
      <c r="D59" s="1965">
        <v>2363</v>
      </c>
      <c r="E59" s="1961">
        <f>'Expenditures 15-22'!K321</f>
        <v>0</v>
      </c>
      <c r="F59" s="1960"/>
      <c r="G59" s="1964"/>
      <c r="H59" s="1963"/>
      <c r="I59" s="1963"/>
      <c r="J59" s="1963"/>
      <c r="K59" s="1963"/>
      <c r="L59" s="1963"/>
      <c r="M59" s="1963"/>
      <c r="N59" s="1957">
        <f t="shared" si="3"/>
        <v>0</v>
      </c>
    </row>
    <row r="60" spans="1:14" ht="24.75" customHeight="1" x14ac:dyDescent="0.25">
      <c r="A60" s="2471" t="s">
        <v>236</v>
      </c>
      <c r="B60" s="2472"/>
      <c r="C60" s="2472"/>
      <c r="D60" s="1965">
        <v>2364</v>
      </c>
      <c r="E60" s="1961">
        <f>'Expenditures 15-22'!K322</f>
        <v>394930</v>
      </c>
      <c r="F60" s="1960"/>
      <c r="G60" s="1964"/>
      <c r="H60" s="1963"/>
      <c r="I60" s="1963"/>
      <c r="J60" s="1963"/>
      <c r="K60" s="1963"/>
      <c r="L60" s="1963"/>
      <c r="M60" s="1963">
        <v>394930</v>
      </c>
      <c r="N60" s="1957">
        <f t="shared" si="3"/>
        <v>394930</v>
      </c>
    </row>
    <row r="61" spans="1:14" ht="24.75" customHeight="1" x14ac:dyDescent="0.25">
      <c r="A61" s="2471" t="s">
        <v>697</v>
      </c>
      <c r="B61" s="2472"/>
      <c r="C61" s="2472"/>
      <c r="D61" s="1965">
        <v>2365</v>
      </c>
      <c r="E61" s="1961">
        <f>'Expenditures 15-22'!K323</f>
        <v>0</v>
      </c>
      <c r="F61" s="1960"/>
      <c r="G61" s="1964"/>
      <c r="H61" s="1963"/>
      <c r="I61" s="1963"/>
      <c r="J61" s="1963"/>
      <c r="K61" s="1963"/>
      <c r="L61" s="1963"/>
      <c r="M61" s="1963"/>
      <c r="N61" s="1957">
        <f t="shared" si="3"/>
        <v>0</v>
      </c>
    </row>
    <row r="62" spans="1:14" ht="24.75" customHeight="1" x14ac:dyDescent="0.25">
      <c r="A62" s="2471" t="s">
        <v>237</v>
      </c>
      <c r="B62" s="2472"/>
      <c r="C62" s="2472"/>
      <c r="D62" s="1965">
        <v>2366</v>
      </c>
      <c r="E62" s="1961">
        <f>'Expenditures 15-22'!K324</f>
        <v>0</v>
      </c>
      <c r="F62" s="1960"/>
      <c r="G62" s="1964"/>
      <c r="H62" s="1963"/>
      <c r="I62" s="1963"/>
      <c r="J62" s="1963"/>
      <c r="K62" s="1963"/>
      <c r="L62" s="1963"/>
      <c r="M62" s="1963"/>
      <c r="N62" s="1957">
        <f t="shared" si="3"/>
        <v>0</v>
      </c>
    </row>
    <row r="63" spans="1:14" ht="24.75" customHeight="1" x14ac:dyDescent="0.25">
      <c r="A63" s="2484" t="s">
        <v>1022</v>
      </c>
      <c r="B63" s="2485"/>
      <c r="C63" s="2485"/>
      <c r="D63" s="1965">
        <v>2367</v>
      </c>
      <c r="E63" s="1961">
        <f>'Expenditures 15-22'!K325</f>
        <v>0</v>
      </c>
      <c r="F63" s="1960"/>
      <c r="G63" s="1964"/>
      <c r="H63" s="1963"/>
      <c r="I63" s="1963"/>
      <c r="J63" s="1963"/>
      <c r="K63" s="1963"/>
      <c r="L63" s="1963"/>
      <c r="M63" s="1963"/>
      <c r="N63" s="1957">
        <f t="shared" si="3"/>
        <v>0</v>
      </c>
    </row>
    <row r="64" spans="1:14" ht="24.75" customHeight="1" x14ac:dyDescent="0.25">
      <c r="A64" s="2471" t="s">
        <v>1023</v>
      </c>
      <c r="B64" s="2472"/>
      <c r="C64" s="2472"/>
      <c r="D64" s="1965">
        <v>2368</v>
      </c>
      <c r="E64" s="1961">
        <f>'Expenditures 15-22'!K326</f>
        <v>0</v>
      </c>
      <c r="F64" s="1960"/>
      <c r="G64" s="1964"/>
      <c r="H64" s="1963"/>
      <c r="I64" s="1963"/>
      <c r="J64" s="1963"/>
      <c r="K64" s="1963"/>
      <c r="L64" s="1963"/>
      <c r="M64" s="1963"/>
      <c r="N64" s="1957">
        <f t="shared" si="3"/>
        <v>0</v>
      </c>
    </row>
    <row r="65" spans="1:14" ht="24" customHeight="1" x14ac:dyDescent="0.25">
      <c r="A65" s="2471" t="s">
        <v>965</v>
      </c>
      <c r="B65" s="2472"/>
      <c r="C65" s="2472"/>
      <c r="D65" s="1965">
        <v>2369</v>
      </c>
      <c r="E65" s="1961">
        <f>'Expenditures 15-22'!K327</f>
        <v>0</v>
      </c>
      <c r="F65" s="1960"/>
      <c r="G65" s="1964"/>
      <c r="H65" s="1963"/>
      <c r="I65" s="1963"/>
      <c r="J65" s="1963"/>
      <c r="K65" s="1963"/>
      <c r="L65" s="1963"/>
      <c r="M65" s="1963"/>
      <c r="N65" s="1957">
        <f t="shared" si="3"/>
        <v>0</v>
      </c>
    </row>
    <row r="66" spans="1:14" ht="24.75" customHeight="1" x14ac:dyDescent="0.25">
      <c r="A66" s="2471" t="s">
        <v>469</v>
      </c>
      <c r="B66" s="2472"/>
      <c r="C66" s="2472"/>
      <c r="D66" s="1965">
        <v>2371</v>
      </c>
      <c r="E66" s="1961">
        <f>'Expenditures 15-22'!K328</f>
        <v>0</v>
      </c>
      <c r="F66" s="1960"/>
      <c r="G66" s="1964"/>
      <c r="H66" s="1963"/>
      <c r="I66" s="1963"/>
      <c r="J66" s="1963"/>
      <c r="K66" s="1963"/>
      <c r="L66" s="1963"/>
      <c r="M66" s="1963"/>
      <c r="N66" s="1957">
        <f t="shared" si="3"/>
        <v>0</v>
      </c>
    </row>
    <row r="67" spans="1:14" ht="24.75" customHeight="1" x14ac:dyDescent="0.25">
      <c r="A67" s="2493" t="s">
        <v>2162</v>
      </c>
      <c r="B67" s="2494"/>
      <c r="C67" s="2494"/>
      <c r="D67" s="1962">
        <v>2372</v>
      </c>
      <c r="E67" s="1961">
        <f>'Expenditures 15-22'!K329</f>
        <v>0</v>
      </c>
      <c r="F67" s="1960"/>
      <c r="G67" s="1959"/>
      <c r="H67" s="1958"/>
      <c r="I67" s="1958"/>
      <c r="J67" s="1958"/>
      <c r="K67" s="1958"/>
      <c r="L67" s="1958"/>
      <c r="M67" s="1958"/>
      <c r="N67" s="1957">
        <f t="shared" si="3"/>
        <v>0</v>
      </c>
    </row>
    <row r="68" spans="1:14" x14ac:dyDescent="0.25">
      <c r="A68" s="2495" t="s">
        <v>1151</v>
      </c>
      <c r="B68" s="2496"/>
      <c r="C68" s="2496"/>
      <c r="D68" s="1956"/>
      <c r="E68" s="1954">
        <f>SUM(E57:E67)</f>
        <v>851768</v>
      </c>
      <c r="F68" s="1955"/>
      <c r="G68" s="1954">
        <f t="shared" ref="G68:N68" si="4">SUM(G57:G67)</f>
        <v>0</v>
      </c>
      <c r="H68" s="1954">
        <f t="shared" si="4"/>
        <v>0</v>
      </c>
      <c r="I68" s="1954">
        <f t="shared" si="4"/>
        <v>0</v>
      </c>
      <c r="J68" s="1954">
        <f t="shared" si="4"/>
        <v>0</v>
      </c>
      <c r="K68" s="1954">
        <f t="shared" si="4"/>
        <v>0</v>
      </c>
      <c r="L68" s="1954">
        <f t="shared" si="4"/>
        <v>0</v>
      </c>
      <c r="M68" s="1954">
        <f t="shared" si="4"/>
        <v>851768</v>
      </c>
      <c r="N68" s="1953">
        <f t="shared" si="4"/>
        <v>851768</v>
      </c>
    </row>
    <row r="69" spans="1:14" x14ac:dyDescent="0.25">
      <c r="A69" s="1949"/>
      <c r="B69" s="1948"/>
      <c r="C69" s="1948"/>
      <c r="D69" s="1948"/>
      <c r="E69" s="1948"/>
      <c r="F69" s="1948"/>
      <c r="G69" s="1948"/>
      <c r="H69" s="1952" t="s">
        <v>2161</v>
      </c>
      <c r="I69" s="1948"/>
      <c r="J69" s="1948"/>
      <c r="K69" s="1948"/>
      <c r="L69" s="1952" t="s">
        <v>2160</v>
      </c>
      <c r="M69" s="1948"/>
      <c r="N69" s="1951"/>
    </row>
    <row r="70" spans="1:14" ht="46.5" customHeight="1" x14ac:dyDescent="0.25">
      <c r="A70" s="1950" t="s">
        <v>2159</v>
      </c>
      <c r="B70" s="1948"/>
      <c r="C70" s="1948"/>
      <c r="D70" s="1948"/>
      <c r="E70" s="1948"/>
      <c r="F70" s="1948"/>
      <c r="G70" s="1948"/>
      <c r="H70" s="2489" t="s">
        <v>2158</v>
      </c>
      <c r="I70" s="2489"/>
      <c r="J70" s="2489"/>
      <c r="K70" s="1948"/>
      <c r="L70" s="2489" t="s">
        <v>2157</v>
      </c>
      <c r="M70" s="2489"/>
      <c r="N70" s="2490"/>
    </row>
    <row r="71" spans="1:14" ht="42.75" customHeight="1" x14ac:dyDescent="0.25">
      <c r="A71" s="1949"/>
      <c r="B71" s="1948"/>
      <c r="C71" s="1948"/>
      <c r="D71" s="1948"/>
      <c r="E71" s="1948"/>
      <c r="F71" s="1948"/>
      <c r="G71" s="1948"/>
      <c r="H71" s="2489" t="s">
        <v>2156</v>
      </c>
      <c r="I71" s="2489"/>
      <c r="J71" s="2489"/>
      <c r="K71" s="1948"/>
      <c r="L71" s="2491" t="s">
        <v>2155</v>
      </c>
      <c r="M71" s="2491"/>
      <c r="N71" s="2492"/>
    </row>
    <row r="72" spans="1:14" ht="52.5" customHeight="1" thickBot="1" x14ac:dyDescent="0.3">
      <c r="A72" s="1947"/>
      <c r="B72" s="1946"/>
      <c r="C72" s="1946"/>
      <c r="D72" s="1946"/>
      <c r="E72" s="1946"/>
      <c r="F72" s="1946"/>
      <c r="G72" s="1946"/>
      <c r="H72" s="2488" t="s">
        <v>2154</v>
      </c>
      <c r="I72" s="2488"/>
      <c r="J72" s="2488"/>
      <c r="K72" s="1946"/>
      <c r="L72" s="1946"/>
      <c r="M72" s="1946"/>
      <c r="N72" s="1945"/>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43:N43"/>
    <mergeCell ref="A46:N47"/>
    <mergeCell ref="A64:C64"/>
    <mergeCell ref="L53:N53"/>
    <mergeCell ref="A55:C55"/>
    <mergeCell ref="G55:N55"/>
    <mergeCell ref="A56:C56"/>
    <mergeCell ref="A57:C57"/>
    <mergeCell ref="A58:C58"/>
    <mergeCell ref="A59:C59"/>
    <mergeCell ref="L52:N52"/>
    <mergeCell ref="A60:C60"/>
    <mergeCell ref="A61:C61"/>
    <mergeCell ref="A62:C62"/>
    <mergeCell ref="A63:C63"/>
    <mergeCell ref="F30:H30"/>
    <mergeCell ref="C34:J35"/>
    <mergeCell ref="C37:J38"/>
    <mergeCell ref="C40:J40"/>
    <mergeCell ref="B20:D20"/>
    <mergeCell ref="C27:D27"/>
    <mergeCell ref="F27:H27"/>
    <mergeCell ref="F28:H28"/>
    <mergeCell ref="C29:D29"/>
    <mergeCell ref="F29:H29"/>
    <mergeCell ref="J6:L6"/>
    <mergeCell ref="A7:E7"/>
    <mergeCell ref="J7:L7"/>
    <mergeCell ref="A11:C11"/>
    <mergeCell ref="B18:D18"/>
  </mergeCells>
  <dataValidations count="20">
    <dataValidation allowBlank="1" showInputMessage="1" showErrorMessage="1" prompt="Link cell A17 from &quot;Cover&quot; tab" sqref="J6:L6" xr:uid="{00000000-0002-0000-0000-000000000000}"/>
    <dataValidation allowBlank="1" showInputMessage="1" showErrorMessage="1" prompt="Link cell A13 from &quot;Cover&quot; tab" sqref="J7:L7" xr:uid="{00000000-0002-0000-0000-000001000000}"/>
    <dataValidation allowBlank="1" showInputMessage="1" showErrorMessage="1" prompt="Link cell K50 from &quot;Expenditures 15-22&quot; tab " sqref="E12" xr:uid="{00000000-0002-0000-0000-000002000000}"/>
    <dataValidation allowBlank="1" showInputMessage="1" showErrorMessage="1" prompt="Link cell K51 from &quot;Expenditures 15-22&quot; tab" sqref="E13" xr:uid="{00000000-0002-0000-0000-000003000000}"/>
    <dataValidation allowBlank="1" showInputMessage="1" showErrorMessage="1" prompt="Link cell K56 from &quot;Expenditures 15-22&quot; tab" sqref="E14" xr:uid="{00000000-0002-0000-0000-000004000000}"/>
    <dataValidation allowBlank="1" showInputMessage="1" showErrorMessage="1" prompt="Link cell K59 from &quot;Expenditures 15-22&quot; tab" sqref="E15" xr:uid="{00000000-0002-0000-0000-000005000000}"/>
    <dataValidation allowBlank="1" showInputMessage="1" showErrorMessage="1" prompt="Link cell K64 from &quot;Expenditures 15-22&quot; tab" sqref="E16" xr:uid="{00000000-0002-0000-0000-000006000000}"/>
    <dataValidation allowBlank="1" showInputMessage="1" showErrorMessage="1" prompt="Link cell K67 from &quot;Expenditures 15-22&quot; tab" sqref="E17" xr:uid="{00000000-0002-0000-0000-000007000000}"/>
    <dataValidation allowBlank="1" showInputMessage="1" showErrorMessage="1" prompt="Link cell K122 from &quot;Expenditures 15-22&quot; tab" sqref="F15" xr:uid="{00000000-0002-0000-0000-000008000000}"/>
    <dataValidation allowBlank="1" showInputMessage="1" showErrorMessage="1" prompt="Link cell K319 from &quot;Expenditures 15-22&quot; tab" sqref="E57" xr:uid="{00000000-0002-0000-0000-000009000000}"/>
    <dataValidation allowBlank="1" showInputMessage="1" showErrorMessage="1" prompt="Link cell K320 from &quot;Expenditures 15-22&quot; tab" sqref="E58" xr:uid="{00000000-0002-0000-0000-00000A000000}"/>
    <dataValidation allowBlank="1" showInputMessage="1" showErrorMessage="1" prompt="Link cell K321 from &quot;Expenditures 15-22&quot; tab" sqref="E59" xr:uid="{00000000-0002-0000-0000-00000B000000}"/>
    <dataValidation allowBlank="1" showInputMessage="1" showErrorMessage="1" prompt="Link cell K322 from &quot;Expenditures 15-22&quot; tab" sqref="E60" xr:uid="{00000000-0002-0000-0000-00000C000000}"/>
    <dataValidation allowBlank="1" showInputMessage="1" showErrorMessage="1" prompt="Link cell K323 from &quot;Expenditures 15-22&quot; tab" sqref="E61" xr:uid="{00000000-0002-0000-0000-00000D000000}"/>
    <dataValidation allowBlank="1" showInputMessage="1" showErrorMessage="1" prompt="Link cell K324 from &quot;Expenditures 15-22&quot; tab" sqref="E62" xr:uid="{00000000-0002-0000-0000-00000E000000}"/>
    <dataValidation allowBlank="1" showInputMessage="1" showErrorMessage="1" prompt="Link cell K325 from &quot;Expenditures 15-22&quot; tab" sqref="E63" xr:uid="{00000000-0002-0000-0000-00000F000000}"/>
    <dataValidation allowBlank="1" showInputMessage="1" showErrorMessage="1" prompt="Link cell K326 from &quot;Expenditures 15-22&quot; tab" sqref="E64" xr:uid="{00000000-0002-0000-0000-000010000000}"/>
    <dataValidation allowBlank="1" showInputMessage="1" showErrorMessage="1" prompt="Link cell K327 from &quot;Expenditures 15-22&quot; tab" sqref="E65" xr:uid="{00000000-0002-0000-0000-000011000000}"/>
    <dataValidation allowBlank="1" showInputMessage="1" showErrorMessage="1" prompt="Link cell K328 from &quot;Expenditures 15-22&quot; tab" sqref="E66" xr:uid="{00000000-0002-0000-0000-000012000000}"/>
    <dataValidation allowBlank="1" showInputMessage="1" showErrorMessage="1" prompt="Link cell K329 from &quot;Expenditures 15-22&quot; tab" sqref="E67" xr:uid="{00000000-0002-0000-0000-000013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D63"/>
  <sheetViews>
    <sheetView showGridLines="0" zoomScale="110" zoomScaleNormal="110" workbookViewId="0">
      <selection activeCell="B51" sqref="B51"/>
    </sheetView>
  </sheetViews>
  <sheetFormatPr defaultColWidth="9.140625" defaultRowHeight="12.75" x14ac:dyDescent="0.2"/>
  <cols>
    <col min="1" max="1" width="3" style="307" customWidth="1"/>
    <col min="2" max="2" width="53.140625" style="307" customWidth="1"/>
    <col min="3" max="3" width="17.140625" style="307" customWidth="1"/>
    <col min="4" max="4" width="47.85546875" style="307" customWidth="1"/>
    <col min="5" max="16384" width="9.140625" style="307"/>
  </cols>
  <sheetData>
    <row r="2" spans="1:4" x14ac:dyDescent="0.2">
      <c r="A2" s="366" t="s">
        <v>256</v>
      </c>
    </row>
    <row r="3" spans="1:4" x14ac:dyDescent="0.2">
      <c r="A3" s="307" t="s">
        <v>257</v>
      </c>
    </row>
    <row r="4" spans="1:4" x14ac:dyDescent="0.2">
      <c r="C4" s="2059" t="s">
        <v>2128</v>
      </c>
      <c r="D4" s="2059" t="s">
        <v>478</v>
      </c>
    </row>
    <row r="5" spans="1:4" x14ac:dyDescent="0.2">
      <c r="A5" s="840">
        <v>1</v>
      </c>
      <c r="B5" s="307" t="s">
        <v>2205</v>
      </c>
      <c r="D5" s="307" t="s">
        <v>2206</v>
      </c>
    </row>
    <row r="6" spans="1:4" x14ac:dyDescent="0.2">
      <c r="A6" s="840">
        <v>2</v>
      </c>
      <c r="B6" s="307" t="s">
        <v>2121</v>
      </c>
      <c r="C6" s="307" t="s">
        <v>2129</v>
      </c>
      <c r="D6" s="307" t="s">
        <v>2142</v>
      </c>
    </row>
    <row r="7" spans="1:4" x14ac:dyDescent="0.2">
      <c r="A7" s="840">
        <v>3</v>
      </c>
      <c r="B7" s="307" t="s">
        <v>2122</v>
      </c>
      <c r="C7" s="307" t="s">
        <v>2131</v>
      </c>
      <c r="D7" s="307" t="s">
        <v>2202</v>
      </c>
    </row>
    <row r="8" spans="1:4" x14ac:dyDescent="0.2">
      <c r="A8" s="840">
        <v>4</v>
      </c>
      <c r="B8" s="307" t="s">
        <v>2122</v>
      </c>
      <c r="C8" s="307" t="s">
        <v>2130</v>
      </c>
      <c r="D8" s="307" t="s">
        <v>2143</v>
      </c>
    </row>
    <row r="9" spans="1:4" x14ac:dyDescent="0.2">
      <c r="A9" s="840">
        <v>5</v>
      </c>
      <c r="B9" s="307" t="s">
        <v>2122</v>
      </c>
      <c r="C9" s="307" t="s">
        <v>2132</v>
      </c>
      <c r="D9" s="307" t="s">
        <v>2144</v>
      </c>
    </row>
    <row r="10" spans="1:4" x14ac:dyDescent="0.2">
      <c r="A10" s="840">
        <v>6</v>
      </c>
      <c r="B10" s="307" t="s">
        <v>2123</v>
      </c>
      <c r="C10" s="307" t="s">
        <v>2133</v>
      </c>
      <c r="D10" s="307" t="s">
        <v>2145</v>
      </c>
    </row>
    <row r="11" spans="1:4" x14ac:dyDescent="0.2">
      <c r="A11" s="840">
        <v>7</v>
      </c>
      <c r="B11" s="307" t="s">
        <v>2124</v>
      </c>
      <c r="C11" s="307" t="s">
        <v>2134</v>
      </c>
      <c r="D11" s="307" t="s">
        <v>2146</v>
      </c>
    </row>
    <row r="12" spans="1:4" x14ac:dyDescent="0.2">
      <c r="A12" s="841">
        <v>8</v>
      </c>
      <c r="B12" s="307" t="s">
        <v>2125</v>
      </c>
      <c r="C12" s="307" t="s">
        <v>2135</v>
      </c>
      <c r="D12" s="307" t="s">
        <v>2147</v>
      </c>
    </row>
    <row r="13" spans="1:4" x14ac:dyDescent="0.2">
      <c r="A13" s="1942">
        <v>9</v>
      </c>
      <c r="B13" s="307" t="s">
        <v>2125</v>
      </c>
      <c r="C13" s="307" t="s">
        <v>2136</v>
      </c>
      <c r="D13" s="307" t="s">
        <v>2148</v>
      </c>
    </row>
    <row r="14" spans="1:4" x14ac:dyDescent="0.2">
      <c r="A14" s="1942">
        <v>10</v>
      </c>
      <c r="B14" s="307" t="s">
        <v>2125</v>
      </c>
      <c r="C14" s="307" t="s">
        <v>2141</v>
      </c>
      <c r="D14" s="307" t="s">
        <v>2149</v>
      </c>
    </row>
    <row r="15" spans="1:4" x14ac:dyDescent="0.2">
      <c r="A15" s="1942">
        <v>11</v>
      </c>
      <c r="B15" s="307" t="s">
        <v>2125</v>
      </c>
      <c r="C15" s="307" t="s">
        <v>2138</v>
      </c>
      <c r="D15" s="307" t="s">
        <v>2150</v>
      </c>
    </row>
    <row r="16" spans="1:4" x14ac:dyDescent="0.2">
      <c r="A16" s="1942">
        <v>12</v>
      </c>
      <c r="B16" s="307" t="s">
        <v>2125</v>
      </c>
      <c r="C16" s="307" t="s">
        <v>2137</v>
      </c>
      <c r="D16" s="307" t="s">
        <v>2151</v>
      </c>
    </row>
    <row r="17" spans="1:4" x14ac:dyDescent="0.2">
      <c r="A17" s="1942">
        <v>13</v>
      </c>
      <c r="B17" s="307" t="s">
        <v>2126</v>
      </c>
      <c r="C17" s="307" t="s">
        <v>2139</v>
      </c>
      <c r="D17" s="307" t="s">
        <v>2153</v>
      </c>
    </row>
    <row r="18" spans="1:4" x14ac:dyDescent="0.2">
      <c r="A18" s="1942">
        <v>14</v>
      </c>
      <c r="B18" s="307" t="s">
        <v>2127</v>
      </c>
      <c r="C18" s="307" t="s">
        <v>2140</v>
      </c>
      <c r="D18" s="307" t="s">
        <v>2152</v>
      </c>
    </row>
    <row r="19" spans="1:4" x14ac:dyDescent="0.2">
      <c r="A19" s="1942"/>
    </row>
    <row r="20" spans="1:4" x14ac:dyDescent="0.2">
      <c r="A20" s="841"/>
    </row>
    <row r="21" spans="1:4" x14ac:dyDescent="0.2">
      <c r="A21" s="841"/>
    </row>
    <row r="22" spans="1:4" x14ac:dyDescent="0.2">
      <c r="A22" s="841"/>
    </row>
    <row r="23" spans="1:4" x14ac:dyDescent="0.2">
      <c r="A23" s="841"/>
    </row>
    <row r="24" spans="1:4" x14ac:dyDescent="0.2">
      <c r="A24" s="841"/>
    </row>
    <row r="25" spans="1:4" x14ac:dyDescent="0.2">
      <c r="A25" s="841"/>
    </row>
    <row r="26" spans="1:4" x14ac:dyDescent="0.2">
      <c r="A26" s="841"/>
    </row>
    <row r="27" spans="1:4" x14ac:dyDescent="0.2">
      <c r="A27" s="841"/>
    </row>
    <row r="28" spans="1:4" x14ac:dyDescent="0.2">
      <c r="A28" s="841"/>
    </row>
    <row r="29" spans="1:4" x14ac:dyDescent="0.2">
      <c r="A29" s="841"/>
    </row>
    <row r="30" spans="1:4" x14ac:dyDescent="0.2">
      <c r="A30" s="841"/>
    </row>
    <row r="31" spans="1:4" x14ac:dyDescent="0.2">
      <c r="A31" s="841"/>
    </row>
    <row r="32" spans="1:4"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c r="B62" s="253" t="str">
        <f>COVER!A17</f>
        <v xml:space="preserve">  McHenry CCSD 15</v>
      </c>
    </row>
    <row r="63" spans="1:2" x14ac:dyDescent="0.2">
      <c r="B63" s="842">
        <f>COVER!A13</f>
        <v>44063015004</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1476</v>
      </c>
    </row>
    <row r="15" spans="1:6" x14ac:dyDescent="0.2">
      <c r="A15" s="366" t="s">
        <v>852</v>
      </c>
    </row>
    <row r="16" spans="1:6" s="843" customFormat="1" ht="45" customHeight="1" x14ac:dyDescent="0.2">
      <c r="A16" s="845"/>
      <c r="B16" s="845" t="s">
        <v>1970</v>
      </c>
    </row>
    <row r="17" spans="1:2" ht="6" customHeight="1" x14ac:dyDescent="0.2"/>
    <row r="18" spans="1:2" ht="24.75" customHeight="1" x14ac:dyDescent="0.2">
      <c r="A18" s="2497" t="s">
        <v>1665</v>
      </c>
      <c r="B18" s="249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4" r:id="rId4">
          <objectPr defaultSize="0" r:id="rId5">
            <anchor moveWithCells="1">
              <from>
                <xdr:col>1</xdr:col>
                <xdr:colOff>1066800</xdr:colOff>
                <xdr:row>5</xdr:row>
                <xdr:rowOff>142875</xdr:rowOff>
              </from>
              <to>
                <xdr:col>1</xdr:col>
                <xdr:colOff>1981200</xdr:colOff>
                <xdr:row>10</xdr:row>
                <xdr:rowOff>19050</xdr:rowOff>
              </to>
            </anchor>
          </objectPr>
        </oleObject>
      </mc:Choice>
      <mc:Fallback>
        <oleObject progId="Acrobat Document" dvAspect="DVASPECT_ICON" shapeId="44034" r:id="rId4"/>
      </mc:Fallback>
    </mc:AlternateContent>
    <mc:AlternateContent xmlns:mc="http://schemas.openxmlformats.org/markup-compatibility/2006">
      <mc:Choice Requires="x14">
        <oleObject progId="Acrobat Document" dvAspect="DVASPECT_ICON" shapeId="44035" r:id="rId6">
          <objectPr defaultSize="0" r:id="rId7">
            <anchor moveWithCells="1">
              <from>
                <xdr:col>1</xdr:col>
                <xdr:colOff>19050</xdr:colOff>
                <xdr:row>5</xdr:row>
                <xdr:rowOff>152400</xdr:rowOff>
              </from>
              <to>
                <xdr:col>1</xdr:col>
                <xdr:colOff>933450</xdr:colOff>
                <xdr:row>10</xdr:row>
                <xdr:rowOff>28575</xdr:rowOff>
              </to>
            </anchor>
          </objectPr>
        </oleObject>
      </mc:Choice>
      <mc:Fallback>
        <oleObject progId="Acrobat Document" dvAspect="DVASPECT_ICON" shapeId="44035"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G4" sqref="G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8" t="s">
        <v>1669</v>
      </c>
      <c r="B1" s="2499"/>
      <c r="C1" s="2499"/>
      <c r="D1" s="2499"/>
      <c r="E1" s="2499"/>
      <c r="F1" s="2500"/>
    </row>
    <row r="2" spans="1:8" ht="45" customHeight="1" x14ac:dyDescent="0.2">
      <c r="A2" s="25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9"/>
      <c r="C2" s="2509"/>
      <c r="D2" s="2509"/>
      <c r="E2" s="2509"/>
      <c r="F2" s="2510"/>
      <c r="G2" s="846"/>
      <c r="H2" s="846"/>
    </row>
    <row r="3" spans="1:8" ht="57" customHeight="1" x14ac:dyDescent="0.2">
      <c r="A3" s="2511" t="s">
        <v>1969</v>
      </c>
      <c r="B3" s="2512"/>
      <c r="C3" s="2512"/>
      <c r="D3" s="2512"/>
      <c r="E3" s="2512"/>
      <c r="F3" s="2513"/>
      <c r="G3" s="846"/>
      <c r="H3" s="846"/>
    </row>
    <row r="4" spans="1:8" ht="14.25" customHeight="1" x14ac:dyDescent="0.2">
      <c r="A4" s="25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8"/>
      <c r="C4" s="2518"/>
      <c r="D4" s="2518"/>
      <c r="E4" s="2518"/>
      <c r="F4" s="2519"/>
      <c r="G4" s="846"/>
      <c r="H4" s="846"/>
    </row>
    <row r="5" spans="1:8" ht="14.25" customHeight="1" x14ac:dyDescent="0.2">
      <c r="A5" s="25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1"/>
      <c r="C5" s="2521"/>
      <c r="D5" s="2521"/>
      <c r="E5" s="2521"/>
      <c r="F5" s="2522"/>
      <c r="G5" s="846"/>
      <c r="H5" s="846"/>
    </row>
    <row r="6" spans="1:8" s="847" customFormat="1" ht="41.25" customHeight="1" x14ac:dyDescent="0.2">
      <c r="A6" s="2514" t="s">
        <v>1670</v>
      </c>
      <c r="B6" s="2515"/>
      <c r="C6" s="2515"/>
      <c r="D6" s="2515"/>
      <c r="E6" s="2515"/>
      <c r="F6" s="2516"/>
    </row>
    <row r="7" spans="1:8" ht="42" customHeight="1" x14ac:dyDescent="0.2">
      <c r="A7" s="848" t="s">
        <v>478</v>
      </c>
      <c r="B7" s="849" t="s">
        <v>1479</v>
      </c>
      <c r="C7" s="849" t="s">
        <v>1480</v>
      </c>
      <c r="D7" s="849" t="s">
        <v>1478</v>
      </c>
      <c r="E7" s="849" t="s">
        <v>1481</v>
      </c>
      <c r="F7" s="849" t="s">
        <v>1351</v>
      </c>
    </row>
    <row r="8" spans="1:8" s="851" customFormat="1" ht="14.25" customHeight="1" x14ac:dyDescent="0.2">
      <c r="A8" s="850" t="s">
        <v>1352</v>
      </c>
      <c r="B8" s="1802">
        <f>'Acct Summary 7-8'!C8</f>
        <v>53245903</v>
      </c>
      <c r="C8" s="1802">
        <f>'Acct Summary 7-8'!D8</f>
        <v>5524594</v>
      </c>
      <c r="D8" s="1802">
        <f>'Acct Summary 7-8'!F8</f>
        <v>4842381</v>
      </c>
      <c r="E8" s="1802">
        <f>'Acct Summary 7-8'!I8</f>
        <v>560817</v>
      </c>
      <c r="F8" s="1802">
        <f>SUM(B8:E8)</f>
        <v>64173695</v>
      </c>
    </row>
    <row r="9" spans="1:8" s="851" customFormat="1" ht="14.25" customHeight="1" thickBot="1" x14ac:dyDescent="0.25">
      <c r="A9" s="850" t="s">
        <v>1353</v>
      </c>
      <c r="B9" s="1803">
        <f>'Acct Summary 7-8'!C17</f>
        <v>52363885</v>
      </c>
      <c r="C9" s="1803">
        <f>'Acct Summary 7-8'!D17</f>
        <v>2456597</v>
      </c>
      <c r="D9" s="1803">
        <f>'Acct Summary 7-8'!F17</f>
        <v>4220426</v>
      </c>
      <c r="E9" s="1802"/>
      <c r="F9" s="1802">
        <f>SUM(B9:E9)</f>
        <v>59040908</v>
      </c>
    </row>
    <row r="10" spans="1:8" s="851" customFormat="1" ht="14.25" thickTop="1" thickBot="1" x14ac:dyDescent="0.25">
      <c r="A10" s="852" t="s">
        <v>1354</v>
      </c>
      <c r="B10" s="1804">
        <f>(B8-B9)</f>
        <v>882018</v>
      </c>
      <c r="C10" s="1804">
        <f>(C8-C9)</f>
        <v>3067997</v>
      </c>
      <c r="D10" s="1804">
        <f>(D8-D9)</f>
        <v>621955</v>
      </c>
      <c r="E10" s="1803">
        <f>(E8-E9)</f>
        <v>560817</v>
      </c>
      <c r="F10" s="1805">
        <f>SUM(F8-F9)</f>
        <v>5132787</v>
      </c>
    </row>
    <row r="11" spans="1:8" s="851" customFormat="1" ht="14.25" thickTop="1" thickBot="1" x14ac:dyDescent="0.25">
      <c r="A11" s="853" t="s">
        <v>1900</v>
      </c>
      <c r="B11" s="1806">
        <f>'Acct Summary 7-8'!C81</f>
        <v>39098199</v>
      </c>
      <c r="C11" s="1806">
        <f>'Acct Summary 7-8'!D81</f>
        <v>7985800</v>
      </c>
      <c r="D11" s="1806">
        <f>'Acct Summary 7-8'!F81</f>
        <v>7139933</v>
      </c>
      <c r="E11" s="1806">
        <f>'Acct Summary 7-8'!I81</f>
        <v>4595679</v>
      </c>
      <c r="F11" s="1807">
        <f>SUM(B11:E11)</f>
        <v>58819611</v>
      </c>
    </row>
    <row r="12" spans="1:8" ht="16.5" customHeight="1" thickTop="1" x14ac:dyDescent="0.2">
      <c r="A12" s="854"/>
      <c r="B12" s="855"/>
      <c r="C12" s="2502" t="str">
        <f>IF(AND(F10&lt;0,F11&gt;=0,ABS(F10*3)&gt;ABS(F11)),A16,IF(AND(F10&lt;0,F11&gt;0,ABS(F10*3)&lt;=ABS(F11)),A17,IF(AND(F10&lt;0,F11&lt;0),A16,IF(F11=0,A19,A18))))</f>
        <v>Balanced - no deficit reduction plan is required.</v>
      </c>
      <c r="D12" s="2503"/>
      <c r="E12" s="2503"/>
      <c r="F12" s="2504"/>
    </row>
    <row r="13" spans="1:8" ht="19.5" customHeight="1" x14ac:dyDescent="0.2">
      <c r="A13" s="856"/>
      <c r="B13" s="857"/>
      <c r="C13" s="2502"/>
      <c r="D13" s="2503"/>
      <c r="E13" s="2503"/>
      <c r="F13" s="2504"/>
      <c r="H13" s="846"/>
    </row>
    <row r="14" spans="1:8" ht="19.5" customHeight="1" x14ac:dyDescent="0.2">
      <c r="A14" s="856"/>
      <c r="B14" s="857"/>
      <c r="C14" s="2502"/>
      <c r="D14" s="2503"/>
      <c r="E14" s="2503"/>
      <c r="F14" s="2504"/>
      <c r="H14" s="846"/>
    </row>
    <row r="15" spans="1:8" ht="17.25" customHeight="1" x14ac:dyDescent="0.2">
      <c r="A15" s="856"/>
      <c r="B15" s="857"/>
      <c r="C15" s="2505"/>
      <c r="D15" s="2506"/>
      <c r="E15" s="2506"/>
      <c r="F15" s="2507"/>
      <c r="H15" s="846"/>
    </row>
    <row r="16" spans="1:8" s="288" customFormat="1" ht="51.75" hidden="1" customHeight="1" x14ac:dyDescent="0.2">
      <c r="A16" s="2501" t="s">
        <v>1666</v>
      </c>
      <c r="B16" s="2501"/>
      <c r="C16" s="2501"/>
      <c r="D16" s="2501"/>
      <c r="E16" s="2501"/>
      <c r="F16" s="288" t="s">
        <v>1355</v>
      </c>
    </row>
    <row r="17" spans="1:6" hidden="1" x14ac:dyDescent="0.2">
      <c r="A17" s="294" t="s">
        <v>1667</v>
      </c>
      <c r="F17" s="858"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37&amp;R&amp;8Page 37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23" t="s">
        <v>660</v>
      </c>
      <c r="B3" s="2524"/>
      <c r="C3" s="2524"/>
      <c r="D3" s="2525"/>
    </row>
    <row r="4" spans="1:4" x14ac:dyDescent="0.2">
      <c r="A4" s="924" t="s">
        <v>1671</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34" t="s">
        <v>1487</v>
      </c>
      <c r="D7" s="2535"/>
    </row>
    <row r="8" spans="1:4" s="542" customFormat="1" ht="12.75" x14ac:dyDescent="0.2">
      <c r="A8" s="910"/>
      <c r="B8" s="865"/>
      <c r="C8" s="868" t="s">
        <v>1486</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1053</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1488</v>
      </c>
      <c r="D14" s="909"/>
    </row>
    <row r="15" spans="1:4" s="542" customFormat="1" ht="21.75" customHeight="1" x14ac:dyDescent="0.2">
      <c r="A15" s="2526" t="s">
        <v>1001</v>
      </c>
      <c r="B15" s="2527"/>
      <c r="C15" s="2527"/>
      <c r="D15" s="2528"/>
    </row>
    <row r="16" spans="1:4" s="542" customFormat="1" ht="24" customHeight="1" x14ac:dyDescent="0.2">
      <c r="A16" s="2529" t="s">
        <v>658</v>
      </c>
      <c r="B16" s="2530"/>
      <c r="C16" s="2530"/>
      <c r="D16" s="2531"/>
    </row>
    <row r="17" spans="1:10" s="542" customFormat="1" ht="12.75" customHeight="1" x14ac:dyDescent="0.2">
      <c r="A17" s="928" t="s">
        <v>1672</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1673</v>
      </c>
      <c r="C20" s="942"/>
      <c r="D20" s="945" t="s">
        <v>705</v>
      </c>
    </row>
    <row r="21" spans="1:10" x14ac:dyDescent="0.2">
      <c r="A21" s="870"/>
      <c r="B21" s="871">
        <v>1</v>
      </c>
      <c r="C21" s="2538" t="s">
        <v>311</v>
      </c>
      <c r="D21" s="2539"/>
    </row>
    <row r="22" spans="1:10" ht="12.75" x14ac:dyDescent="0.2">
      <c r="A22" s="911"/>
      <c r="B22" s="912">
        <v>2</v>
      </c>
      <c r="C22" s="2536" t="s">
        <v>1507</v>
      </c>
      <c r="D22" s="2537"/>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1321</v>
      </c>
      <c r="D24" s="914" t="str">
        <f>IF(COVER!O11="X","OK",IF(AND('Aud Quest 2'!J90=0,'Aud Quest 2'!I77&lt;DATE(2017,12,31)),"ENTER ACCOUNTING INFO",IF(AND('Aud Quest 2'!J90&gt;0,'Aud Quest 2'!I77&lt;DATE(2017,12,31)),"OK")))</f>
        <v>OK</v>
      </c>
    </row>
    <row r="25" spans="1:10" x14ac:dyDescent="0.2">
      <c r="A25" s="872"/>
      <c r="B25" s="873"/>
      <c r="C25" s="874" t="s">
        <v>1509</v>
      </c>
      <c r="D25" s="875" t="str">
        <f>IF(AND(COVER!J29="X",COVER!J30="X",COVER!L30&lt;&gt;"X"),"OK",IF(AND(COVER!J29="X",COVER!J30&lt;&gt;"X",COVER!L30="X"),"OK",IF(AND(COVER!L29="X",COVER!J30&lt;&gt;"X"),"OK","PLEASE CHECK YES or NO.")))</f>
        <v>OK</v>
      </c>
    </row>
    <row r="26" spans="1:10" x14ac:dyDescent="0.2">
      <c r="A26" s="872"/>
      <c r="B26" s="915"/>
      <c r="C26" s="876" t="s">
        <v>1508</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1357</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40" t="s">
        <v>533</v>
      </c>
      <c r="D43" s="2541"/>
    </row>
    <row r="44" spans="1:12" x14ac:dyDescent="0.2">
      <c r="A44" s="891"/>
      <c r="B44" s="893"/>
      <c r="C44" s="894" t="s">
        <v>1324</v>
      </c>
      <c r="D44" s="895" t="str">
        <f>IF(SUM('Assets-Liab 5-6'!C13)&lt;&gt;SUM('Assets-Liab 5-6'!C41),"ERROR!","OK")</f>
        <v>OK</v>
      </c>
    </row>
    <row r="45" spans="1:12" x14ac:dyDescent="0.2">
      <c r="A45" s="891"/>
      <c r="B45" s="893"/>
      <c r="C45" s="894" t="s">
        <v>1325</v>
      </c>
      <c r="D45" s="895" t="str">
        <f>IF(SUM('Assets-Liab 5-6'!D13)&lt;&gt;SUM('Assets-Liab 5-6'!D41),"ERROR!","OK")</f>
        <v>OK</v>
      </c>
    </row>
    <row r="46" spans="1:12" x14ac:dyDescent="0.2">
      <c r="A46" s="891"/>
      <c r="B46" s="893"/>
      <c r="C46" s="894" t="s">
        <v>1326</v>
      </c>
      <c r="D46" s="895" t="str">
        <f>IF(SUM('Assets-Liab 5-6'!E13)&lt;&gt;SUM('Assets-Liab 5-6'!E41),"ERROR!","OK")</f>
        <v>OK</v>
      </c>
    </row>
    <row r="47" spans="1:12" x14ac:dyDescent="0.2">
      <c r="A47" s="891"/>
      <c r="B47" s="893"/>
      <c r="C47" s="894" t="s">
        <v>1327</v>
      </c>
      <c r="D47" s="895" t="str">
        <f>IF(SUM('Assets-Liab 5-6'!F13)&lt;&gt;SUM('Assets-Liab 5-6'!F41),"ERROR!","OK")</f>
        <v>OK</v>
      </c>
    </row>
    <row r="48" spans="1:12" x14ac:dyDescent="0.2">
      <c r="A48" s="891"/>
      <c r="B48" s="893"/>
      <c r="C48" s="894" t="s">
        <v>1328</v>
      </c>
      <c r="D48" s="895" t="str">
        <f>IF(SUM('Assets-Liab 5-6'!G13)&lt;&gt;SUM('Assets-Liab 5-6'!G41),"ERROR!","OK")</f>
        <v>OK</v>
      </c>
    </row>
    <row r="49" spans="1:4" x14ac:dyDescent="0.2">
      <c r="A49" s="891"/>
      <c r="B49" s="893"/>
      <c r="C49" s="894" t="s">
        <v>1329</v>
      </c>
      <c r="D49" s="895" t="str">
        <f>IF(SUM('Assets-Liab 5-6'!H13)&lt;&gt;SUM('Assets-Liab 5-6'!H41),"ERROR!","OK")</f>
        <v>OK</v>
      </c>
    </row>
    <row r="50" spans="1:4" x14ac:dyDescent="0.2">
      <c r="A50" s="891"/>
      <c r="B50" s="893"/>
      <c r="C50" s="894" t="s">
        <v>1330</v>
      </c>
      <c r="D50" s="895" t="str">
        <f>IF(SUM('Assets-Liab 5-6'!I13)&lt;&gt;SUM('Assets-Liab 5-6'!I41),"ERROR!","OK")</f>
        <v>OK</v>
      </c>
    </row>
    <row r="51" spans="1:4" x14ac:dyDescent="0.2">
      <c r="A51" s="891"/>
      <c r="B51" s="893"/>
      <c r="C51" s="894" t="s">
        <v>1331</v>
      </c>
      <c r="D51" s="895" t="str">
        <f>IF(SUM('Assets-Liab 5-6'!J13)&lt;&gt;SUM('Assets-Liab 5-6'!J41),"ERROR!","OK")</f>
        <v>OK</v>
      </c>
    </row>
    <row r="52" spans="1:4" x14ac:dyDescent="0.2">
      <c r="A52" s="891"/>
      <c r="B52" s="893"/>
      <c r="C52" s="894" t="s">
        <v>1332</v>
      </c>
      <c r="D52" s="895" t="str">
        <f>IF(SUM('Assets-Liab 5-6'!K13)&lt;&gt;SUM('Assets-Liab 5-6'!K41),"ERROR!","OK")</f>
        <v>OK</v>
      </c>
    </row>
    <row r="53" spans="1:4" x14ac:dyDescent="0.2">
      <c r="A53" s="891"/>
      <c r="B53" s="893"/>
      <c r="C53" s="894" t="s">
        <v>1333</v>
      </c>
      <c r="D53" s="895" t="str">
        <f>IF(SUM('Assets-Liab 5-6'!L13)&lt;&gt;('Assets-Liab 5-6'!L41),"ERROR!","OK")</f>
        <v>OK</v>
      </c>
    </row>
    <row r="54" spans="1:4" x14ac:dyDescent="0.2">
      <c r="A54" s="891"/>
      <c r="B54" s="893"/>
      <c r="C54" s="894" t="s">
        <v>1334</v>
      </c>
      <c r="D54" s="895" t="str">
        <f>IF(SUM('Assets-Liab 5-6'!M23)&lt;&gt;('Assets-Liab 5-6'!M41),"ERROR!","OK")</f>
        <v>OK</v>
      </c>
    </row>
    <row r="55" spans="1:4" x14ac:dyDescent="0.2">
      <c r="A55" s="891"/>
      <c r="B55" s="893"/>
      <c r="C55" s="894" t="s">
        <v>1335</v>
      </c>
      <c r="D55" s="895" t="str">
        <f>IF(SUM('Assets-Liab 5-6'!N23)&lt;&gt;('Assets-Liab 5-6'!N41),"ERROR!","OK")</f>
        <v>OK</v>
      </c>
    </row>
    <row r="56" spans="1:4" x14ac:dyDescent="0.2">
      <c r="A56" s="872"/>
      <c r="B56" s="892">
        <f>B43+1</f>
        <v>6</v>
      </c>
      <c r="C56" s="2532" t="s">
        <v>779</v>
      </c>
      <c r="D56" s="2533"/>
    </row>
    <row r="57" spans="1:4" s="888" customFormat="1" x14ac:dyDescent="0.2">
      <c r="A57" s="872"/>
      <c r="B57" s="882"/>
      <c r="C57" s="890" t="s">
        <v>1336</v>
      </c>
      <c r="D57" s="896" t="str">
        <f>IF('Assets-Liab 5-6'!C38+'Assets-Liab 5-6'!C39='Acct Summary 7-8'!C81,"OK","ERROR!")</f>
        <v>OK</v>
      </c>
    </row>
    <row r="58" spans="1:4" x14ac:dyDescent="0.2">
      <c r="A58" s="872"/>
      <c r="B58" s="882"/>
      <c r="C58" s="890" t="s">
        <v>1337</v>
      </c>
      <c r="D58" s="896" t="str">
        <f>IF((('Assets-Liab 5-6'!D38+'Assets-Liab 5-6'!D39) ='Acct Summary 7-8'!D81), "OK", "ERROR!" )</f>
        <v>OK</v>
      </c>
    </row>
    <row r="59" spans="1:4" s="888" customFormat="1" x14ac:dyDescent="0.2">
      <c r="A59" s="872"/>
      <c r="B59" s="882"/>
      <c r="C59" s="890" t="s">
        <v>1338</v>
      </c>
      <c r="D59" s="896" t="str">
        <f>IF((('Assets-Liab 5-6'!E38 + 'Assets-Liab 5-6'!E39) ='Acct Summary 7-8'!E81), "OK", "ERROR!" )</f>
        <v>OK</v>
      </c>
    </row>
    <row r="60" spans="1:4" x14ac:dyDescent="0.2">
      <c r="A60" s="872"/>
      <c r="B60" s="882"/>
      <c r="C60" s="890" t="s">
        <v>1339</v>
      </c>
      <c r="D60" s="896" t="str">
        <f>IF((('Assets-Liab 5-6'!F38 + 'Assets-Liab 5-6'!F39) ='Acct Summary 7-8'!F81), "OK", "ERROR!" )</f>
        <v>OK</v>
      </c>
    </row>
    <row r="61" spans="1:4" ht="12.75" customHeight="1" x14ac:dyDescent="0.2">
      <c r="A61" s="872"/>
      <c r="B61" s="882"/>
      <c r="C61" s="890" t="s">
        <v>1347</v>
      </c>
      <c r="D61" s="896" t="str">
        <f>IF((('Assets-Liab 5-6'!G38 + 'Assets-Liab 5-6'!G39) ='Acct Summary 7-8'!G81), "OK", "ERROR!" )</f>
        <v>OK</v>
      </c>
    </row>
    <row r="62" spans="1:4" x14ac:dyDescent="0.2">
      <c r="A62" s="872"/>
      <c r="B62" s="882"/>
      <c r="C62" s="890" t="s">
        <v>1340</v>
      </c>
      <c r="D62" s="896" t="str">
        <f>IF((('Assets-Liab 5-6'!H38 + 'Assets-Liab 5-6'!H39) ='Acct Summary 7-8'!H81), "OK", "ERROR!" )</f>
        <v>OK</v>
      </c>
    </row>
    <row r="63" spans="1:4" ht="12.75" customHeight="1" x14ac:dyDescent="0.2">
      <c r="A63" s="872"/>
      <c r="B63" s="882"/>
      <c r="C63" s="890" t="s">
        <v>1341</v>
      </c>
      <c r="D63" s="896" t="str">
        <f>IF((('Assets-Liab 5-6'!I38 + 'Assets-Liab 5-6'!I39) ='Acct Summary 7-8'!I81), "OK", "ERROR!" )</f>
        <v>OK</v>
      </c>
    </row>
    <row r="64" spans="1:4" x14ac:dyDescent="0.2">
      <c r="A64" s="872"/>
      <c r="B64" s="882"/>
      <c r="C64" s="890" t="s">
        <v>1342</v>
      </c>
      <c r="D64" s="896" t="str">
        <f>IF((('Assets-Liab 5-6'!J38 + 'Assets-Liab 5-6'!J39) ='Acct Summary 7-8'!J81), "OK", "ERROR!" )</f>
        <v>OK</v>
      </c>
    </row>
    <row r="65" spans="1:4" x14ac:dyDescent="0.2">
      <c r="A65" s="889"/>
      <c r="B65" s="882"/>
      <c r="C65" s="890" t="s">
        <v>1348</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1014</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32" t="s">
        <v>1674</v>
      </c>
      <c r="D70" s="2533"/>
    </row>
    <row r="71" spans="1:4" x14ac:dyDescent="0.2">
      <c r="A71" s="870"/>
      <c r="B71" s="892"/>
      <c r="C71" s="874" t="s">
        <v>1343</v>
      </c>
      <c r="D71" s="898" t="str">
        <f>IF(SUM('Acct Summary 7-8'!C27:K27) =SUM( 'Acct Summary 7-8'!C49:K49),"OK", "ERROR")</f>
        <v>OK</v>
      </c>
    </row>
    <row r="72" spans="1:4" x14ac:dyDescent="0.2">
      <c r="A72" s="872"/>
      <c r="B72" s="882"/>
      <c r="C72" s="890" t="s">
        <v>1344</v>
      </c>
      <c r="D72" s="896" t="str">
        <f>IF(SUM('Acct Summary 7-8'!C28:K28)=SUM('Acct Summary 7-8'!C50:K50),"OK","ERROR!")</f>
        <v>OK</v>
      </c>
    </row>
    <row r="73" spans="1:4" ht="24" x14ac:dyDescent="0.2">
      <c r="A73" s="899"/>
      <c r="B73" s="882"/>
      <c r="C73" s="890" t="s">
        <v>1675</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1361</v>
      </c>
      <c r="D75" s="896" t="str">
        <f>IF(SUM('Assets-Liab 5-6'!C38:H38)&gt;=SUM('Rest Tax Levies-Tort Im 25'!G25:K25),"OK","ERROR")</f>
        <v>OK</v>
      </c>
    </row>
    <row r="76" spans="1:4" x14ac:dyDescent="0.2">
      <c r="A76" s="872"/>
      <c r="B76" s="882"/>
      <c r="C76" s="890" t="s">
        <v>1401</v>
      </c>
      <c r="D76" s="896" t="str">
        <f>IF(SUM('Assets-Liab 5-6'!C39:K39)&gt;0,"OK","ENTRY IS REQUIRED!")</f>
        <v>OK</v>
      </c>
    </row>
    <row r="77" spans="1:4" x14ac:dyDescent="0.2">
      <c r="A77" s="872"/>
      <c r="B77" s="901">
        <f>B74+1</f>
        <v>11</v>
      </c>
      <c r="C77" s="946" t="s">
        <v>1362</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1407</v>
      </c>
      <c r="D83" s="895" t="str">
        <f>IF('Shared Outsourced Services 31'!B8="X","OK",IF('Shared Outsourced Services 31'!K34&gt;0,"OK","ENTRY REQUIRED!"))</f>
        <v>OK</v>
      </c>
    </row>
    <row r="84" spans="1:4" x14ac:dyDescent="0.2">
      <c r="A84" s="891"/>
      <c r="B84" s="892">
        <v>17</v>
      </c>
      <c r="C84" s="902" t="s">
        <v>1406</v>
      </c>
      <c r="D84" s="904" t="str">
        <f>IF(COVER!B5="X",IF('AC Tort 32-33'!L20=0,"ENTER BUDGET DATA!","OK"),"OK")</f>
        <v>OK</v>
      </c>
    </row>
  </sheetData>
  <sheetProtection algorithmName="SHA-512" hashValue="DRchg7iyU8XpYVwdGROyusCA5izXfqXQSl9e8CIsQXg/mWZIwXfcgat3zJxJ2sEsP/rFLC7SEurXql4gWugJEA==" saltValue="OaNTXvpJBv4B2qacsNWB3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44063015004</v>
      </c>
      <c r="E2" s="1535">
        <v>2020</v>
      </c>
      <c r="F2" s="1535">
        <v>1</v>
      </c>
      <c r="G2" s="1886">
        <v>101000300</v>
      </c>
    </row>
    <row r="3" spans="1:7" ht="15" x14ac:dyDescent="0.25">
      <c r="A3" t="s">
        <v>950</v>
      </c>
      <c r="B3" s="135" t="str">
        <f>COVER!A15</f>
        <v>McHenry/Lake</v>
      </c>
      <c r="E3" s="1819" t="s">
        <v>1968</v>
      </c>
      <c r="F3" s="1819" t="s">
        <v>1967</v>
      </c>
      <c r="G3" s="1886">
        <v>101000400</v>
      </c>
    </row>
    <row r="4" spans="1:7" ht="15" x14ac:dyDescent="0.25">
      <c r="A4" t="s">
        <v>1000</v>
      </c>
      <c r="B4" s="135" t="str">
        <f>COVER!A17</f>
        <v xml:space="preserve">  McHenry CCSD 15</v>
      </c>
      <c r="E4" s="1817">
        <v>44119</v>
      </c>
      <c r="F4" s="1818">
        <v>44151</v>
      </c>
      <c r="G4" s="1886">
        <v>101000600</v>
      </c>
    </row>
    <row r="5" spans="1:7" ht="15" x14ac:dyDescent="0.25">
      <c r="A5" t="s">
        <v>699</v>
      </c>
      <c r="B5" s="135">
        <f>COVER!A38</f>
        <v>0</v>
      </c>
      <c r="G5" s="1886">
        <v>101000800</v>
      </c>
    </row>
    <row r="6" spans="1:7" ht="15" x14ac:dyDescent="0.25">
      <c r="A6" t="s">
        <v>704</v>
      </c>
      <c r="B6" s="135">
        <f>COVER!P35</f>
        <v>0</v>
      </c>
      <c r="G6" s="1886">
        <v>102100300</v>
      </c>
    </row>
    <row r="7" spans="1:7" ht="15" x14ac:dyDescent="0.25">
      <c r="A7" t="s">
        <v>700</v>
      </c>
      <c r="B7" s="135">
        <f>COVER!I38</f>
        <v>0</v>
      </c>
      <c r="G7" s="1886">
        <v>102100400</v>
      </c>
    </row>
    <row r="8" spans="1:7" ht="15" x14ac:dyDescent="0.25">
      <c r="A8" t="s">
        <v>701</v>
      </c>
      <c r="B8" s="135">
        <f>COVER!T38</f>
        <v>0</v>
      </c>
      <c r="G8" s="1886">
        <v>102100600</v>
      </c>
    </row>
    <row r="9" spans="1:7" ht="15" x14ac:dyDescent="0.25">
      <c r="A9" s="3" t="s">
        <v>951</v>
      </c>
      <c r="B9" s="153" t="str">
        <f>AUDITCHECK!D23</f>
        <v>CASH</v>
      </c>
      <c r="G9" s="1886">
        <v>102100800</v>
      </c>
    </row>
    <row r="10" spans="1:7" ht="15" x14ac:dyDescent="0.25">
      <c r="A10" t="s">
        <v>970</v>
      </c>
      <c r="B10" s="135" t="str">
        <f>COVER!B5</f>
        <v>x</v>
      </c>
      <c r="G10" s="1886">
        <v>202100300</v>
      </c>
    </row>
    <row r="11" spans="1:7" ht="15" x14ac:dyDescent="0.25">
      <c r="A11" t="s">
        <v>971</v>
      </c>
      <c r="B11" s="135">
        <f>COVER!B6</f>
        <v>0</v>
      </c>
      <c r="G11" s="1886">
        <v>202100400</v>
      </c>
    </row>
    <row r="12" spans="1:7" ht="15" x14ac:dyDescent="0.25">
      <c r="A12" s="1" t="s">
        <v>1526</v>
      </c>
      <c r="B12" s="135" t="str">
        <f>IF(COVER!J29="x","Yes",IF(COVER!L29="X","No",0))</f>
        <v>Yes</v>
      </c>
      <c r="G12" s="1886">
        <v>202100600</v>
      </c>
    </row>
    <row r="13" spans="1:7" ht="15" x14ac:dyDescent="0.25">
      <c r="A13" s="1" t="s">
        <v>1527</v>
      </c>
      <c r="B13" s="135" t="str">
        <f>IF(COVER!J30="x","Yes",IF(COVER!L30="x","No",0))</f>
        <v>Yes</v>
      </c>
      <c r="G13" s="1886">
        <v>202100800</v>
      </c>
    </row>
    <row r="14" spans="1:7" ht="15" x14ac:dyDescent="0.25">
      <c r="A14" t="s">
        <v>473</v>
      </c>
      <c r="B14" s="135" t="str">
        <f>IF(COVER!J31="x","Yes",IF(COVER!L31="x","No",0))</f>
        <v>Yes</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878</v>
      </c>
      <c r="B17" s="135" t="str">
        <f>COVER!T15</f>
        <v>Kevin Smith</v>
      </c>
      <c r="G17" s="1886">
        <v>402100800</v>
      </c>
    </row>
    <row r="18" spans="1:7" ht="15" x14ac:dyDescent="0.25">
      <c r="A18" t="s">
        <v>1140</v>
      </c>
      <c r="B18" s="135" t="str">
        <f>COVER!T17</f>
        <v>5400 WEST ELM STREET, SUITE 203</v>
      </c>
      <c r="G18" s="1886">
        <v>102200300</v>
      </c>
    </row>
    <row r="19" spans="1:7" ht="15" x14ac:dyDescent="0.25">
      <c r="A19" t="s">
        <v>880</v>
      </c>
      <c r="B19" s="135" t="str">
        <f>COVER!T25</f>
        <v>CPAS@EDERCASELLA.COM</v>
      </c>
      <c r="G19" s="1886">
        <v>102200400</v>
      </c>
    </row>
    <row r="20" spans="1:7" ht="15" x14ac:dyDescent="0.25">
      <c r="A20" t="s">
        <v>881</v>
      </c>
      <c r="B20" s="135" t="str">
        <f>COVER!T19</f>
        <v>MCHENRY</v>
      </c>
      <c r="G20" s="1886">
        <v>102200600</v>
      </c>
    </row>
    <row r="21" spans="1:7" ht="15" x14ac:dyDescent="0.25">
      <c r="A21" t="s">
        <v>476</v>
      </c>
      <c r="B21" s="135" t="str">
        <f>COVER!X19</f>
        <v>IL</v>
      </c>
      <c r="G21" s="1886">
        <v>102200800</v>
      </c>
    </row>
    <row r="22" spans="1:7" ht="15" x14ac:dyDescent="0.25">
      <c r="A22" t="s">
        <v>882</v>
      </c>
      <c r="B22" s="135">
        <f>COVER!Z19</f>
        <v>60050</v>
      </c>
      <c r="G22" s="1886">
        <v>102300300</v>
      </c>
    </row>
    <row r="23" spans="1:7" ht="15" x14ac:dyDescent="0.25">
      <c r="A23" t="s">
        <v>1142</v>
      </c>
      <c r="B23" s="135" t="str">
        <f>COVER!T21</f>
        <v>815-344-1300</v>
      </c>
      <c r="G23" s="1886">
        <v>102300400</v>
      </c>
    </row>
    <row r="24" spans="1:7" ht="15" x14ac:dyDescent="0.25">
      <c r="A24" t="s">
        <v>1141</v>
      </c>
      <c r="B24" s="135">
        <f>COVER!Y21</f>
        <v>0</v>
      </c>
      <c r="G24" s="1886">
        <v>102300600</v>
      </c>
    </row>
    <row r="25" spans="1:7" ht="15" x14ac:dyDescent="0.25">
      <c r="A25" t="s">
        <v>756</v>
      </c>
      <c r="B25" s="135">
        <f>COVER!B34</f>
        <v>0</v>
      </c>
      <c r="G25" s="1886">
        <v>102300800</v>
      </c>
    </row>
    <row r="26" spans="1:7" ht="15" x14ac:dyDescent="0.25">
      <c r="A26" t="s">
        <v>1143</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Yes</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755</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Yes</v>
      </c>
      <c r="G47" s="1886">
        <v>102540400</v>
      </c>
    </row>
    <row r="48" spans="1:7" ht="15" x14ac:dyDescent="0.25">
      <c r="A48" t="s">
        <v>480</v>
      </c>
      <c r="B48" s="135" t="str">
        <f>IF('Aud Quest 2'!B51="x","Yes",IF('Aud Quest 2'!B51&lt;&gt;"x","0"))</f>
        <v>0</v>
      </c>
      <c r="G48" s="1886">
        <v>102540600</v>
      </c>
    </row>
    <row r="49" spans="1:7" ht="15" x14ac:dyDescent="0.25">
      <c r="A49" s="1" t="s">
        <v>1464</v>
      </c>
      <c r="B49" s="135" t="str">
        <f>IF('Aud Quest 2'!B53="x","Yes",IF('Aud Quest 2'!B53&lt;&gt;"x","0"))</f>
        <v>Yes</v>
      </c>
      <c r="G49" s="1886">
        <v>102540800</v>
      </c>
    </row>
    <row r="50" spans="1:7" ht="15" x14ac:dyDescent="0.25">
      <c r="A50" s="1" t="s">
        <v>1463</v>
      </c>
      <c r="B50" s="146">
        <f>'Aud Quest 2'!H53</f>
        <v>33239</v>
      </c>
      <c r="G50" s="1886">
        <v>202540300</v>
      </c>
    </row>
    <row r="51" spans="1:7" ht="15" x14ac:dyDescent="0.25">
      <c r="A51" s="1" t="s">
        <v>1465</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0</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7354039</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3212</v>
      </c>
      <c r="D76" s="2" t="str">
        <f t="shared" si="0"/>
        <v>Error?</v>
      </c>
      <c r="G76" s="1886">
        <v>102570600</v>
      </c>
    </row>
    <row r="77" spans="1:7" ht="15" x14ac:dyDescent="0.25">
      <c r="A77" s="5">
        <v>16</v>
      </c>
      <c r="B77" s="1821">
        <f>'Assets-Liab 5-6'!C13</f>
        <v>39098199</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0</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0</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0</v>
      </c>
      <c r="C91" s="2" t="s">
        <v>569</v>
      </c>
      <c r="D91" s="2" t="str">
        <f t="shared" si="0"/>
        <v>Error?</v>
      </c>
      <c r="G91" s="1886">
        <v>102640400</v>
      </c>
    </row>
    <row r="92" spans="1:7" ht="15" x14ac:dyDescent="0.25">
      <c r="A92" s="5">
        <v>31</v>
      </c>
      <c r="B92" s="1821">
        <f>'Assets-Liab 5-6'!C39</f>
        <v>39098199</v>
      </c>
      <c r="D92" s="2" t="str">
        <f t="shared" si="0"/>
        <v>Error?</v>
      </c>
      <c r="G92" s="1886">
        <v>102640600</v>
      </c>
    </row>
    <row r="93" spans="1:7" ht="15" x14ac:dyDescent="0.25">
      <c r="A93" s="5">
        <v>32</v>
      </c>
      <c r="B93" s="1821">
        <f>'Assets-Liab 5-6'!C41</f>
        <v>39098199</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1245845</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7985800</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0</v>
      </c>
      <c r="C122" s="2" t="s">
        <v>569</v>
      </c>
      <c r="D122" s="2" t="str">
        <f t="shared" si="0"/>
        <v>Error?</v>
      </c>
      <c r="G122" s="1886">
        <v>203000300</v>
      </c>
    </row>
    <row r="123" spans="1:7" ht="15" x14ac:dyDescent="0.25">
      <c r="A123" s="5">
        <v>62</v>
      </c>
      <c r="B123" s="1821">
        <f>'Assets-Liab 5-6'!D39</f>
        <v>7985800</v>
      </c>
      <c r="D123" s="2" t="str">
        <f t="shared" si="0"/>
        <v>Error?</v>
      </c>
      <c r="G123" s="1886">
        <v>203000400</v>
      </c>
    </row>
    <row r="124" spans="1:7" ht="15" x14ac:dyDescent="0.25">
      <c r="A124" s="5">
        <v>63</v>
      </c>
      <c r="B124" s="1821">
        <f>'Assets-Liab 5-6'!D41</f>
        <v>7985800</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850578</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1114588</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1114588</v>
      </c>
      <c r="D140" s="2" t="str">
        <f t="shared" si="1"/>
        <v>Error?</v>
      </c>
    </row>
    <row r="141" spans="1:7" x14ac:dyDescent="0.2">
      <c r="A141" s="5">
        <v>80</v>
      </c>
      <c r="B141" s="1821">
        <f>'Assets-Liab 5-6'!E41</f>
        <v>1114588</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1537426</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7139933</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569</v>
      </c>
      <c r="D169" s="2" t="str">
        <f t="shared" si="1"/>
        <v>Error?</v>
      </c>
    </row>
    <row r="170" spans="1:4" x14ac:dyDescent="0.2">
      <c r="A170" s="5">
        <v>109</v>
      </c>
      <c r="B170" s="1821">
        <f>'Assets-Liab 5-6'!F39</f>
        <v>7139933</v>
      </c>
      <c r="D170" s="2" t="str">
        <f t="shared" si="1"/>
        <v>Error?</v>
      </c>
    </row>
    <row r="171" spans="1:4" x14ac:dyDescent="0.2">
      <c r="A171" s="5">
        <v>110</v>
      </c>
      <c r="B171" s="1821">
        <f>'Assets-Liab 5-6'!F41</f>
        <v>7139933</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1071328</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1071328</v>
      </c>
      <c r="D189" s="2" t="str">
        <f t="shared" si="1"/>
        <v>Error?</v>
      </c>
    </row>
    <row r="190" spans="1:4" x14ac:dyDescent="0.2">
      <c r="A190" s="5">
        <v>129</v>
      </c>
      <c r="B190" s="1821">
        <f>'Assets-Liab 5-6'!G41</f>
        <v>1071328</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889178</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889178</v>
      </c>
      <c r="D212" s="2" t="str">
        <f t="shared" si="2"/>
        <v>Error?</v>
      </c>
    </row>
    <row r="213" spans="1:4" x14ac:dyDescent="0.2">
      <c r="A213" s="12">
        <v>152</v>
      </c>
      <c r="B213" s="1821">
        <f>'Assets-Liab 5-6'!H41</f>
        <v>889178</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1262074</v>
      </c>
      <c r="D273" s="2" t="str">
        <f t="shared" si="3"/>
        <v>Error?</v>
      </c>
    </row>
    <row r="274" spans="1:4" x14ac:dyDescent="0.2">
      <c r="A274" s="5">
        <v>213</v>
      </c>
      <c r="B274" s="1821">
        <f>'Assets-Liab 5-6'!M17</f>
        <v>94243958</v>
      </c>
      <c r="D274" s="2" t="str">
        <f t="shared" si="3"/>
        <v>Error?</v>
      </c>
    </row>
    <row r="275" spans="1:4" x14ac:dyDescent="0.2">
      <c r="A275" s="5">
        <v>214</v>
      </c>
      <c r="B275" s="1821">
        <f>'Assets-Liab 5-6'!M18</f>
        <v>2174474</v>
      </c>
      <c r="D275" s="2" t="str">
        <f t="shared" si="3"/>
        <v>Error?</v>
      </c>
    </row>
    <row r="276" spans="1:4" x14ac:dyDescent="0.2">
      <c r="A276" s="5">
        <v>215</v>
      </c>
      <c r="B276" s="1821">
        <f>'Assets-Liab 5-6'!M19</f>
        <v>11924081</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109604587</v>
      </c>
      <c r="C279" s="2" t="s">
        <v>569</v>
      </c>
      <c r="D279" s="2" t="str">
        <f t="shared" si="3"/>
        <v>Error?</v>
      </c>
    </row>
    <row r="280" spans="1:4" x14ac:dyDescent="0.2">
      <c r="A280" s="5">
        <v>219</v>
      </c>
      <c r="B280" s="1821">
        <f>'Assets-Liab 5-6'!M40</f>
        <v>109604587</v>
      </c>
      <c r="D280" s="2" t="str">
        <f t="shared" si="3"/>
        <v>Error?</v>
      </c>
    </row>
    <row r="281" spans="1:4" x14ac:dyDescent="0.2">
      <c r="A281" s="5">
        <v>220</v>
      </c>
      <c r="B281" s="1821">
        <f>'Assets-Liab 5-6'!M41</f>
        <v>109604587</v>
      </c>
      <c r="C281" s="2" t="s">
        <v>569</v>
      </c>
      <c r="D281" s="2" t="str">
        <f t="shared" si="3"/>
        <v>Error?</v>
      </c>
    </row>
    <row r="282" spans="1:4" x14ac:dyDescent="0.2">
      <c r="A282" s="5">
        <v>221</v>
      </c>
      <c r="B282" s="1821">
        <f>'Assets-Liab 5-6'!N21</f>
        <v>0</v>
      </c>
      <c r="D282" s="2" t="str">
        <f t="shared" si="3"/>
        <v>Error?</v>
      </c>
    </row>
    <row r="283" spans="1:4" x14ac:dyDescent="0.2">
      <c r="A283" s="5">
        <v>222</v>
      </c>
      <c r="B283" s="1821">
        <f>'Assets-Liab 5-6'!N22</f>
        <v>0</v>
      </c>
      <c r="D283" s="2" t="str">
        <f t="shared" si="3"/>
        <v>Error?</v>
      </c>
    </row>
    <row r="284" spans="1:4" x14ac:dyDescent="0.2">
      <c r="A284" s="5">
        <v>223</v>
      </c>
      <c r="B284" s="1821">
        <f>'Assets-Liab 5-6'!N23</f>
        <v>0</v>
      </c>
      <c r="C284" s="2" t="s">
        <v>569</v>
      </c>
      <c r="D284" s="2" t="str">
        <f t="shared" si="3"/>
        <v>Error?</v>
      </c>
    </row>
    <row r="285" spans="1:4" x14ac:dyDescent="0.2">
      <c r="A285" s="5">
        <v>224</v>
      </c>
      <c r="B285" s="1821">
        <f>'Assets-Liab 5-6'!N36</f>
        <v>0</v>
      </c>
      <c r="D285" s="2" t="str">
        <f t="shared" si="3"/>
        <v>Error?</v>
      </c>
    </row>
    <row r="286" spans="1:4" x14ac:dyDescent="0.2">
      <c r="A286" s="10">
        <v>225</v>
      </c>
      <c r="B286" s="1821"/>
      <c r="D286" s="2" t="str">
        <f t="shared" si="3"/>
        <v>OK</v>
      </c>
    </row>
    <row r="287" spans="1:4" x14ac:dyDescent="0.2">
      <c r="A287" s="5">
        <v>226</v>
      </c>
      <c r="B287" s="1821">
        <f>'Assets-Liab 5-6'!N37</f>
        <v>0</v>
      </c>
      <c r="C287" s="2" t="s">
        <v>569</v>
      </c>
      <c r="D287" s="2" t="str">
        <f t="shared" si="3"/>
        <v>Error?</v>
      </c>
    </row>
    <row r="288" spans="1:4" x14ac:dyDescent="0.2">
      <c r="A288" s="5">
        <v>227</v>
      </c>
      <c r="B288" s="1821">
        <f>'Assets-Liab 5-6'!N41</f>
        <v>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11362453</v>
      </c>
      <c r="D705" s="2" t="str">
        <f t="shared" si="10"/>
        <v>Error?</v>
      </c>
    </row>
    <row r="706" spans="1:4" x14ac:dyDescent="0.2">
      <c r="A706" s="5">
        <v>645</v>
      </c>
      <c r="B706" s="1821">
        <f>'Expenditures 15-22'!C16</f>
        <v>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2758083</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255154</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28792774</v>
      </c>
      <c r="C720" s="2" t="s">
        <v>569</v>
      </c>
      <c r="D720" s="2" t="str">
        <f t="shared" si="10"/>
        <v>Error?</v>
      </c>
    </row>
    <row r="721" spans="1:4" x14ac:dyDescent="0.2">
      <c r="A721" s="5">
        <v>660</v>
      </c>
      <c r="B721" s="1821">
        <f>'Expenditures 15-22'!C36</f>
        <v>1109472</v>
      </c>
      <c r="D721" s="2" t="str">
        <f t="shared" si="10"/>
        <v>Error?</v>
      </c>
    </row>
    <row r="722" spans="1:4" x14ac:dyDescent="0.2">
      <c r="A722" s="5">
        <v>661</v>
      </c>
      <c r="B722" s="1821">
        <f>'Expenditures 15-22'!C37</f>
        <v>0</v>
      </c>
      <c r="D722" s="2" t="str">
        <f t="shared" si="10"/>
        <v>Error?</v>
      </c>
    </row>
    <row r="723" spans="1:4" x14ac:dyDescent="0.2">
      <c r="A723" s="5">
        <v>662</v>
      </c>
      <c r="B723" s="1821">
        <f>'Expenditures 15-22'!C38</f>
        <v>1115703</v>
      </c>
      <c r="D723" s="2" t="str">
        <f t="shared" si="10"/>
        <v>Error?</v>
      </c>
    </row>
    <row r="724" spans="1:4" x14ac:dyDescent="0.2">
      <c r="A724" s="5">
        <v>663</v>
      </c>
      <c r="B724" s="1821">
        <f>'Expenditures 15-22'!C39</f>
        <v>730419</v>
      </c>
      <c r="D724" s="2" t="str">
        <f t="shared" si="10"/>
        <v>Error?</v>
      </c>
    </row>
    <row r="725" spans="1:4" x14ac:dyDescent="0.2">
      <c r="A725" s="5">
        <v>664</v>
      </c>
      <c r="B725" s="1821">
        <f>'Expenditures 15-22'!C40</f>
        <v>1107310</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4062904</v>
      </c>
      <c r="C727" s="2" t="s">
        <v>569</v>
      </c>
      <c r="D727" s="2" t="str">
        <f t="shared" si="10"/>
        <v>Error?</v>
      </c>
    </row>
    <row r="728" spans="1:4" x14ac:dyDescent="0.2">
      <c r="A728" s="5">
        <v>667</v>
      </c>
      <c r="B728" s="1821">
        <f>'Expenditures 15-22'!C44</f>
        <v>237111</v>
      </c>
      <c r="D728" s="2" t="str">
        <f t="shared" si="10"/>
        <v>Error?</v>
      </c>
    </row>
    <row r="729" spans="1:4" x14ac:dyDescent="0.2">
      <c r="A729" s="5">
        <v>668</v>
      </c>
      <c r="B729" s="1821">
        <f>'Expenditures 15-22'!C45</f>
        <v>0</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237111</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537138</v>
      </c>
      <c r="D733" s="2" t="str">
        <f t="shared" si="10"/>
        <v>Error?</v>
      </c>
    </row>
    <row r="734" spans="1:4" x14ac:dyDescent="0.2">
      <c r="A734" s="5">
        <v>673</v>
      </c>
      <c r="B734" s="1821">
        <f>'Expenditures 15-22'!C53</f>
        <v>537138</v>
      </c>
      <c r="C734" s="2" t="s">
        <v>569</v>
      </c>
      <c r="D734" s="2" t="str">
        <f t="shared" si="10"/>
        <v>Error?</v>
      </c>
    </row>
    <row r="735" spans="1:4" x14ac:dyDescent="0.2">
      <c r="A735" s="5">
        <v>674</v>
      </c>
      <c r="B735" s="1821">
        <f>'Expenditures 15-22'!C55</f>
        <v>2118240</v>
      </c>
      <c r="D735" s="2" t="str">
        <f t="shared" si="10"/>
        <v>Error?</v>
      </c>
    </row>
    <row r="736" spans="1:4" x14ac:dyDescent="0.2">
      <c r="A736" s="5">
        <v>675</v>
      </c>
      <c r="B736" s="1821">
        <f>'Expenditures 15-22'!C56</f>
        <v>112021</v>
      </c>
      <c r="D736" s="2" t="str">
        <f t="shared" si="10"/>
        <v>Error?</v>
      </c>
    </row>
    <row r="737" spans="1:4" x14ac:dyDescent="0.2">
      <c r="A737" s="5">
        <v>676</v>
      </c>
      <c r="B737" s="1821">
        <f>'Expenditures 15-22'!C57</f>
        <v>2230261</v>
      </c>
      <c r="C737" s="2" t="s">
        <v>569</v>
      </c>
      <c r="D737" s="2" t="str">
        <f t="shared" si="10"/>
        <v>Error?</v>
      </c>
    </row>
    <row r="738" spans="1:4" x14ac:dyDescent="0.2">
      <c r="A738" s="5">
        <v>677</v>
      </c>
      <c r="B738" s="1821">
        <f>'Expenditures 15-22'!C59</f>
        <v>155258</v>
      </c>
      <c r="D738" s="2" t="str">
        <f t="shared" si="10"/>
        <v>Error?</v>
      </c>
    </row>
    <row r="739" spans="1:4" x14ac:dyDescent="0.2">
      <c r="A739" s="5">
        <v>678</v>
      </c>
      <c r="B739" s="1821">
        <f>'Expenditures 15-22'!C60</f>
        <v>336314</v>
      </c>
      <c r="D739" s="2" t="str">
        <f t="shared" si="10"/>
        <v>Error?</v>
      </c>
    </row>
    <row r="740" spans="1:4" x14ac:dyDescent="0.2">
      <c r="A740" s="5">
        <v>679</v>
      </c>
      <c r="B740" s="1821">
        <f>'Expenditures 15-22'!C61</f>
        <v>1957735</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649228</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3098535</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630529</v>
      </c>
      <c r="D751" s="2" t="str">
        <f t="shared" si="10"/>
        <v>Error?</v>
      </c>
    </row>
    <row r="752" spans="1:4" x14ac:dyDescent="0.2">
      <c r="A752" s="10">
        <v>691</v>
      </c>
      <c r="B752" s="1821"/>
      <c r="D752" s="2" t="str">
        <f t="shared" si="10"/>
        <v>OK</v>
      </c>
    </row>
    <row r="753" spans="1:4" x14ac:dyDescent="0.2">
      <c r="A753" s="5">
        <v>692</v>
      </c>
      <c r="B753" s="1821">
        <f>'Expenditures 15-22'!C72</f>
        <v>630529</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10796478</v>
      </c>
      <c r="C755" s="2" t="s">
        <v>569</v>
      </c>
      <c r="D755" s="2" t="str">
        <f t="shared" si="10"/>
        <v>Error?</v>
      </c>
    </row>
    <row r="756" spans="1:4" x14ac:dyDescent="0.2">
      <c r="A756" s="5">
        <v>695</v>
      </c>
      <c r="B756" s="1821">
        <f>'Expenditures 15-22'!C75</f>
        <v>4870</v>
      </c>
      <c r="D756" s="2" t="str">
        <f t="shared" si="10"/>
        <v>Error?</v>
      </c>
    </row>
    <row r="757" spans="1:4" x14ac:dyDescent="0.2">
      <c r="A757" s="5">
        <v>696</v>
      </c>
      <c r="B757" s="1821">
        <f>'Expenditures 15-22'!C114</f>
        <v>39594122</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1730097</v>
      </c>
      <c r="D763" s="2" t="str">
        <f t="shared" si="10"/>
        <v>Error?</v>
      </c>
    </row>
    <row r="764" spans="1:4" x14ac:dyDescent="0.2">
      <c r="A764" s="5">
        <v>703</v>
      </c>
      <c r="B764" s="1821">
        <f>'Expenditures 15-22'!D16</f>
        <v>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404145</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2754</v>
      </c>
      <c r="D776" s="2" t="str">
        <f t="shared" si="11"/>
        <v>Error?</v>
      </c>
    </row>
    <row r="777" spans="1:4" x14ac:dyDescent="0.2">
      <c r="A777" s="5">
        <v>716</v>
      </c>
      <c r="B777" s="1821">
        <f>'Expenditures 15-22'!D15</f>
        <v>0</v>
      </c>
      <c r="D777" s="2" t="str">
        <f t="shared" si="11"/>
        <v>Error?</v>
      </c>
    </row>
    <row r="778" spans="1:4" x14ac:dyDescent="0.2">
      <c r="A778" s="5">
        <v>717</v>
      </c>
      <c r="B778" s="1821">
        <f>'Expenditures 15-22'!D33</f>
        <v>4020044</v>
      </c>
      <c r="C778" s="2" t="s">
        <v>569</v>
      </c>
      <c r="D778" s="2" t="str">
        <f t="shared" si="11"/>
        <v>Error?</v>
      </c>
    </row>
    <row r="779" spans="1:4" x14ac:dyDescent="0.2">
      <c r="A779" s="5">
        <v>718</v>
      </c>
      <c r="B779" s="1821">
        <f>'Expenditures 15-22'!D36</f>
        <v>118100</v>
      </c>
      <c r="D779" s="2" t="str">
        <f t="shared" si="11"/>
        <v>Error?</v>
      </c>
    </row>
    <row r="780" spans="1:4" x14ac:dyDescent="0.2">
      <c r="A780" s="5">
        <v>719</v>
      </c>
      <c r="B780" s="1821">
        <f>'Expenditures 15-22'!D37</f>
        <v>0</v>
      </c>
      <c r="D780" s="2" t="str">
        <f t="shared" si="11"/>
        <v>Error?</v>
      </c>
    </row>
    <row r="781" spans="1:4" x14ac:dyDescent="0.2">
      <c r="A781" s="5">
        <v>720</v>
      </c>
      <c r="B781" s="1821">
        <f>'Expenditures 15-22'!D38</f>
        <v>140645</v>
      </c>
      <c r="D781" s="2" t="str">
        <f t="shared" si="11"/>
        <v>Error?</v>
      </c>
    </row>
    <row r="782" spans="1:4" x14ac:dyDescent="0.2">
      <c r="A782" s="5">
        <v>721</v>
      </c>
      <c r="B782" s="1821">
        <f>'Expenditures 15-22'!D39</f>
        <v>77496</v>
      </c>
      <c r="D782" s="2" t="str">
        <f t="shared" si="11"/>
        <v>Error?</v>
      </c>
    </row>
    <row r="783" spans="1:4" x14ac:dyDescent="0.2">
      <c r="A783" s="5">
        <v>722</v>
      </c>
      <c r="B783" s="1821">
        <f>'Expenditures 15-22'!D40</f>
        <v>112328</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448569</v>
      </c>
      <c r="C785" s="2" t="s">
        <v>569</v>
      </c>
      <c r="D785" s="2" t="str">
        <f t="shared" si="11"/>
        <v>Error?</v>
      </c>
    </row>
    <row r="786" spans="1:4" x14ac:dyDescent="0.2">
      <c r="A786" s="5">
        <v>725</v>
      </c>
      <c r="B786" s="1821">
        <f>'Expenditures 15-22'!D44</f>
        <v>35663</v>
      </c>
      <c r="D786" s="2" t="str">
        <f t="shared" si="11"/>
        <v>Error?</v>
      </c>
    </row>
    <row r="787" spans="1:4" x14ac:dyDescent="0.2">
      <c r="A787" s="5">
        <v>726</v>
      </c>
      <c r="B787" s="1821">
        <f>'Expenditures 15-22'!D45</f>
        <v>0</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35663</v>
      </c>
      <c r="C789" s="2" t="s">
        <v>569</v>
      </c>
      <c r="D789" s="2" t="str">
        <f t="shared" si="11"/>
        <v>Error?</v>
      </c>
    </row>
    <row r="790" spans="1:4" x14ac:dyDescent="0.2">
      <c r="A790" s="5">
        <v>729</v>
      </c>
      <c r="B790" s="1821">
        <f>'Expenditures 15-22'!D49</f>
        <v>66</v>
      </c>
      <c r="D790" s="2" t="str">
        <f t="shared" si="11"/>
        <v>Error?</v>
      </c>
    </row>
    <row r="791" spans="1:4" x14ac:dyDescent="0.2">
      <c r="A791" s="5">
        <v>730</v>
      </c>
      <c r="B791" s="1821">
        <f>'Expenditures 15-22'!D50</f>
        <v>29962</v>
      </c>
      <c r="D791" s="2" t="str">
        <f t="shared" si="11"/>
        <v>Error?</v>
      </c>
    </row>
    <row r="792" spans="1:4" x14ac:dyDescent="0.2">
      <c r="A792" s="5">
        <v>731</v>
      </c>
      <c r="B792" s="1821">
        <f>'Expenditures 15-22'!D53</f>
        <v>30028</v>
      </c>
      <c r="C792" s="2" t="s">
        <v>569</v>
      </c>
      <c r="D792" s="2" t="str">
        <f t="shared" si="11"/>
        <v>Error?</v>
      </c>
    </row>
    <row r="793" spans="1:4" x14ac:dyDescent="0.2">
      <c r="A793" s="5">
        <v>732</v>
      </c>
      <c r="B793" s="1821">
        <f>'Expenditures 15-22'!D55</f>
        <v>380909</v>
      </c>
      <c r="D793" s="2" t="str">
        <f t="shared" si="11"/>
        <v>Error?</v>
      </c>
    </row>
    <row r="794" spans="1:4" x14ac:dyDescent="0.2">
      <c r="A794" s="5">
        <v>733</v>
      </c>
      <c r="B794" s="1821">
        <f>'Expenditures 15-22'!D56</f>
        <v>25256</v>
      </c>
      <c r="D794" s="2" t="str">
        <f t="shared" si="11"/>
        <v>Error?</v>
      </c>
    </row>
    <row r="795" spans="1:4" x14ac:dyDescent="0.2">
      <c r="A795" s="5">
        <v>734</v>
      </c>
      <c r="B795" s="1821">
        <f>'Expenditures 15-22'!D57</f>
        <v>406165</v>
      </c>
      <c r="C795" s="2" t="s">
        <v>569</v>
      </c>
      <c r="D795" s="2" t="str">
        <f t="shared" si="11"/>
        <v>Error?</v>
      </c>
    </row>
    <row r="796" spans="1:4" x14ac:dyDescent="0.2">
      <c r="A796" s="5">
        <v>735</v>
      </c>
      <c r="B796" s="1821">
        <f>'Expenditures 15-22'!D59</f>
        <v>26603</v>
      </c>
      <c r="D796" s="2" t="str">
        <f t="shared" si="11"/>
        <v>Error?</v>
      </c>
    </row>
    <row r="797" spans="1:4" x14ac:dyDescent="0.2">
      <c r="A797" s="5">
        <v>736</v>
      </c>
      <c r="B797" s="1821">
        <f>'Expenditures 15-22'!D60</f>
        <v>47048</v>
      </c>
      <c r="D797" s="2" t="str">
        <f t="shared" si="11"/>
        <v>Error?</v>
      </c>
    </row>
    <row r="798" spans="1:4" x14ac:dyDescent="0.2">
      <c r="A798" s="5">
        <v>737</v>
      </c>
      <c r="B798" s="1821">
        <f>'Expenditures 15-22'!D61</f>
        <v>401287</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119722</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594660</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75298</v>
      </c>
      <c r="D809" s="2" t="str">
        <f t="shared" si="11"/>
        <v>Error?</v>
      </c>
    </row>
    <row r="810" spans="1:4" x14ac:dyDescent="0.2">
      <c r="A810" s="10">
        <v>749</v>
      </c>
      <c r="B810" s="1821"/>
      <c r="D810" s="2" t="str">
        <f t="shared" si="11"/>
        <v>OK</v>
      </c>
    </row>
    <row r="811" spans="1:4" x14ac:dyDescent="0.2">
      <c r="A811" s="5">
        <v>750</v>
      </c>
      <c r="B811" s="1821">
        <f>'Expenditures 15-22'!D72</f>
        <v>75298</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1590383</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5610427</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106244</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18154</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10549</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573025</v>
      </c>
      <c r="C836" s="2" t="s">
        <v>569</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26918</v>
      </c>
      <c r="D839" s="2" t="str">
        <f t="shared" si="12"/>
        <v>Error?</v>
      </c>
    </row>
    <row r="840" spans="1:4" x14ac:dyDescent="0.2">
      <c r="A840" s="5">
        <v>779</v>
      </c>
      <c r="B840" s="1821">
        <f>'Expenditures 15-22'!E39</f>
        <v>18860</v>
      </c>
      <c r="D840" s="2" t="str">
        <f t="shared" si="12"/>
        <v>Error?</v>
      </c>
    </row>
    <row r="841" spans="1:4" x14ac:dyDescent="0.2">
      <c r="A841" s="5">
        <v>780</v>
      </c>
      <c r="B841" s="1821">
        <f>'Expenditures 15-22'!E40</f>
        <v>2719</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48497</v>
      </c>
      <c r="C843" s="2" t="s">
        <v>569</v>
      </c>
      <c r="D843" s="2" t="str">
        <f t="shared" si="12"/>
        <v>Error?</v>
      </c>
    </row>
    <row r="844" spans="1:4" x14ac:dyDescent="0.2">
      <c r="A844" s="5">
        <v>783</v>
      </c>
      <c r="B844" s="1821">
        <f>'Expenditures 15-22'!E44</f>
        <v>184815</v>
      </c>
      <c r="D844" s="2" t="str">
        <f t="shared" si="12"/>
        <v>Error?</v>
      </c>
    </row>
    <row r="845" spans="1:4" x14ac:dyDescent="0.2">
      <c r="A845" s="5">
        <v>784</v>
      </c>
      <c r="B845" s="1821">
        <f>'Expenditures 15-22'!E45</f>
        <v>0</v>
      </c>
      <c r="D845" s="2" t="str">
        <f t="shared" si="12"/>
        <v>Error?</v>
      </c>
    </row>
    <row r="846" spans="1:4" x14ac:dyDescent="0.2">
      <c r="A846" s="5">
        <v>785</v>
      </c>
      <c r="B846" s="1821">
        <f>'Expenditures 15-22'!E46</f>
        <v>160708</v>
      </c>
      <c r="D846" s="2" t="str">
        <f t="shared" si="12"/>
        <v>Error?</v>
      </c>
    </row>
    <row r="847" spans="1:4" x14ac:dyDescent="0.2">
      <c r="A847" s="5">
        <v>786</v>
      </c>
      <c r="B847" s="1821">
        <f>'Expenditures 15-22'!E47</f>
        <v>345523</v>
      </c>
      <c r="C847" s="2" t="s">
        <v>569</v>
      </c>
      <c r="D847" s="2" t="str">
        <f t="shared" si="12"/>
        <v>Error?</v>
      </c>
    </row>
    <row r="848" spans="1:4" x14ac:dyDescent="0.2">
      <c r="A848" s="5">
        <v>787</v>
      </c>
      <c r="B848" s="1821">
        <f>'Expenditures 15-22'!E49</f>
        <v>151654</v>
      </c>
      <c r="D848" s="2" t="str">
        <f t="shared" si="12"/>
        <v>Error?</v>
      </c>
    </row>
    <row r="849" spans="1:4" x14ac:dyDescent="0.2">
      <c r="A849" s="5">
        <v>788</v>
      </c>
      <c r="B849" s="1821">
        <f>'Expenditures 15-22'!E50</f>
        <v>20264</v>
      </c>
      <c r="D849" s="2" t="str">
        <f t="shared" si="12"/>
        <v>Error?</v>
      </c>
    </row>
    <row r="850" spans="1:4" x14ac:dyDescent="0.2">
      <c r="A850" s="5">
        <v>789</v>
      </c>
      <c r="B850" s="1821">
        <f>'Expenditures 15-22'!E53</f>
        <v>171918</v>
      </c>
      <c r="C850" s="2" t="s">
        <v>569</v>
      </c>
      <c r="D850" s="2" t="str">
        <f t="shared" si="12"/>
        <v>Error?</v>
      </c>
    </row>
    <row r="851" spans="1:4" x14ac:dyDescent="0.2">
      <c r="A851" s="5">
        <v>790</v>
      </c>
      <c r="B851" s="1821">
        <f>'Expenditures 15-22'!E55</f>
        <v>1507</v>
      </c>
      <c r="D851" s="2" t="str">
        <f t="shared" si="12"/>
        <v>Error?</v>
      </c>
    </row>
    <row r="852" spans="1:4" x14ac:dyDescent="0.2">
      <c r="A852" s="5">
        <v>791</v>
      </c>
      <c r="B852" s="1821">
        <f>'Expenditures 15-22'!E56</f>
        <v>478</v>
      </c>
      <c r="D852" s="2" t="str">
        <f t="shared" si="12"/>
        <v>Error?</v>
      </c>
    </row>
    <row r="853" spans="1:4" x14ac:dyDescent="0.2">
      <c r="A853" s="5">
        <v>792</v>
      </c>
      <c r="B853" s="1821">
        <f>'Expenditures 15-22'!E57</f>
        <v>1985</v>
      </c>
      <c r="C853" s="2" t="s">
        <v>569</v>
      </c>
      <c r="D853" s="2" t="str">
        <f t="shared" si="12"/>
        <v>Error?</v>
      </c>
    </row>
    <row r="854" spans="1:4" x14ac:dyDescent="0.2">
      <c r="A854" s="5">
        <v>793</v>
      </c>
      <c r="B854" s="1821">
        <f>'Expenditures 15-22'!E59</f>
        <v>7784</v>
      </c>
      <c r="D854" s="2" t="str">
        <f t="shared" si="12"/>
        <v>Error?</v>
      </c>
    </row>
    <row r="855" spans="1:4" x14ac:dyDescent="0.2">
      <c r="A855" s="5">
        <v>794</v>
      </c>
      <c r="B855" s="1821">
        <f>'Expenditures 15-22'!E60</f>
        <v>6942</v>
      </c>
      <c r="D855" s="2" t="str">
        <f t="shared" si="12"/>
        <v>Error?</v>
      </c>
    </row>
    <row r="856" spans="1:4" x14ac:dyDescent="0.2">
      <c r="A856" s="5">
        <v>795</v>
      </c>
      <c r="B856" s="1821">
        <f>'Expenditures 15-22'!E61</f>
        <v>14676</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48049</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77451</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398023</v>
      </c>
      <c r="D867" s="2" t="str">
        <f t="shared" si="12"/>
        <v>Error?</v>
      </c>
    </row>
    <row r="868" spans="1:4" x14ac:dyDescent="0.2">
      <c r="A868" s="10">
        <v>807</v>
      </c>
      <c r="B868" s="1821"/>
      <c r="D868" s="2" t="str">
        <f t="shared" si="12"/>
        <v>OK</v>
      </c>
    </row>
    <row r="869" spans="1:4" x14ac:dyDescent="0.2">
      <c r="A869" s="5">
        <v>808</v>
      </c>
      <c r="B869" s="1821">
        <f>'Expenditures 15-22'!E72</f>
        <v>398023</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1043397</v>
      </c>
      <c r="C871" s="2" t="s">
        <v>569</v>
      </c>
      <c r="D871" s="2" t="str">
        <f t="shared" si="12"/>
        <v>Error?</v>
      </c>
    </row>
    <row r="872" spans="1:4" x14ac:dyDescent="0.2">
      <c r="A872" s="5">
        <v>811</v>
      </c>
      <c r="B872" s="1821">
        <f>'Expenditures 15-22'!E75</f>
        <v>49247</v>
      </c>
      <c r="D872" s="2" t="str">
        <f t="shared" si="12"/>
        <v>Error?</v>
      </c>
    </row>
    <row r="873" spans="1:4" x14ac:dyDescent="0.2">
      <c r="A873" s="5">
        <v>812</v>
      </c>
      <c r="B873" s="1821">
        <f>'Expenditures 15-22'!E114</f>
        <v>2084928</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756370</v>
      </c>
      <c r="D879" s="2" t="str">
        <f t="shared" si="12"/>
        <v>Error?</v>
      </c>
    </row>
    <row r="880" spans="1:4" x14ac:dyDescent="0.2">
      <c r="A880" s="5">
        <v>819</v>
      </c>
      <c r="B880" s="1821">
        <f>'Expenditures 15-22'!F16</f>
        <v>5802</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62716</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3703</v>
      </c>
      <c r="D892" s="2" t="str">
        <f t="shared" si="12"/>
        <v>Error?</v>
      </c>
    </row>
    <row r="893" spans="1:4" x14ac:dyDescent="0.2">
      <c r="A893" s="5">
        <v>832</v>
      </c>
      <c r="B893" s="1821">
        <f>'Expenditures 15-22'!F15</f>
        <v>4462</v>
      </c>
      <c r="D893" s="2" t="str">
        <f t="shared" si="12"/>
        <v>Error?</v>
      </c>
    </row>
    <row r="894" spans="1:4" x14ac:dyDescent="0.2">
      <c r="A894" s="5">
        <v>833</v>
      </c>
      <c r="B894" s="1821">
        <f>'Expenditures 15-22'!F33</f>
        <v>1550292</v>
      </c>
      <c r="C894" s="2" t="s">
        <v>569</v>
      </c>
      <c r="D894" s="2" t="str">
        <f t="shared" si="12"/>
        <v>Error?</v>
      </c>
    </row>
    <row r="895" spans="1:4" x14ac:dyDescent="0.2">
      <c r="A895" s="5">
        <v>834</v>
      </c>
      <c r="B895" s="1821">
        <f>'Expenditures 15-22'!F36</f>
        <v>0</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14412</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0</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14412</v>
      </c>
      <c r="C901" s="2" t="s">
        <v>569</v>
      </c>
      <c r="D901" s="2" t="str">
        <f t="shared" si="13"/>
        <v>Error?</v>
      </c>
    </row>
    <row r="902" spans="1:4" x14ac:dyDescent="0.2">
      <c r="A902" s="5">
        <v>841</v>
      </c>
      <c r="B902" s="1821">
        <f>'Expenditures 15-22'!F44</f>
        <v>77057</v>
      </c>
      <c r="D902" s="2" t="str">
        <f t="shared" si="13"/>
        <v>Error?</v>
      </c>
    </row>
    <row r="903" spans="1:4" x14ac:dyDescent="0.2">
      <c r="A903" s="5">
        <v>842</v>
      </c>
      <c r="B903" s="1821">
        <f>'Expenditures 15-22'!F45</f>
        <v>30271</v>
      </c>
      <c r="D903" s="2" t="str">
        <f t="shared" si="13"/>
        <v>Error?</v>
      </c>
    </row>
    <row r="904" spans="1:4" x14ac:dyDescent="0.2">
      <c r="A904" s="5">
        <v>843</v>
      </c>
      <c r="B904" s="1821">
        <f>'Expenditures 15-22'!F46</f>
        <v>28293</v>
      </c>
      <c r="D904" s="2" t="str">
        <f t="shared" si="13"/>
        <v>Error?</v>
      </c>
    </row>
    <row r="905" spans="1:4" x14ac:dyDescent="0.2">
      <c r="A905" s="5">
        <v>844</v>
      </c>
      <c r="B905" s="1821">
        <f>'Expenditures 15-22'!F47</f>
        <v>135621</v>
      </c>
      <c r="C905" s="2" t="s">
        <v>569</v>
      </c>
      <c r="D905" s="2" t="str">
        <f t="shared" si="13"/>
        <v>Error?</v>
      </c>
    </row>
    <row r="906" spans="1:4" x14ac:dyDescent="0.2">
      <c r="A906" s="5">
        <v>845</v>
      </c>
      <c r="B906" s="1821">
        <f>'Expenditures 15-22'!F49</f>
        <v>1258</v>
      </c>
      <c r="D906" s="2" t="str">
        <f t="shared" si="13"/>
        <v>Error?</v>
      </c>
    </row>
    <row r="907" spans="1:4" x14ac:dyDescent="0.2">
      <c r="A907" s="5">
        <v>846</v>
      </c>
      <c r="B907" s="1821">
        <f>'Expenditures 15-22'!F50</f>
        <v>60584</v>
      </c>
      <c r="D907" s="2" t="str">
        <f t="shared" si="13"/>
        <v>Error?</v>
      </c>
    </row>
    <row r="908" spans="1:4" x14ac:dyDescent="0.2">
      <c r="A908" s="5">
        <v>847</v>
      </c>
      <c r="B908" s="1821">
        <f>'Expenditures 15-22'!F53</f>
        <v>61842</v>
      </c>
      <c r="C908" s="2" t="s">
        <v>569</v>
      </c>
      <c r="D908" s="2" t="str">
        <f t="shared" si="13"/>
        <v>Error?</v>
      </c>
    </row>
    <row r="909" spans="1:4" x14ac:dyDescent="0.2">
      <c r="A909" s="5">
        <v>848</v>
      </c>
      <c r="B909" s="1821">
        <f>'Expenditures 15-22'!F55</f>
        <v>0</v>
      </c>
      <c r="D909" s="2" t="str">
        <f t="shared" si="13"/>
        <v>Error?</v>
      </c>
    </row>
    <row r="910" spans="1:4" x14ac:dyDescent="0.2">
      <c r="A910" s="5">
        <v>849</v>
      </c>
      <c r="B910" s="1821">
        <f>'Expenditures 15-22'!F56</f>
        <v>13</v>
      </c>
      <c r="D910" s="2" t="str">
        <f t="shared" si="13"/>
        <v>Error?</v>
      </c>
    </row>
    <row r="911" spans="1:4" x14ac:dyDescent="0.2">
      <c r="A911" s="5">
        <v>850</v>
      </c>
      <c r="B911" s="1821">
        <f>'Expenditures 15-22'!F57</f>
        <v>13</v>
      </c>
      <c r="C911" s="2" t="s">
        <v>569</v>
      </c>
      <c r="D911" s="2" t="str">
        <f t="shared" si="13"/>
        <v>Error?</v>
      </c>
    </row>
    <row r="912" spans="1:4" x14ac:dyDescent="0.2">
      <c r="A912" s="5">
        <v>851</v>
      </c>
      <c r="B912" s="1821">
        <f>'Expenditures 15-22'!F59</f>
        <v>286</v>
      </c>
      <c r="D912" s="2" t="str">
        <f t="shared" si="13"/>
        <v>Error?</v>
      </c>
    </row>
    <row r="913" spans="1:4" x14ac:dyDescent="0.2">
      <c r="A913" s="5">
        <v>852</v>
      </c>
      <c r="B913" s="1821">
        <f>'Expenditures 15-22'!F60</f>
        <v>8253</v>
      </c>
      <c r="D913" s="2" t="str">
        <f t="shared" si="13"/>
        <v>Error?</v>
      </c>
    </row>
    <row r="914" spans="1:4" x14ac:dyDescent="0.2">
      <c r="A914" s="5">
        <v>853</v>
      </c>
      <c r="B914" s="1821">
        <f>'Expenditures 15-22'!F61</f>
        <v>5680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563811</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578030</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4836</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4836</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794754</v>
      </c>
      <c r="C929" s="2" t="s">
        <v>569</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2345046</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495793</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684153</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0</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684153</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1162</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795</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5710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896050</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3005</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3005</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39070</v>
      </c>
      <c r="D1022" s="2" t="str">
        <f t="shared" si="14"/>
        <v>Error?</v>
      </c>
    </row>
    <row r="1023" spans="1:4" x14ac:dyDescent="0.2">
      <c r="A1023" s="5">
        <v>962</v>
      </c>
      <c r="B1023" s="1821">
        <f>'Expenditures 15-22'!H50</f>
        <v>12550</v>
      </c>
      <c r="D1023" s="2" t="str">
        <f t="shared" ref="D1023:D1086" si="15">IF(ISBLANK(B1023),"OK",IF(A1023-B1023=0,"OK","Error?"))</f>
        <v>Error?</v>
      </c>
    </row>
    <row r="1024" spans="1:4" x14ac:dyDescent="0.2">
      <c r="A1024" s="5">
        <v>963</v>
      </c>
      <c r="B1024" s="1821">
        <f>'Expenditures 15-22'!H53</f>
        <v>51620</v>
      </c>
      <c r="C1024" s="2" t="s">
        <v>569</v>
      </c>
      <c r="D1024" s="2" t="str">
        <f t="shared" si="15"/>
        <v>Error?</v>
      </c>
    </row>
    <row r="1025" spans="1:4" x14ac:dyDescent="0.2">
      <c r="A1025" s="5">
        <v>964</v>
      </c>
      <c r="B1025" s="1821">
        <f>'Expenditures 15-22'!H55</f>
        <v>14570</v>
      </c>
      <c r="D1025" s="2" t="str">
        <f t="shared" si="15"/>
        <v>Error?</v>
      </c>
    </row>
    <row r="1026" spans="1:4" x14ac:dyDescent="0.2">
      <c r="A1026" s="5">
        <v>965</v>
      </c>
      <c r="B1026" s="1821">
        <f>'Expenditures 15-22'!H56</f>
        <v>789</v>
      </c>
      <c r="D1026" s="2" t="str">
        <f t="shared" si="15"/>
        <v>Error?</v>
      </c>
    </row>
    <row r="1027" spans="1:4" x14ac:dyDescent="0.2">
      <c r="A1027" s="5">
        <v>966</v>
      </c>
      <c r="B1027" s="1821">
        <f>'Expenditures 15-22'!H57</f>
        <v>15359</v>
      </c>
      <c r="C1027" s="2" t="s">
        <v>569</v>
      </c>
      <c r="D1027" s="2" t="str">
        <f t="shared" si="15"/>
        <v>Error?</v>
      </c>
    </row>
    <row r="1028" spans="1:4" x14ac:dyDescent="0.2">
      <c r="A1028" s="5">
        <v>967</v>
      </c>
      <c r="B1028" s="1821">
        <f>'Expenditures 15-22'!H59</f>
        <v>1875</v>
      </c>
      <c r="D1028" s="2" t="str">
        <f t="shared" si="15"/>
        <v>Error?</v>
      </c>
    </row>
    <row r="1029" spans="1:4" x14ac:dyDescent="0.2">
      <c r="A1029" s="5">
        <v>968</v>
      </c>
      <c r="B1029" s="1821">
        <f>'Expenditures 15-22'!H60</f>
        <v>85</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1719</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3679</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2418</v>
      </c>
      <c r="D1041" s="2" t="str">
        <f t="shared" si="15"/>
        <v>Error?</v>
      </c>
    </row>
    <row r="1042" spans="1:5" x14ac:dyDescent="0.2">
      <c r="A1042" s="10">
        <v>981</v>
      </c>
      <c r="B1042" s="1821"/>
      <c r="D1042" s="2" t="str">
        <f t="shared" si="15"/>
        <v>OK</v>
      </c>
    </row>
    <row r="1043" spans="1:5" x14ac:dyDescent="0.2">
      <c r="A1043" s="5">
        <v>982</v>
      </c>
      <c r="B1043" s="1821">
        <f>'Expenditures 15-22'!H72</f>
        <v>2418</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76081</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947434</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1919565</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14552810</v>
      </c>
      <c r="C1093" s="2" t="s">
        <v>569</v>
      </c>
      <c r="D1093" s="2" t="str">
        <f t="shared" si="16"/>
        <v>Error?</v>
      </c>
    </row>
    <row r="1094" spans="1:4" x14ac:dyDescent="0.2">
      <c r="A1094" s="5">
        <v>1033</v>
      </c>
      <c r="B1094" s="1821">
        <f>'Expenditures 15-22'!K16</f>
        <v>8112</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3243893</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277870</v>
      </c>
      <c r="C1106" s="2" t="s">
        <v>569</v>
      </c>
      <c r="D1106" s="2" t="str">
        <f t="shared" si="16"/>
        <v>Error?</v>
      </c>
    </row>
    <row r="1107" spans="1:4" x14ac:dyDescent="0.2">
      <c r="A1107" s="5">
        <v>1046</v>
      </c>
      <c r="B1107" s="1821">
        <f>'Expenditures 15-22'!K15</f>
        <v>4462</v>
      </c>
      <c r="C1107" s="2" t="s">
        <v>569</v>
      </c>
      <c r="D1107" s="2" t="str">
        <f t="shared" si="16"/>
        <v>Error?</v>
      </c>
    </row>
    <row r="1108" spans="1:4" x14ac:dyDescent="0.2">
      <c r="A1108" s="5">
        <v>1047</v>
      </c>
      <c r="B1108" s="1821">
        <f>'Expenditures 15-22'!K33</f>
        <v>36641413</v>
      </c>
      <c r="C1108" s="2" t="s">
        <v>569</v>
      </c>
      <c r="D1108" s="2" t="str">
        <f t="shared" si="16"/>
        <v>Error?</v>
      </c>
    </row>
    <row r="1109" spans="1:4" x14ac:dyDescent="0.2">
      <c r="A1109" s="5">
        <v>1048</v>
      </c>
      <c r="B1109" s="1821">
        <f>'Expenditures 15-22'!K36</f>
        <v>1227572</v>
      </c>
      <c r="C1109" s="2" t="s">
        <v>569</v>
      </c>
      <c r="D1109" s="2" t="str">
        <f t="shared" si="16"/>
        <v>Error?</v>
      </c>
    </row>
    <row r="1110" spans="1:4" x14ac:dyDescent="0.2">
      <c r="A1110" s="5">
        <v>1049</v>
      </c>
      <c r="B1110" s="1821">
        <f>'Expenditures 15-22'!K37</f>
        <v>0</v>
      </c>
      <c r="C1110" s="2" t="s">
        <v>569</v>
      </c>
      <c r="D1110" s="2" t="str">
        <f t="shared" si="16"/>
        <v>Error?</v>
      </c>
    </row>
    <row r="1111" spans="1:4" x14ac:dyDescent="0.2">
      <c r="A1111" s="5">
        <v>1050</v>
      </c>
      <c r="B1111" s="1821">
        <f>'Expenditures 15-22'!K38</f>
        <v>1300683</v>
      </c>
      <c r="C1111" s="2" t="s">
        <v>569</v>
      </c>
      <c r="D1111" s="2" t="str">
        <f t="shared" si="16"/>
        <v>Error?</v>
      </c>
    </row>
    <row r="1112" spans="1:4" x14ac:dyDescent="0.2">
      <c r="A1112" s="5">
        <v>1051</v>
      </c>
      <c r="B1112" s="1821">
        <f>'Expenditures 15-22'!K39</f>
        <v>826775</v>
      </c>
      <c r="C1112" s="2" t="s">
        <v>569</v>
      </c>
      <c r="D1112" s="2" t="str">
        <f t="shared" si="16"/>
        <v>Error?</v>
      </c>
    </row>
    <row r="1113" spans="1:4" x14ac:dyDescent="0.2">
      <c r="A1113" s="5">
        <v>1052</v>
      </c>
      <c r="B1113" s="1821">
        <f>'Expenditures 15-22'!K40</f>
        <v>1222357</v>
      </c>
      <c r="C1113" s="2" t="s">
        <v>569</v>
      </c>
      <c r="D1113" s="2" t="str">
        <f t="shared" si="16"/>
        <v>Error?</v>
      </c>
    </row>
    <row r="1114" spans="1:4" x14ac:dyDescent="0.2">
      <c r="A1114" s="5">
        <v>1053</v>
      </c>
      <c r="B1114" s="1821">
        <f>'Expenditures 15-22'!K41</f>
        <v>0</v>
      </c>
      <c r="C1114" s="2" t="s">
        <v>569</v>
      </c>
      <c r="D1114" s="2" t="str">
        <f t="shared" si="16"/>
        <v>Error?</v>
      </c>
    </row>
    <row r="1115" spans="1:4" x14ac:dyDescent="0.2">
      <c r="A1115" s="5">
        <v>1054</v>
      </c>
      <c r="B1115" s="1821">
        <f>'Expenditures 15-22'!K42</f>
        <v>4577387</v>
      </c>
      <c r="C1115" s="2" t="s">
        <v>569</v>
      </c>
      <c r="D1115" s="2" t="str">
        <f t="shared" si="16"/>
        <v>Error?</v>
      </c>
    </row>
    <row r="1116" spans="1:4" x14ac:dyDescent="0.2">
      <c r="A1116" s="5">
        <v>1055</v>
      </c>
      <c r="B1116" s="1821">
        <f>'Expenditures 15-22'!K44</f>
        <v>535215</v>
      </c>
      <c r="C1116" s="2" t="s">
        <v>569</v>
      </c>
      <c r="D1116" s="2" t="str">
        <f t="shared" si="16"/>
        <v>Error?</v>
      </c>
    </row>
    <row r="1117" spans="1:4" x14ac:dyDescent="0.2">
      <c r="A1117" s="5">
        <v>1056</v>
      </c>
      <c r="B1117" s="1821">
        <f>'Expenditures 15-22'!K45</f>
        <v>30271</v>
      </c>
      <c r="C1117" s="2" t="s">
        <v>569</v>
      </c>
      <c r="D1117" s="2" t="str">
        <f t="shared" si="16"/>
        <v>Error?</v>
      </c>
    </row>
    <row r="1118" spans="1:4" x14ac:dyDescent="0.2">
      <c r="A1118" s="5">
        <v>1057</v>
      </c>
      <c r="B1118" s="1821">
        <f>'Expenditures 15-22'!K46</f>
        <v>189001</v>
      </c>
      <c r="C1118" s="2" t="s">
        <v>569</v>
      </c>
      <c r="D1118" s="2" t="str">
        <f t="shared" si="16"/>
        <v>Error?</v>
      </c>
    </row>
    <row r="1119" spans="1:4" x14ac:dyDescent="0.2">
      <c r="A1119" s="5">
        <v>1058</v>
      </c>
      <c r="B1119" s="1821">
        <f>'Expenditures 15-22'!K47</f>
        <v>754487</v>
      </c>
      <c r="C1119" s="2" t="s">
        <v>569</v>
      </c>
      <c r="D1119" s="2" t="str">
        <f t="shared" si="16"/>
        <v>Error?</v>
      </c>
    </row>
    <row r="1120" spans="1:4" x14ac:dyDescent="0.2">
      <c r="A1120" s="5">
        <v>1059</v>
      </c>
      <c r="B1120" s="1821">
        <f>'Expenditures 15-22'!K49</f>
        <v>192048</v>
      </c>
      <c r="C1120" s="2" t="s">
        <v>569</v>
      </c>
      <c r="D1120" s="2" t="str">
        <f t="shared" si="16"/>
        <v>Error?</v>
      </c>
    </row>
    <row r="1121" spans="1:4" x14ac:dyDescent="0.2">
      <c r="A1121" s="5">
        <v>1060</v>
      </c>
      <c r="B1121" s="1821">
        <f>'Expenditures 15-22'!K50</f>
        <v>660498</v>
      </c>
      <c r="C1121" s="2" t="s">
        <v>569</v>
      </c>
      <c r="D1121" s="2" t="str">
        <f t="shared" si="16"/>
        <v>Error?</v>
      </c>
    </row>
    <row r="1122" spans="1:4" x14ac:dyDescent="0.2">
      <c r="A1122" s="5">
        <v>1061</v>
      </c>
      <c r="B1122" s="1821">
        <f>'Expenditures 15-22'!K53</f>
        <v>852546</v>
      </c>
      <c r="C1122" s="2" t="s">
        <v>569</v>
      </c>
      <c r="D1122" s="2" t="str">
        <f t="shared" si="16"/>
        <v>Error?</v>
      </c>
    </row>
    <row r="1123" spans="1:4" x14ac:dyDescent="0.2">
      <c r="A1123" s="5">
        <v>1062</v>
      </c>
      <c r="B1123" s="1821">
        <f>'Expenditures 15-22'!K55</f>
        <v>2515226</v>
      </c>
      <c r="C1123" s="2" t="s">
        <v>569</v>
      </c>
      <c r="D1123" s="2" t="str">
        <f t="shared" si="16"/>
        <v>Error?</v>
      </c>
    </row>
    <row r="1124" spans="1:4" x14ac:dyDescent="0.2">
      <c r="A1124" s="5">
        <v>1063</v>
      </c>
      <c r="B1124" s="1821">
        <f>'Expenditures 15-22'!K56</f>
        <v>138557</v>
      </c>
      <c r="C1124" s="2" t="s">
        <v>569</v>
      </c>
      <c r="D1124" s="2" t="str">
        <f t="shared" si="16"/>
        <v>Error?</v>
      </c>
    </row>
    <row r="1125" spans="1:4" x14ac:dyDescent="0.2">
      <c r="A1125" s="5">
        <v>1064</v>
      </c>
      <c r="B1125" s="1821">
        <f>'Expenditures 15-22'!K57</f>
        <v>2653783</v>
      </c>
      <c r="C1125" s="2" t="s">
        <v>569</v>
      </c>
      <c r="D1125" s="2" t="str">
        <f t="shared" si="16"/>
        <v>Error?</v>
      </c>
    </row>
    <row r="1126" spans="1:4" x14ac:dyDescent="0.2">
      <c r="A1126" s="5">
        <v>1065</v>
      </c>
      <c r="B1126" s="1821">
        <f>'Expenditures 15-22'!K59</f>
        <v>191806</v>
      </c>
      <c r="C1126" s="2" t="s">
        <v>569</v>
      </c>
      <c r="D1126" s="2" t="str">
        <f t="shared" si="16"/>
        <v>Error?</v>
      </c>
    </row>
    <row r="1127" spans="1:4" x14ac:dyDescent="0.2">
      <c r="A1127" s="5">
        <v>1066</v>
      </c>
      <c r="B1127" s="1821">
        <f>'Expenditures 15-22'!K60</f>
        <v>398642</v>
      </c>
      <c r="C1127" s="2" t="s">
        <v>569</v>
      </c>
      <c r="D1127" s="2" t="str">
        <f t="shared" si="16"/>
        <v>Error?</v>
      </c>
    </row>
    <row r="1128" spans="1:4" x14ac:dyDescent="0.2">
      <c r="A1128" s="5">
        <v>1067</v>
      </c>
      <c r="B1128" s="1821">
        <f>'Expenditures 15-22'!K61</f>
        <v>2379378</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1382529</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4352355</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4836</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1106268</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1111104</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14301662</v>
      </c>
      <c r="C1143" s="2" t="s">
        <v>569</v>
      </c>
      <c r="D1143" s="2" t="str">
        <f t="shared" si="16"/>
        <v>Error?</v>
      </c>
    </row>
    <row r="1144" spans="1:4" x14ac:dyDescent="0.2">
      <c r="A1144" s="5">
        <v>1083</v>
      </c>
      <c r="B1144" s="1821">
        <f>'Expenditures 15-22'!K75</f>
        <v>54117</v>
      </c>
      <c r="C1144" s="2" t="s">
        <v>569</v>
      </c>
      <c r="D1144" s="2" t="str">
        <f t="shared" si="16"/>
        <v>Error?</v>
      </c>
    </row>
    <row r="1145" spans="1:4" x14ac:dyDescent="0.2">
      <c r="A1145" s="5">
        <v>1084</v>
      </c>
      <c r="B1145" s="1821">
        <f>'Expenditures 15-22'!K102</f>
        <v>1366693</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52363885</v>
      </c>
      <c r="C1152" s="2" t="s">
        <v>569</v>
      </c>
      <c r="D1152" s="2" t="str">
        <f t="shared" si="17"/>
        <v>Error?</v>
      </c>
    </row>
    <row r="1153" spans="1:4" x14ac:dyDescent="0.2">
      <c r="A1153" s="5">
        <v>1092</v>
      </c>
      <c r="B1153" s="1821">
        <f>'Expenditures 15-22'!K115</f>
        <v>882018</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179840</v>
      </c>
      <c r="D1221" s="2" t="str">
        <f t="shared" si="18"/>
        <v>Error?</v>
      </c>
    </row>
    <row r="1222" spans="1:4" x14ac:dyDescent="0.2">
      <c r="A1222" s="10">
        <v>1161</v>
      </c>
      <c r="B1222" s="1821"/>
      <c r="D1222" s="2" t="str">
        <f t="shared" si="18"/>
        <v>OK</v>
      </c>
    </row>
    <row r="1223" spans="1:4" x14ac:dyDescent="0.2">
      <c r="A1223" s="5">
        <v>1162</v>
      </c>
      <c r="B1223" s="1821">
        <f>'Expenditures 15-22'!C127</f>
        <v>179840</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179840</v>
      </c>
      <c r="C1225" s="2" t="s">
        <v>569</v>
      </c>
      <c r="D1225" s="2" t="str">
        <f t="shared" si="18"/>
        <v>Error?</v>
      </c>
    </row>
    <row r="1226" spans="1:4" x14ac:dyDescent="0.2">
      <c r="A1226" s="5">
        <v>1165</v>
      </c>
      <c r="B1226" s="1821">
        <f>'Expenditures 15-22'!C151</f>
        <v>179840</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4097</v>
      </c>
      <c r="D1229" s="2" t="str">
        <f t="shared" si="18"/>
        <v>Error?</v>
      </c>
    </row>
    <row r="1230" spans="1:4" x14ac:dyDescent="0.2">
      <c r="A1230" s="10">
        <v>1169</v>
      </c>
      <c r="B1230" s="1821"/>
      <c r="D1230" s="2" t="str">
        <f t="shared" si="18"/>
        <v>OK</v>
      </c>
    </row>
    <row r="1231" spans="1:4" x14ac:dyDescent="0.2">
      <c r="A1231" s="5">
        <v>1170</v>
      </c>
      <c r="B1231" s="1821">
        <f>'Expenditures 15-22'!D127</f>
        <v>4097</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4097</v>
      </c>
      <c r="C1233" s="2" t="s">
        <v>569</v>
      </c>
      <c r="D1233" s="2" t="str">
        <f t="shared" si="18"/>
        <v>Error?</v>
      </c>
    </row>
    <row r="1234" spans="1:4" x14ac:dyDescent="0.2">
      <c r="A1234" s="5">
        <v>1173</v>
      </c>
      <c r="B1234" s="1821">
        <f>'Expenditures 15-22'!D151</f>
        <v>4097</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792</v>
      </c>
      <c r="D1236" s="2" t="str">
        <f t="shared" si="18"/>
        <v>Error?</v>
      </c>
    </row>
    <row r="1237" spans="1:4" x14ac:dyDescent="0.2">
      <c r="A1237" s="5">
        <v>1176</v>
      </c>
      <c r="B1237" s="1821">
        <f>'Expenditures 15-22'!E124</f>
        <v>1218996</v>
      </c>
      <c r="D1237" s="2" t="str">
        <f t="shared" si="18"/>
        <v>Error?</v>
      </c>
    </row>
    <row r="1238" spans="1:4" x14ac:dyDescent="0.2">
      <c r="A1238" s="10">
        <v>1177</v>
      </c>
      <c r="B1238" s="1821"/>
      <c r="D1238" s="2" t="str">
        <f t="shared" si="18"/>
        <v>OK</v>
      </c>
    </row>
    <row r="1239" spans="1:4" x14ac:dyDescent="0.2">
      <c r="A1239" s="5">
        <v>1178</v>
      </c>
      <c r="B1239" s="1821">
        <f>'Expenditures 15-22'!E127</f>
        <v>1219788</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1219788</v>
      </c>
      <c r="C1241" s="2" t="s">
        <v>569</v>
      </c>
      <c r="D1241" s="2" t="str">
        <f t="shared" si="18"/>
        <v>Error?</v>
      </c>
    </row>
    <row r="1242" spans="1:4" x14ac:dyDescent="0.2">
      <c r="A1242" s="5">
        <v>1181</v>
      </c>
      <c r="B1242" s="1821">
        <f>'Expenditures 15-22'!E151</f>
        <v>1219788</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988294</v>
      </c>
      <c r="D1245" s="2" t="str">
        <f t="shared" si="18"/>
        <v>Error?</v>
      </c>
    </row>
    <row r="1246" spans="1:4" x14ac:dyDescent="0.2">
      <c r="A1246" s="10">
        <v>1185</v>
      </c>
      <c r="B1246" s="1821"/>
      <c r="D1246" s="2" t="str">
        <f t="shared" si="18"/>
        <v>OK</v>
      </c>
    </row>
    <row r="1247" spans="1:4" x14ac:dyDescent="0.2">
      <c r="A1247" s="5">
        <v>1186</v>
      </c>
      <c r="B1247" s="1821">
        <f>'Expenditures 15-22'!F127</f>
        <v>988294</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988294</v>
      </c>
      <c r="C1249" s="2" t="s">
        <v>569</v>
      </c>
      <c r="D1249" s="2" t="str">
        <f t="shared" si="18"/>
        <v>Error?</v>
      </c>
    </row>
    <row r="1250" spans="1:4" x14ac:dyDescent="0.2">
      <c r="A1250" s="5">
        <v>1189</v>
      </c>
      <c r="B1250" s="1821">
        <f>'Expenditures 15-22'!F151</f>
        <v>988294</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18537</v>
      </c>
      <c r="D1252" s="2" t="str">
        <f t="shared" si="18"/>
        <v>Error?</v>
      </c>
    </row>
    <row r="1253" spans="1:4" x14ac:dyDescent="0.2">
      <c r="A1253" s="5">
        <v>1192</v>
      </c>
      <c r="B1253" s="1821">
        <f>'Expenditures 15-22'!G124</f>
        <v>31300</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49837</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49837</v>
      </c>
      <c r="C1258" s="2" t="s">
        <v>569</v>
      </c>
      <c r="D1258" s="2" t="str">
        <f t="shared" si="18"/>
        <v>Error?</v>
      </c>
    </row>
    <row r="1259" spans="1:4" x14ac:dyDescent="0.2">
      <c r="A1259" s="5">
        <v>1198</v>
      </c>
      <c r="B1259" s="1821">
        <f>'Expenditures 15-22'!G151</f>
        <v>49837</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5423</v>
      </c>
      <c r="D1262" s="2" t="str">
        <f t="shared" si="18"/>
        <v>Error?</v>
      </c>
    </row>
    <row r="1263" spans="1:4" x14ac:dyDescent="0.2">
      <c r="A1263" s="10">
        <v>1202</v>
      </c>
      <c r="B1263" s="1821"/>
      <c r="D1263" s="2" t="str">
        <f t="shared" si="18"/>
        <v>OK</v>
      </c>
    </row>
    <row r="1264" spans="1:4" x14ac:dyDescent="0.2">
      <c r="A1264" s="5">
        <v>1203</v>
      </c>
      <c r="B1264" s="1821">
        <f>'Expenditures 15-22'!H127</f>
        <v>5423</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5423</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5423</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19329</v>
      </c>
      <c r="C1275" s="2" t="s">
        <v>569</v>
      </c>
      <c r="D1275" s="2" t="str">
        <f t="shared" si="18"/>
        <v>Error?</v>
      </c>
    </row>
    <row r="1276" spans="1:4" x14ac:dyDescent="0.2">
      <c r="A1276" s="5">
        <v>1215</v>
      </c>
      <c r="B1276" s="1821">
        <f>'Expenditures 15-22'!K124</f>
        <v>2437268</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2456597</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2456597</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2456597</v>
      </c>
      <c r="C1288" s="2" t="s">
        <v>569</v>
      </c>
      <c r="D1288" s="2" t="str">
        <f t="shared" si="19"/>
        <v>Error?</v>
      </c>
    </row>
    <row r="1289" spans="1:4" x14ac:dyDescent="0.2">
      <c r="A1289" s="5">
        <v>1228</v>
      </c>
      <c r="B1289" s="1821">
        <f>'Expenditures 15-22'!K152</f>
        <v>3067997</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103406</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5515000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5618406</v>
      </c>
      <c r="C1317" s="2" t="s">
        <v>569</v>
      </c>
      <c r="D1317" s="2" t="str">
        <f t="shared" si="19"/>
        <v>Error?</v>
      </c>
    </row>
    <row r="1318" spans="1:4" x14ac:dyDescent="0.2">
      <c r="A1318" s="5">
        <v>1257</v>
      </c>
      <c r="B1318" s="1821">
        <f>'Expenditures 15-22'!H174</f>
        <v>5618406</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103406</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5515000</v>
      </c>
      <c r="C1329" s="2" t="s">
        <v>569</v>
      </c>
      <c r="D1329" s="2" t="str">
        <f t="shared" si="19"/>
        <v>Error?</v>
      </c>
    </row>
    <row r="1330" spans="1:4" x14ac:dyDescent="0.2">
      <c r="A1330" s="5">
        <v>1269</v>
      </c>
      <c r="B1330" s="1821">
        <f>'Expenditures 15-22'!K171</f>
        <v>0</v>
      </c>
      <c r="C1330" s="2" t="s">
        <v>569</v>
      </c>
      <c r="D1330" s="2" t="str">
        <f t="shared" si="19"/>
        <v>Error?</v>
      </c>
    </row>
    <row r="1331" spans="1:4" x14ac:dyDescent="0.2">
      <c r="A1331" s="5">
        <v>1270</v>
      </c>
      <c r="B1331" s="1821">
        <f>'Expenditures 15-22'!K172</f>
        <v>5618406</v>
      </c>
      <c r="C1331" s="2" t="s">
        <v>569</v>
      </c>
      <c r="D1331" s="2" t="str">
        <f t="shared" si="19"/>
        <v>Error?</v>
      </c>
    </row>
    <row r="1332" spans="1:4" x14ac:dyDescent="0.2">
      <c r="A1332" s="5">
        <v>1271</v>
      </c>
      <c r="B1332" s="1821">
        <f>'Expenditures 15-22'!K174</f>
        <v>5618406</v>
      </c>
      <c r="C1332" s="2" t="s">
        <v>569</v>
      </c>
      <c r="D1332" s="2" t="str">
        <f t="shared" si="19"/>
        <v>Error?</v>
      </c>
    </row>
    <row r="1333" spans="1:4" x14ac:dyDescent="0.2">
      <c r="A1333" s="5">
        <v>1272</v>
      </c>
      <c r="B1333" s="1821">
        <f>'Expenditures 15-22'!K175</f>
        <v>-2767829</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2386197</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2386197</v>
      </c>
      <c r="C1339" s="2" t="s">
        <v>569</v>
      </c>
      <c r="D1339" s="2" t="str">
        <f t="shared" si="19"/>
        <v>Error?</v>
      </c>
    </row>
    <row r="1340" spans="1:4" x14ac:dyDescent="0.2">
      <c r="A1340" s="5">
        <v>1279</v>
      </c>
      <c r="B1340" s="1821">
        <f>'Expenditures 15-22'!C210</f>
        <v>2386197</v>
      </c>
      <c r="C1340" s="2" t="s">
        <v>569</v>
      </c>
      <c r="D1340" s="2" t="str">
        <f t="shared" si="19"/>
        <v>Error?</v>
      </c>
    </row>
    <row r="1341" spans="1:4" x14ac:dyDescent="0.2">
      <c r="A1341" s="5">
        <v>1280</v>
      </c>
      <c r="B1341" s="1821">
        <f>'Expenditures 15-22'!D182</f>
        <v>91831</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91831</v>
      </c>
      <c r="C1345" s="2" t="s">
        <v>569</v>
      </c>
      <c r="D1345" s="2" t="str">
        <f t="shared" si="20"/>
        <v>Error?</v>
      </c>
    </row>
    <row r="1346" spans="1:4" x14ac:dyDescent="0.2">
      <c r="A1346" s="5">
        <v>1285</v>
      </c>
      <c r="B1346" s="1821">
        <f>'Expenditures 15-22'!D210</f>
        <v>91831</v>
      </c>
      <c r="C1346" s="2" t="s">
        <v>569</v>
      </c>
      <c r="D1346" s="2" t="str">
        <f t="shared" si="20"/>
        <v>Error?</v>
      </c>
    </row>
    <row r="1347" spans="1:4" x14ac:dyDescent="0.2">
      <c r="A1347" s="5">
        <v>1286</v>
      </c>
      <c r="B1347" s="1821">
        <f>'Expenditures 15-22'!E182</f>
        <v>426243</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426243</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426243</v>
      </c>
      <c r="C1353" s="2" t="s">
        <v>569</v>
      </c>
      <c r="D1353" s="2" t="str">
        <f t="shared" si="20"/>
        <v>Error?</v>
      </c>
    </row>
    <row r="1354" spans="1:4" x14ac:dyDescent="0.2">
      <c r="A1354" s="5">
        <v>1293</v>
      </c>
      <c r="B1354" s="1821">
        <f>'Expenditures 15-22'!F182</f>
        <v>463419</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465038</v>
      </c>
      <c r="C1358" s="2" t="s">
        <v>569</v>
      </c>
      <c r="D1358" s="2" t="str">
        <f t="shared" si="20"/>
        <v>Error?</v>
      </c>
    </row>
    <row r="1359" spans="1:4" x14ac:dyDescent="0.2">
      <c r="A1359" s="5">
        <v>1298</v>
      </c>
      <c r="B1359" s="1821">
        <f>'Expenditures 15-22'!F210</f>
        <v>465038</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843667</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843667</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843667</v>
      </c>
      <c r="C1376" s="2" t="s">
        <v>569</v>
      </c>
      <c r="D1376" s="2" t="str">
        <f t="shared" si="20"/>
        <v>Error?</v>
      </c>
    </row>
    <row r="1377" spans="1:4" x14ac:dyDescent="0.2">
      <c r="A1377" s="5">
        <v>1316</v>
      </c>
      <c r="B1377" s="1821">
        <f>'Expenditures 15-22'!K182</f>
        <v>4218807</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4220426</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4220426</v>
      </c>
      <c r="C1388" s="2" t="s">
        <v>569</v>
      </c>
      <c r="D1388" s="2" t="str">
        <f t="shared" si="20"/>
        <v>Error?</v>
      </c>
    </row>
    <row r="1389" spans="1:4" x14ac:dyDescent="0.2">
      <c r="A1389" s="5">
        <v>1328</v>
      </c>
      <c r="B1389" s="1821">
        <f>'Expenditures 15-22'!K211</f>
        <v>621955</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0</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81399</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8159</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784051</v>
      </c>
      <c r="C1410" s="2" t="s">
        <v>569</v>
      </c>
      <c r="D1410" s="2" t="str">
        <f t="shared" si="21"/>
        <v>Error?</v>
      </c>
    </row>
    <row r="1411" spans="1:4" x14ac:dyDescent="0.2">
      <c r="A1411" s="5">
        <v>1350</v>
      </c>
      <c r="B1411" s="1821">
        <f>'Expenditures 15-22'!D232</f>
        <v>15751</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150771</v>
      </c>
      <c r="D1413" s="2" t="str">
        <f t="shared" si="21"/>
        <v>Error?</v>
      </c>
    </row>
    <row r="1414" spans="1:4" x14ac:dyDescent="0.2">
      <c r="A1414" s="5">
        <v>1353</v>
      </c>
      <c r="B1414" s="1821">
        <f>'Expenditures 15-22'!D235</f>
        <v>16996</v>
      </c>
      <c r="D1414" s="2" t="str">
        <f t="shared" si="21"/>
        <v>Error?</v>
      </c>
    </row>
    <row r="1415" spans="1:4" x14ac:dyDescent="0.2">
      <c r="A1415" s="5">
        <v>1354</v>
      </c>
      <c r="B1415" s="1821">
        <f>'Expenditures 15-22'!D236</f>
        <v>15840</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199358</v>
      </c>
      <c r="C1417" s="2" t="s">
        <v>569</v>
      </c>
      <c r="D1417" s="2" t="str">
        <f t="shared" si="21"/>
        <v>Error?</v>
      </c>
    </row>
    <row r="1418" spans="1:4" x14ac:dyDescent="0.2">
      <c r="A1418" s="5">
        <v>1357</v>
      </c>
      <c r="B1418" s="1821">
        <f>'Expenditures 15-22'!D240</f>
        <v>13625</v>
      </c>
      <c r="D1418" s="2" t="str">
        <f t="shared" si="21"/>
        <v>Error?</v>
      </c>
    </row>
    <row r="1419" spans="1:4" x14ac:dyDescent="0.2">
      <c r="A1419" s="5">
        <v>1358</v>
      </c>
      <c r="B1419" s="1821">
        <f>'Expenditures 15-22'!D241</f>
        <v>0</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13625</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42707</v>
      </c>
      <c r="D1423" s="2" t="str">
        <f t="shared" si="21"/>
        <v>Error?</v>
      </c>
    </row>
    <row r="1424" spans="1:4" x14ac:dyDescent="0.2">
      <c r="A1424" s="5">
        <v>1363</v>
      </c>
      <c r="B1424" s="1821">
        <f>'Expenditures 15-22'!D257</f>
        <v>42707</v>
      </c>
      <c r="C1424" s="2" t="s">
        <v>569</v>
      </c>
      <c r="D1424" s="2" t="str">
        <f t="shared" si="21"/>
        <v>Error?</v>
      </c>
    </row>
    <row r="1425" spans="1:4" x14ac:dyDescent="0.2">
      <c r="A1425" s="5">
        <v>1364</v>
      </c>
      <c r="B1425" s="1821">
        <f>'Expenditures 15-22'!D259</f>
        <v>93674</v>
      </c>
      <c r="D1425" s="2" t="str">
        <f t="shared" si="21"/>
        <v>Error?</v>
      </c>
    </row>
    <row r="1426" spans="1:4" x14ac:dyDescent="0.2">
      <c r="A1426" s="5">
        <v>1365</v>
      </c>
      <c r="B1426" s="1821">
        <f>'Expenditures 15-22'!D260</f>
        <v>19088</v>
      </c>
      <c r="D1426" s="2" t="str">
        <f t="shared" si="21"/>
        <v>Error?</v>
      </c>
    </row>
    <row r="1427" spans="1:4" x14ac:dyDescent="0.2">
      <c r="A1427" s="5">
        <v>1366</v>
      </c>
      <c r="B1427" s="1821">
        <f>'Expenditures 15-22'!D261</f>
        <v>112762</v>
      </c>
      <c r="C1427" s="2" t="s">
        <v>569</v>
      </c>
      <c r="D1427" s="2" t="str">
        <f t="shared" si="21"/>
        <v>Error?</v>
      </c>
    </row>
    <row r="1428" spans="1:4" x14ac:dyDescent="0.2">
      <c r="A1428" s="5">
        <v>1367</v>
      </c>
      <c r="B1428" s="1821">
        <f>'Expenditures 15-22'!D263</f>
        <v>2269</v>
      </c>
      <c r="D1428" s="2" t="str">
        <f t="shared" si="21"/>
        <v>Error?</v>
      </c>
    </row>
    <row r="1429" spans="1:4" x14ac:dyDescent="0.2">
      <c r="A1429" s="5">
        <v>1368</v>
      </c>
      <c r="B1429" s="1821">
        <f>'Expenditures 15-22'!D264</f>
        <v>55398</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341211</v>
      </c>
      <c r="D1431" s="2" t="str">
        <f t="shared" si="21"/>
        <v>Error?</v>
      </c>
    </row>
    <row r="1432" spans="1:4" x14ac:dyDescent="0.2">
      <c r="A1432" s="5">
        <v>1371</v>
      </c>
      <c r="B1432" s="1821">
        <f>'Expenditures 15-22'!D267</f>
        <v>400774</v>
      </c>
      <c r="D1432" s="2" t="str">
        <f t="shared" si="21"/>
        <v>Error?</v>
      </c>
    </row>
    <row r="1433" spans="1:4" x14ac:dyDescent="0.2">
      <c r="A1433" s="5">
        <v>1372</v>
      </c>
      <c r="B1433" s="1821">
        <f>'Expenditures 15-22'!D268</f>
        <v>105829</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905481</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67104</v>
      </c>
      <c r="D1442" s="2" t="str">
        <f t="shared" si="21"/>
        <v>Error?</v>
      </c>
    </row>
    <row r="1443" spans="1:4" x14ac:dyDescent="0.2">
      <c r="A1443" s="10">
        <v>1382</v>
      </c>
      <c r="B1443" s="1821"/>
      <c r="D1443" s="2" t="str">
        <f t="shared" si="21"/>
        <v>OK</v>
      </c>
    </row>
    <row r="1444" spans="1:4" x14ac:dyDescent="0.2">
      <c r="A1444" s="5">
        <v>1383</v>
      </c>
      <c r="B1444" s="1821">
        <f>'Expenditures 15-22'!D277</f>
        <v>67104</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1341037</v>
      </c>
      <c r="C1446" s="2" t="s">
        <v>569</v>
      </c>
      <c r="D1446" s="2" t="str">
        <f t="shared" si="21"/>
        <v>Error?</v>
      </c>
    </row>
    <row r="1447" spans="1:4" x14ac:dyDescent="0.2">
      <c r="A1447" s="5">
        <v>1386</v>
      </c>
      <c r="B1447" s="1821">
        <f>'Expenditures 15-22'!D280</f>
        <v>373</v>
      </c>
      <c r="D1447" s="2" t="str">
        <f t="shared" si="21"/>
        <v>Error?</v>
      </c>
    </row>
    <row r="1448" spans="1:4" x14ac:dyDescent="0.2">
      <c r="A1448" s="5">
        <v>1387</v>
      </c>
      <c r="B1448" s="1821">
        <f>'Expenditures 15-22'!D295</f>
        <v>2125461</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0</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81399</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8159</v>
      </c>
      <c r="C1472" s="2" t="s">
        <v>569</v>
      </c>
      <c r="D1472" s="2" t="str">
        <f t="shared" si="22"/>
        <v>Error?</v>
      </c>
    </row>
    <row r="1473" spans="1:4" x14ac:dyDescent="0.2">
      <c r="A1473" s="5">
        <v>1412</v>
      </c>
      <c r="B1473" s="1821">
        <f>'Expenditures 15-22'!K224</f>
        <v>0</v>
      </c>
      <c r="C1473" s="2" t="s">
        <v>569</v>
      </c>
      <c r="D1473" s="2" t="str">
        <f t="shared" si="22"/>
        <v>Error?</v>
      </c>
    </row>
    <row r="1474" spans="1:4" x14ac:dyDescent="0.2">
      <c r="A1474" s="5">
        <v>1413</v>
      </c>
      <c r="B1474" s="1821">
        <f>'Expenditures 15-22'!K229</f>
        <v>784051</v>
      </c>
      <c r="C1474" s="2" t="s">
        <v>569</v>
      </c>
      <c r="D1474" s="2" t="str">
        <f t="shared" si="22"/>
        <v>Error?</v>
      </c>
    </row>
    <row r="1475" spans="1:4" x14ac:dyDescent="0.2">
      <c r="A1475" s="5">
        <v>1414</v>
      </c>
      <c r="B1475" s="1821">
        <f>'Expenditures 15-22'!K232</f>
        <v>15751</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150771</v>
      </c>
      <c r="C1477" s="2" t="s">
        <v>569</v>
      </c>
      <c r="D1477" s="2" t="str">
        <f t="shared" si="22"/>
        <v>Error?</v>
      </c>
    </row>
    <row r="1478" spans="1:4" x14ac:dyDescent="0.2">
      <c r="A1478" s="5">
        <v>1417</v>
      </c>
      <c r="B1478" s="1821">
        <f>'Expenditures 15-22'!K235</f>
        <v>16996</v>
      </c>
      <c r="C1478" s="2" t="s">
        <v>569</v>
      </c>
      <c r="D1478" s="2" t="str">
        <f t="shared" si="22"/>
        <v>Error?</v>
      </c>
    </row>
    <row r="1479" spans="1:4" x14ac:dyDescent="0.2">
      <c r="A1479" s="5">
        <v>1418</v>
      </c>
      <c r="B1479" s="1821">
        <f>'Expenditures 15-22'!K236</f>
        <v>15840</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199358</v>
      </c>
      <c r="C1481" s="2" t="s">
        <v>569</v>
      </c>
      <c r="D1481" s="2" t="str">
        <f t="shared" si="22"/>
        <v>Error?</v>
      </c>
    </row>
    <row r="1482" spans="1:4" x14ac:dyDescent="0.2">
      <c r="A1482" s="5">
        <v>1421</v>
      </c>
      <c r="B1482" s="1821">
        <f>'Expenditures 15-22'!K240</f>
        <v>13625</v>
      </c>
      <c r="C1482" s="2" t="s">
        <v>569</v>
      </c>
      <c r="D1482" s="2" t="str">
        <f t="shared" si="22"/>
        <v>Error?</v>
      </c>
    </row>
    <row r="1483" spans="1:4" x14ac:dyDescent="0.2">
      <c r="A1483" s="5">
        <v>1422</v>
      </c>
      <c r="B1483" s="1821">
        <f>'Expenditures 15-22'!K241</f>
        <v>0</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13625</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42707</v>
      </c>
      <c r="C1487" s="2" t="s">
        <v>569</v>
      </c>
      <c r="D1487" s="2" t="str">
        <f t="shared" si="22"/>
        <v>Error?</v>
      </c>
    </row>
    <row r="1488" spans="1:4" x14ac:dyDescent="0.2">
      <c r="A1488" s="5">
        <v>1427</v>
      </c>
      <c r="B1488" s="1821">
        <f>'Expenditures 15-22'!K257</f>
        <v>42707</v>
      </c>
      <c r="C1488" s="2" t="s">
        <v>569</v>
      </c>
      <c r="D1488" s="2" t="str">
        <f t="shared" si="22"/>
        <v>Error?</v>
      </c>
    </row>
    <row r="1489" spans="1:4" x14ac:dyDescent="0.2">
      <c r="A1489" s="5">
        <v>1428</v>
      </c>
      <c r="B1489" s="1821">
        <f>'Expenditures 15-22'!K259</f>
        <v>93674</v>
      </c>
      <c r="C1489" s="2" t="s">
        <v>569</v>
      </c>
      <c r="D1489" s="2" t="str">
        <f t="shared" si="22"/>
        <v>Error?</v>
      </c>
    </row>
    <row r="1490" spans="1:4" x14ac:dyDescent="0.2">
      <c r="A1490" s="5">
        <v>1429</v>
      </c>
      <c r="B1490" s="1821">
        <f>'Expenditures 15-22'!K260</f>
        <v>19088</v>
      </c>
      <c r="C1490" s="2" t="s">
        <v>569</v>
      </c>
      <c r="D1490" s="2" t="str">
        <f t="shared" si="22"/>
        <v>Error?</v>
      </c>
    </row>
    <row r="1491" spans="1:4" x14ac:dyDescent="0.2">
      <c r="A1491" s="5">
        <v>1430</v>
      </c>
      <c r="B1491" s="1821">
        <f>'Expenditures 15-22'!K261</f>
        <v>112762</v>
      </c>
      <c r="C1491" s="2" t="s">
        <v>569</v>
      </c>
      <c r="D1491" s="2" t="str">
        <f t="shared" si="22"/>
        <v>Error?</v>
      </c>
    </row>
    <row r="1492" spans="1:4" x14ac:dyDescent="0.2">
      <c r="A1492" s="5">
        <v>1431</v>
      </c>
      <c r="B1492" s="1821">
        <f>'Expenditures 15-22'!K263</f>
        <v>2269</v>
      </c>
      <c r="C1492" s="2" t="s">
        <v>569</v>
      </c>
      <c r="D1492" s="2" t="str">
        <f t="shared" si="22"/>
        <v>Error?</v>
      </c>
    </row>
    <row r="1493" spans="1:4" x14ac:dyDescent="0.2">
      <c r="A1493" s="5">
        <v>1432</v>
      </c>
      <c r="B1493" s="1821">
        <f>'Expenditures 15-22'!K264</f>
        <v>55398</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341211</v>
      </c>
      <c r="C1495" s="2" t="s">
        <v>569</v>
      </c>
      <c r="D1495" s="2" t="str">
        <f t="shared" si="22"/>
        <v>Error?</v>
      </c>
    </row>
    <row r="1496" spans="1:4" x14ac:dyDescent="0.2">
      <c r="A1496" s="5">
        <v>1435</v>
      </c>
      <c r="B1496" s="1821">
        <f>'Expenditures 15-22'!K267</f>
        <v>400774</v>
      </c>
      <c r="C1496" s="2" t="s">
        <v>569</v>
      </c>
      <c r="D1496" s="2" t="str">
        <f t="shared" si="22"/>
        <v>Error?</v>
      </c>
    </row>
    <row r="1497" spans="1:4" x14ac:dyDescent="0.2">
      <c r="A1497" s="5">
        <v>1436</v>
      </c>
      <c r="B1497" s="1821">
        <f>'Expenditures 15-22'!K268</f>
        <v>105829</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905481</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67104</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67104</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1341037</v>
      </c>
      <c r="C1510" s="2" t="s">
        <v>569</v>
      </c>
      <c r="D1510" s="2" t="str">
        <f t="shared" si="22"/>
        <v>Error?</v>
      </c>
    </row>
    <row r="1511" spans="1:4" x14ac:dyDescent="0.2">
      <c r="A1511" s="5">
        <v>1450</v>
      </c>
      <c r="B1511" s="1821">
        <f>'Expenditures 15-22'!K280</f>
        <v>373</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2125461</v>
      </c>
      <c r="C1517" s="2" t="s">
        <v>569</v>
      </c>
      <c r="D1517" s="2" t="str">
        <f t="shared" si="22"/>
        <v>Error?</v>
      </c>
    </row>
    <row r="1518" spans="1:4" x14ac:dyDescent="0.2">
      <c r="A1518" s="5">
        <v>1457</v>
      </c>
      <c r="B1518" s="1821">
        <f>'Expenditures 15-22'!K296</f>
        <v>-279967</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569</v>
      </c>
      <c r="D1535" s="2" t="str">
        <f t="shared" ref="D1535:D1598" si="23">IF(ISBLANK(B1535),"OK",IF(A1535-B1535=0,"OK","Error?"))</f>
        <v>Error?</v>
      </c>
    </row>
    <row r="1536" spans="1:4" x14ac:dyDescent="0.2">
      <c r="A1536" s="5">
        <v>1475</v>
      </c>
      <c r="B1536" s="1821">
        <f>'Expenditures 15-22'!E312</f>
        <v>0</v>
      </c>
      <c r="C1536" s="2" t="s">
        <v>569</v>
      </c>
      <c r="D1536" s="2" t="str">
        <f t="shared" si="23"/>
        <v>Error?</v>
      </c>
    </row>
    <row r="1537" spans="1:4" x14ac:dyDescent="0.2">
      <c r="A1537" s="5">
        <v>1476</v>
      </c>
      <c r="B1537" s="1821">
        <f>'Expenditures 15-22'!F301</f>
        <v>607</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607</v>
      </c>
      <c r="C1541" s="2" t="s">
        <v>569</v>
      </c>
      <c r="D1541" s="2" t="str">
        <f t="shared" si="23"/>
        <v>Error?</v>
      </c>
    </row>
    <row r="1542" spans="1:4" x14ac:dyDescent="0.2">
      <c r="A1542" s="5">
        <v>1481</v>
      </c>
      <c r="B1542" s="1821">
        <f>'Expenditures 15-22'!F312</f>
        <v>607</v>
      </c>
      <c r="C1542" s="2" t="s">
        <v>569</v>
      </c>
      <c r="D1542" s="2" t="str">
        <f t="shared" si="23"/>
        <v>Error?</v>
      </c>
    </row>
    <row r="1543" spans="1:4" x14ac:dyDescent="0.2">
      <c r="A1543" s="5">
        <v>1482</v>
      </c>
      <c r="B1543" s="1821">
        <f>'Expenditures 15-22'!G301</f>
        <v>5123161</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5123161</v>
      </c>
      <c r="C1547" s="2" t="s">
        <v>569</v>
      </c>
      <c r="D1547" s="2" t="str">
        <f t="shared" si="23"/>
        <v>Error?</v>
      </c>
    </row>
    <row r="1548" spans="1:4" x14ac:dyDescent="0.2">
      <c r="A1548" s="5">
        <v>1487</v>
      </c>
      <c r="B1548" s="1821">
        <f>'Expenditures 15-22'!G312</f>
        <v>5123161</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5123768</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5123768</v>
      </c>
      <c r="C1559" s="2" t="s">
        <v>569</v>
      </c>
      <c r="D1559" s="2" t="str">
        <f t="shared" si="23"/>
        <v>Error?</v>
      </c>
    </row>
    <row r="1560" spans="1:4" x14ac:dyDescent="0.2">
      <c r="A1560" s="5">
        <v>1499</v>
      </c>
      <c r="B1560" s="1821">
        <f>'Expenditures 15-22'!K312</f>
        <v>5123768</v>
      </c>
      <c r="C1560" s="2" t="s">
        <v>569</v>
      </c>
      <c r="D1560" s="2" t="str">
        <f t="shared" si="23"/>
        <v>Error?</v>
      </c>
    </row>
    <row r="1561" spans="1:4" x14ac:dyDescent="0.2">
      <c r="A1561" s="5">
        <v>1500</v>
      </c>
      <c r="B1561" s="1821">
        <f>'Expenditures 15-22'!K313</f>
        <v>-3633121</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39025435</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39098199</v>
      </c>
      <c r="C1630" s="2" t="s">
        <v>569</v>
      </c>
      <c r="D1630" s="2" t="str">
        <f t="shared" si="24"/>
        <v>Error?</v>
      </c>
    </row>
    <row r="1631" spans="1:4" x14ac:dyDescent="0.2">
      <c r="A1631" s="5">
        <v>1570</v>
      </c>
      <c r="B1631" s="1821">
        <f>'Acct Summary 7-8'!D79</f>
        <v>6888507</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7985800</v>
      </c>
      <c r="C1644" s="2" t="s">
        <v>569</v>
      </c>
      <c r="D1644" s="2" t="str">
        <f t="shared" si="24"/>
        <v>Error?</v>
      </c>
    </row>
    <row r="1645" spans="1:4" x14ac:dyDescent="0.2">
      <c r="A1645" s="5">
        <v>1584</v>
      </c>
      <c r="B1645" s="1821">
        <f>'Acct Summary 7-8'!E79</f>
        <v>4128383</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1114588</v>
      </c>
      <c r="C1658" s="2" t="s">
        <v>569</v>
      </c>
      <c r="D1658" s="2" t="str">
        <f t="shared" si="24"/>
        <v>Error?</v>
      </c>
    </row>
    <row r="1659" spans="1:4" x14ac:dyDescent="0.2">
      <c r="A1659" s="5">
        <v>1598</v>
      </c>
      <c r="B1659" s="1821">
        <f>'Acct Summary 7-8'!F79</f>
        <v>7506732</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7139933</v>
      </c>
      <c r="C1672" s="2" t="s">
        <v>569</v>
      </c>
      <c r="D1672" s="2" t="str">
        <f t="shared" si="25"/>
        <v>Error?</v>
      </c>
    </row>
    <row r="1673" spans="1:4" x14ac:dyDescent="0.2">
      <c r="A1673" s="5">
        <v>1612</v>
      </c>
      <c r="B1673" s="1821">
        <f>'Acct Summary 7-8'!G79</f>
        <v>1342315</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1071328</v>
      </c>
      <c r="C1686" s="2" t="s">
        <v>569</v>
      </c>
      <c r="D1686" s="2" t="str">
        <f t="shared" si="25"/>
        <v>Error?</v>
      </c>
    </row>
    <row r="1687" spans="1:4" x14ac:dyDescent="0.2">
      <c r="A1687" s="5">
        <v>1626</v>
      </c>
      <c r="B1687" s="1821">
        <f>'Acct Summary 7-8'!H79</f>
        <v>522299</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889178</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37085030</v>
      </c>
      <c r="C1744" s="2" t="s">
        <v>569</v>
      </c>
      <c r="D1744" s="2" t="str">
        <f t="shared" si="26"/>
        <v>Error?</v>
      </c>
    </row>
    <row r="1745" spans="1:5" x14ac:dyDescent="0.2">
      <c r="A1745" s="5">
        <v>1684</v>
      </c>
      <c r="B1745" s="1821">
        <f>'Tax Sched 23'!B5</f>
        <v>5137353</v>
      </c>
      <c r="C1745" s="2" t="s">
        <v>569</v>
      </c>
      <c r="D1745" s="2" t="str">
        <f t="shared" si="26"/>
        <v>Error?</v>
      </c>
    </row>
    <row r="1746" spans="1:5" x14ac:dyDescent="0.2">
      <c r="A1746" s="5">
        <v>1685</v>
      </c>
      <c r="B1746" s="1821">
        <f>'Tax Sched 23'!B6</f>
        <v>2779960</v>
      </c>
      <c r="C1746" s="2" t="s">
        <v>569</v>
      </c>
      <c r="D1746" s="2" t="str">
        <f t="shared" si="26"/>
        <v>Error?</v>
      </c>
    </row>
    <row r="1747" spans="1:5" x14ac:dyDescent="0.2">
      <c r="A1747" s="5">
        <v>1686</v>
      </c>
      <c r="B1747" s="1821">
        <f>'Tax Sched 23'!B7</f>
        <v>1976230</v>
      </c>
      <c r="C1747" s="2" t="s">
        <v>569</v>
      </c>
      <c r="D1747" s="2" t="str">
        <f t="shared" si="26"/>
        <v>Error?</v>
      </c>
    </row>
    <row r="1748" spans="1:5" x14ac:dyDescent="0.2">
      <c r="A1748" s="5">
        <v>1687</v>
      </c>
      <c r="B1748" s="1821">
        <f>'Tax Sched 23'!B8</f>
        <v>790586</v>
      </c>
      <c r="C1748" s="2" t="s">
        <v>569</v>
      </c>
      <c r="D1748" s="2" t="str">
        <f t="shared" si="26"/>
        <v>Error?</v>
      </c>
    </row>
    <row r="1749" spans="1:5" x14ac:dyDescent="0.2">
      <c r="A1749" s="5">
        <v>1688</v>
      </c>
      <c r="B1749" s="1821">
        <f>'Tax Sched 23'!B10</f>
        <v>464593</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493853</v>
      </c>
      <c r="C1752" s="2" t="s">
        <v>569</v>
      </c>
      <c r="D1752" s="2" t="str">
        <f t="shared" si="26"/>
        <v>Error?</v>
      </c>
    </row>
    <row r="1753" spans="1:5" x14ac:dyDescent="0.2">
      <c r="A1753" s="5">
        <v>1692</v>
      </c>
      <c r="B1753" s="1821">
        <f>'Tax Sched 23'!B12</f>
        <v>11784</v>
      </c>
      <c r="C1753" s="2" t="s">
        <v>569</v>
      </c>
      <c r="D1753" s="2" t="str">
        <f t="shared" si="26"/>
        <v>Error?</v>
      </c>
    </row>
    <row r="1754" spans="1:5" x14ac:dyDescent="0.2">
      <c r="A1754" s="5">
        <v>1693</v>
      </c>
      <c r="B1754" s="1821">
        <f>'Tax Sched 23'!B14</f>
        <v>1976230</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51506205</v>
      </c>
      <c r="C1759" s="2" t="s">
        <v>569</v>
      </c>
      <c r="D1759" s="2" t="str">
        <f t="shared" si="26"/>
        <v>Error?</v>
      </c>
    </row>
    <row r="1760" spans="1:5" x14ac:dyDescent="0.2">
      <c r="A1760" s="5">
        <v>1699</v>
      </c>
      <c r="B1760" s="1821">
        <f>'Tax Sched 23'!D4</f>
        <v>18678237</v>
      </c>
      <c r="C1760" s="2" t="s">
        <v>569</v>
      </c>
      <c r="D1760" s="2" t="str">
        <f t="shared" si="26"/>
        <v>Error?</v>
      </c>
    </row>
    <row r="1761" spans="1:7" x14ac:dyDescent="0.2">
      <c r="A1761" s="5">
        <v>1700</v>
      </c>
      <c r="B1761" s="1821">
        <f>'Tax Sched 23'!D5</f>
        <v>2587340</v>
      </c>
      <c r="C1761" s="2" t="s">
        <v>569</v>
      </c>
      <c r="D1761" s="2" t="str">
        <f t="shared" si="26"/>
        <v>Error?</v>
      </c>
    </row>
    <row r="1762" spans="1:7" s="8" customFormat="1" x14ac:dyDescent="0.2">
      <c r="A1762" s="5">
        <v>1701</v>
      </c>
      <c r="B1762" s="1821">
        <f>'Tax Sched 23'!D6</f>
        <v>2779960</v>
      </c>
      <c r="C1762" s="2" t="s">
        <v>569</v>
      </c>
      <c r="D1762" s="2" t="str">
        <f t="shared" si="26"/>
        <v>Error?</v>
      </c>
      <c r="E1762" s="9"/>
      <c r="G1762"/>
    </row>
    <row r="1763" spans="1:7" x14ac:dyDescent="0.2">
      <c r="A1763" s="5">
        <v>1702</v>
      </c>
      <c r="B1763" s="1821">
        <f>'Tax Sched 23'!D7</f>
        <v>995238</v>
      </c>
      <c r="C1763" s="2" t="s">
        <v>569</v>
      </c>
      <c r="D1763" s="2" t="str">
        <f t="shared" si="26"/>
        <v>Error?</v>
      </c>
    </row>
    <row r="1764" spans="1:7" x14ac:dyDescent="0.2">
      <c r="A1764" s="5">
        <v>1703</v>
      </c>
      <c r="B1764" s="1821">
        <f>'Tax Sched 23'!D8</f>
        <v>398098</v>
      </c>
      <c r="C1764" s="2" t="s">
        <v>569</v>
      </c>
      <c r="D1764" s="2" t="str">
        <f t="shared" si="26"/>
        <v>Error?</v>
      </c>
    </row>
    <row r="1765" spans="1:7" x14ac:dyDescent="0.2">
      <c r="A1765" s="5">
        <v>1704</v>
      </c>
      <c r="B1765" s="1821">
        <f>'Tax Sched 23'!D10</f>
        <v>233963</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248720</v>
      </c>
      <c r="C1768" s="2" t="s">
        <v>569</v>
      </c>
      <c r="D1768" s="2" t="str">
        <f t="shared" si="26"/>
        <v>Error?</v>
      </c>
    </row>
    <row r="1769" spans="1:7" x14ac:dyDescent="0.2">
      <c r="A1769" s="5">
        <v>1708</v>
      </c>
      <c r="B1769" s="1821">
        <f>'Tax Sched 23'!D12</f>
        <v>5701</v>
      </c>
      <c r="C1769" s="2" t="s">
        <v>569</v>
      </c>
      <c r="D1769" s="2" t="str">
        <f t="shared" si="26"/>
        <v>Error?</v>
      </c>
    </row>
    <row r="1770" spans="1:7" x14ac:dyDescent="0.2">
      <c r="A1770" s="5">
        <v>1709</v>
      </c>
      <c r="B1770" s="1821">
        <f>'Tax Sched 23'!D14</f>
        <v>995238</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27320593</v>
      </c>
      <c r="C1775" s="2" t="s">
        <v>569</v>
      </c>
      <c r="D1775" s="2" t="str">
        <f t="shared" si="26"/>
        <v>Error?</v>
      </c>
    </row>
    <row r="1776" spans="1:7" x14ac:dyDescent="0.2">
      <c r="A1776" s="5">
        <v>1715</v>
      </c>
      <c r="B1776" s="1821">
        <f>'Tax Sched 23'!C4</f>
        <v>18406793</v>
      </c>
      <c r="D1776" s="2" t="str">
        <f t="shared" si="26"/>
        <v>Error?</v>
      </c>
    </row>
    <row r="1777" spans="1:4" x14ac:dyDescent="0.2">
      <c r="A1777" s="5">
        <v>1716</v>
      </c>
      <c r="B1777" s="1821">
        <f>'Tax Sched 23'!C5</f>
        <v>2550013</v>
      </c>
      <c r="D1777" s="2" t="str">
        <f t="shared" si="26"/>
        <v>Error?</v>
      </c>
    </row>
    <row r="1778" spans="1:4" x14ac:dyDescent="0.2">
      <c r="A1778" s="5">
        <v>1717</v>
      </c>
      <c r="B1778" s="1821">
        <f>'Tax Sched 23'!C6</f>
        <v>0</v>
      </c>
      <c r="D1778" s="2" t="str">
        <f t="shared" si="26"/>
        <v>Error?</v>
      </c>
    </row>
    <row r="1779" spans="1:4" x14ac:dyDescent="0.2">
      <c r="A1779" s="5">
        <v>1718</v>
      </c>
      <c r="B1779" s="1821">
        <f>'Tax Sched 23'!C7</f>
        <v>980992</v>
      </c>
      <c r="D1779" s="2" t="str">
        <f t="shared" si="26"/>
        <v>Error?</v>
      </c>
    </row>
    <row r="1780" spans="1:4" x14ac:dyDescent="0.2">
      <c r="A1780" s="5">
        <v>1719</v>
      </c>
      <c r="B1780" s="1821">
        <f>'Tax Sched 23'!C8</f>
        <v>392488</v>
      </c>
      <c r="D1780" s="2" t="str">
        <f t="shared" si="26"/>
        <v>Error?</v>
      </c>
    </row>
    <row r="1781" spans="1:4" x14ac:dyDescent="0.2">
      <c r="A1781" s="5">
        <v>1720</v>
      </c>
      <c r="B1781" s="1821">
        <f>'Tax Sched 23'!C10</f>
        <v>230630</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245133</v>
      </c>
      <c r="D1784" s="2" t="str">
        <f t="shared" si="26"/>
        <v>Error?</v>
      </c>
    </row>
    <row r="1785" spans="1:4" x14ac:dyDescent="0.2">
      <c r="A1785" s="5">
        <v>1724</v>
      </c>
      <c r="B1785" s="1821">
        <f>'Tax Sched 23'!C12</f>
        <v>6083</v>
      </c>
      <c r="D1785" s="2" t="str">
        <f t="shared" si="26"/>
        <v>Error?</v>
      </c>
    </row>
    <row r="1786" spans="1:4" x14ac:dyDescent="0.2">
      <c r="A1786" s="5">
        <v>1725</v>
      </c>
      <c r="B1786" s="1821">
        <f>'Tax Sched 23'!C14</f>
        <v>980992</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24185612</v>
      </c>
      <c r="C1791" s="2" t="s">
        <v>569</v>
      </c>
      <c r="D1791" s="2" t="str">
        <f t="shared" ref="D1791:D1854" si="27">IF(ISBLANK(B1791),"OK",IF(A1791-B1791=0,"OK","Error?"))</f>
        <v>Error?</v>
      </c>
    </row>
    <row r="1792" spans="1:4" x14ac:dyDescent="0.2">
      <c r="A1792" s="5">
        <v>1731</v>
      </c>
      <c r="B1792" s="1821">
        <f>'Tax Sched 23'!F4</f>
        <v>20990334</v>
      </c>
      <c r="C1792" s="2" t="s">
        <v>569</v>
      </c>
      <c r="D1792" s="2" t="str">
        <f t="shared" si="27"/>
        <v>Error?</v>
      </c>
    </row>
    <row r="1793" spans="1:4" x14ac:dyDescent="0.2">
      <c r="A1793" s="5">
        <v>1732</v>
      </c>
      <c r="B1793" s="1821">
        <f>'Tax Sched 23'!F5</f>
        <v>2907928</v>
      </c>
      <c r="C1793" s="2" t="s">
        <v>569</v>
      </c>
      <c r="D1793" s="2" t="str">
        <f t="shared" si="27"/>
        <v>Error?</v>
      </c>
    </row>
    <row r="1794" spans="1:4" x14ac:dyDescent="0.2">
      <c r="A1794" s="5">
        <v>1733</v>
      </c>
      <c r="B1794" s="1821">
        <f>'Tax Sched 23'!F6</f>
        <v>0</v>
      </c>
      <c r="C1794" s="2" t="s">
        <v>569</v>
      </c>
      <c r="D1794" s="2" t="str">
        <f t="shared" si="27"/>
        <v>Error?</v>
      </c>
    </row>
    <row r="1795" spans="1:4" x14ac:dyDescent="0.2">
      <c r="A1795" s="5">
        <v>1734</v>
      </c>
      <c r="B1795" s="1821">
        <f>'Tax Sched 23'!F7</f>
        <v>1118682</v>
      </c>
      <c r="C1795" s="2" t="s">
        <v>569</v>
      </c>
      <c r="D1795" s="2" t="str">
        <f t="shared" si="27"/>
        <v>Error?</v>
      </c>
    </row>
    <row r="1796" spans="1:4" x14ac:dyDescent="0.2">
      <c r="A1796" s="5">
        <v>1735</v>
      </c>
      <c r="B1796" s="1821">
        <f>'Tax Sched 23'!F8</f>
        <v>447578</v>
      </c>
      <c r="C1796" s="2" t="s">
        <v>569</v>
      </c>
      <c r="D1796" s="2" t="str">
        <f t="shared" si="27"/>
        <v>Error?</v>
      </c>
    </row>
    <row r="1797" spans="1:4" x14ac:dyDescent="0.2">
      <c r="A1797" s="5">
        <v>1736</v>
      </c>
      <c r="B1797" s="1821">
        <f>'Tax Sched 23'!F10</f>
        <v>263001</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279540</v>
      </c>
      <c r="C1800" s="2" t="s">
        <v>569</v>
      </c>
      <c r="D1800" s="2" t="str">
        <f t="shared" si="27"/>
        <v>Error?</v>
      </c>
    </row>
    <row r="1801" spans="1:4" x14ac:dyDescent="0.2">
      <c r="A1801" s="5">
        <v>1740</v>
      </c>
      <c r="B1801" s="1821">
        <f>'Tax Sched 23'!F12</f>
        <v>6936</v>
      </c>
      <c r="C1801" s="2" t="s">
        <v>569</v>
      </c>
      <c r="D1801" s="2" t="str">
        <f t="shared" si="27"/>
        <v>Error?</v>
      </c>
    </row>
    <row r="1802" spans="1:4" x14ac:dyDescent="0.2">
      <c r="A1802" s="5">
        <v>1741</v>
      </c>
      <c r="B1802" s="1821">
        <f>'Tax Sched 23'!F14</f>
        <v>1118682</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27580259</v>
      </c>
      <c r="C1807" s="2" t="s">
        <v>569</v>
      </c>
      <c r="D1807" s="2" t="str">
        <f t="shared" si="27"/>
        <v>Error?</v>
      </c>
    </row>
    <row r="1808" spans="1:4" x14ac:dyDescent="0.2">
      <c r="A1808" s="5">
        <v>1747</v>
      </c>
      <c r="B1808" s="1821">
        <f>'Tax Sched 23'!E4</f>
        <v>39397127</v>
      </c>
      <c r="D1808" s="2" t="str">
        <f t="shared" si="27"/>
        <v>Error?</v>
      </c>
    </row>
    <row r="1809" spans="1:4" x14ac:dyDescent="0.2">
      <c r="A1809" s="5">
        <v>1748</v>
      </c>
      <c r="B1809" s="1821">
        <f>'Tax Sched 23'!E5</f>
        <v>5457941</v>
      </c>
      <c r="D1809" s="2" t="str">
        <f t="shared" si="27"/>
        <v>Error?</v>
      </c>
    </row>
    <row r="1810" spans="1:4" x14ac:dyDescent="0.2">
      <c r="A1810" s="5">
        <v>1749</v>
      </c>
      <c r="B1810" s="1821">
        <f>'Tax Sched 23'!E6</f>
        <v>0</v>
      </c>
      <c r="D1810" s="2" t="str">
        <f t="shared" si="27"/>
        <v>Error?</v>
      </c>
    </row>
    <row r="1811" spans="1:4" x14ac:dyDescent="0.2">
      <c r="A1811" s="5">
        <v>1750</v>
      </c>
      <c r="B1811" s="1821">
        <f>'Tax Sched 23'!E7</f>
        <v>2099674</v>
      </c>
      <c r="D1811" s="2" t="str">
        <f t="shared" si="27"/>
        <v>Error?</v>
      </c>
    </row>
    <row r="1812" spans="1:4" x14ac:dyDescent="0.2">
      <c r="A1812" s="5">
        <v>1751</v>
      </c>
      <c r="B1812" s="1821">
        <f>'Tax Sched 23'!E8</f>
        <v>840066</v>
      </c>
      <c r="D1812" s="2" t="str">
        <f t="shared" si="27"/>
        <v>Error?</v>
      </c>
    </row>
    <row r="1813" spans="1:4" x14ac:dyDescent="0.2">
      <c r="A1813" s="5">
        <v>1752</v>
      </c>
      <c r="B1813" s="1821">
        <f>'Tax Sched 23'!E10</f>
        <v>493631</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524673</v>
      </c>
      <c r="D1816" s="2" t="str">
        <f t="shared" si="27"/>
        <v>Error?</v>
      </c>
    </row>
    <row r="1817" spans="1:4" x14ac:dyDescent="0.2">
      <c r="A1817" s="5">
        <v>1756</v>
      </c>
      <c r="B1817" s="1821">
        <f>'Tax Sched 23'!E12</f>
        <v>13019</v>
      </c>
      <c r="D1817" s="2" t="str">
        <f t="shared" si="27"/>
        <v>Error?</v>
      </c>
    </row>
    <row r="1818" spans="1:4" x14ac:dyDescent="0.2">
      <c r="A1818" s="5">
        <v>1757</v>
      </c>
      <c r="B1818" s="1821">
        <f>'Tax Sched 23'!E14</f>
        <v>2099674</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51765871</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5515000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1976230</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1976230</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1976230</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1262074</v>
      </c>
      <c r="D2008" s="2" t="str">
        <f t="shared" si="30"/>
        <v>Error?</v>
      </c>
    </row>
    <row r="2009" spans="1:4" x14ac:dyDescent="0.2">
      <c r="A2009" s="5">
        <v>1948</v>
      </c>
      <c r="B2009" s="1821">
        <f>'Cap Outlay Deprec 26'!C8</f>
        <v>89120797</v>
      </c>
      <c r="D2009" s="2" t="str">
        <f t="shared" si="30"/>
        <v>Error?</v>
      </c>
    </row>
    <row r="2010" spans="1:4" x14ac:dyDescent="0.2">
      <c r="A2010" s="5">
        <v>1949</v>
      </c>
      <c r="B2010" s="1821">
        <f>'Cap Outlay Deprec 26'!C10</f>
        <v>2174474</v>
      </c>
      <c r="D2010" s="2" t="str">
        <f t="shared" si="30"/>
        <v>Error?</v>
      </c>
    </row>
    <row r="2011" spans="1:4" x14ac:dyDescent="0.2">
      <c r="A2011" s="5">
        <v>1950</v>
      </c>
      <c r="B2011" s="1821">
        <f>'Cap Outlay Deprec 26'!C12</f>
        <v>0</v>
      </c>
      <c r="D2011" s="2" t="str">
        <f t="shared" si="30"/>
        <v>Error?</v>
      </c>
    </row>
    <row r="2012" spans="1:4" x14ac:dyDescent="0.2">
      <c r="A2012" s="5">
        <v>1951</v>
      </c>
      <c r="B2012" s="1821">
        <f>'Cap Outlay Deprec 26'!C13</f>
        <v>11190091</v>
      </c>
      <c r="D2012" s="2" t="str">
        <f t="shared" si="30"/>
        <v>Error?</v>
      </c>
    </row>
    <row r="2013" spans="1:4" x14ac:dyDescent="0.2">
      <c r="A2013" s="5">
        <v>1952</v>
      </c>
      <c r="B2013" s="1821">
        <f>'Cap Outlay Deprec 26'!C16</f>
        <v>103747436</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5123161</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0</v>
      </c>
      <c r="D2017" s="2" t="str">
        <f t="shared" si="30"/>
        <v>Error?</v>
      </c>
    </row>
    <row r="2018" spans="1:4" x14ac:dyDescent="0.2">
      <c r="A2018" s="5">
        <v>1957</v>
      </c>
      <c r="B2018" s="1821">
        <f>'Cap Outlay Deprec 26'!D13</f>
        <v>733990</v>
      </c>
      <c r="D2018" s="2" t="str">
        <f t="shared" si="30"/>
        <v>Error?</v>
      </c>
    </row>
    <row r="2019" spans="1:4" x14ac:dyDescent="0.2">
      <c r="A2019" s="5">
        <v>1958</v>
      </c>
      <c r="B2019" s="1821">
        <f>'Cap Outlay Deprec 26'!D16</f>
        <v>5857151</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0</v>
      </c>
      <c r="C2025" s="2" t="s">
        <v>569</v>
      </c>
      <c r="D2025" s="2" t="str">
        <f t="shared" si="30"/>
        <v>Error?</v>
      </c>
    </row>
    <row r="2026" spans="1:4" x14ac:dyDescent="0.2">
      <c r="A2026" s="5">
        <v>1965</v>
      </c>
      <c r="B2026" s="1821">
        <f>'Cap Outlay Deprec 26'!F5</f>
        <v>1262074</v>
      </c>
      <c r="C2026" s="2" t="s">
        <v>569</v>
      </c>
      <c r="D2026" s="2" t="str">
        <f t="shared" si="30"/>
        <v>Error?</v>
      </c>
    </row>
    <row r="2027" spans="1:4" x14ac:dyDescent="0.2">
      <c r="A2027" s="5">
        <v>1966</v>
      </c>
      <c r="B2027" s="1821">
        <f>'Cap Outlay Deprec 26'!F8</f>
        <v>94243958</v>
      </c>
      <c r="C2027" s="2" t="s">
        <v>569</v>
      </c>
      <c r="D2027" s="2" t="str">
        <f t="shared" si="30"/>
        <v>Error?</v>
      </c>
    </row>
    <row r="2028" spans="1:4" x14ac:dyDescent="0.2">
      <c r="A2028" s="5">
        <v>1967</v>
      </c>
      <c r="B2028" s="1821">
        <f>'Cap Outlay Deprec 26'!F10</f>
        <v>2174474</v>
      </c>
      <c r="C2028" s="2" t="s">
        <v>569</v>
      </c>
      <c r="D2028" s="2" t="str">
        <f t="shared" si="30"/>
        <v>Error?</v>
      </c>
    </row>
    <row r="2029" spans="1:4" x14ac:dyDescent="0.2">
      <c r="A2029" s="5">
        <v>1968</v>
      </c>
      <c r="B2029" s="1821">
        <f>'Cap Outlay Deprec 26'!F12</f>
        <v>0</v>
      </c>
      <c r="C2029" s="2" t="s">
        <v>569</v>
      </c>
      <c r="D2029" s="2" t="str">
        <f t="shared" si="30"/>
        <v>Error?</v>
      </c>
    </row>
    <row r="2030" spans="1:4" x14ac:dyDescent="0.2">
      <c r="A2030" s="5">
        <v>1969</v>
      </c>
      <c r="B2030" s="1821">
        <f>'Cap Outlay Deprec 26'!F13</f>
        <v>11924081</v>
      </c>
      <c r="C2030" s="2" t="s">
        <v>569</v>
      </c>
      <c r="D2030" s="2" t="str">
        <f t="shared" si="30"/>
        <v>Error?</v>
      </c>
    </row>
    <row r="2031" spans="1:4" x14ac:dyDescent="0.2">
      <c r="A2031" s="5">
        <v>1970</v>
      </c>
      <c r="B2031" s="1821">
        <f>'Cap Outlay Deprec 26'!F16</f>
        <v>109604587</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33080723</v>
      </c>
      <c r="D2033" s="2" t="str">
        <f t="shared" si="30"/>
        <v>Error?</v>
      </c>
    </row>
    <row r="2034" spans="1:4" x14ac:dyDescent="0.2">
      <c r="A2034" s="5">
        <v>1973</v>
      </c>
      <c r="B2034" s="1821">
        <f>'Cap Outlay Deprec 26'!H10</f>
        <v>1654222</v>
      </c>
      <c r="D2034" s="2" t="str">
        <f t="shared" si="30"/>
        <v>Error?</v>
      </c>
    </row>
    <row r="2035" spans="1:4" x14ac:dyDescent="0.2">
      <c r="A2035" s="5">
        <v>1974</v>
      </c>
      <c r="B2035" s="1821">
        <f>'Cap Outlay Deprec 26'!H12</f>
        <v>0</v>
      </c>
      <c r="D2035" s="2" t="str">
        <f t="shared" si="30"/>
        <v>Error?</v>
      </c>
    </row>
    <row r="2036" spans="1:4" x14ac:dyDescent="0.2">
      <c r="A2036" s="5">
        <v>1975</v>
      </c>
      <c r="B2036" s="1821">
        <f>'Cap Outlay Deprec 26'!H13</f>
        <v>8030132</v>
      </c>
      <c r="D2036" s="2" t="str">
        <f t="shared" si="30"/>
        <v>Error?</v>
      </c>
    </row>
    <row r="2037" spans="1:4" x14ac:dyDescent="0.2">
      <c r="A2037" s="5">
        <v>1976</v>
      </c>
      <c r="B2037" s="1821">
        <f>'Cap Outlay Deprec 26'!H16</f>
        <v>42765077</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3125862</v>
      </c>
      <c r="D2039" s="2" t="str">
        <f t="shared" si="30"/>
        <v>Error?</v>
      </c>
    </row>
    <row r="2040" spans="1:4" x14ac:dyDescent="0.2">
      <c r="A2040" s="5">
        <v>1979</v>
      </c>
      <c r="B2040" s="1821">
        <f>'Cap Outlay Deprec 26'!I10</f>
        <v>58431</v>
      </c>
      <c r="D2040" s="2" t="str">
        <f t="shared" si="30"/>
        <v>Error?</v>
      </c>
    </row>
    <row r="2041" spans="1:4" x14ac:dyDescent="0.2">
      <c r="A2041" s="5">
        <v>1980</v>
      </c>
      <c r="B2041" s="1821">
        <f>'Cap Outlay Deprec 26'!I12</f>
        <v>0</v>
      </c>
      <c r="D2041" s="2" t="str">
        <f t="shared" si="30"/>
        <v>Error?</v>
      </c>
    </row>
    <row r="2042" spans="1:4" x14ac:dyDescent="0.2">
      <c r="A2042" s="5">
        <v>1981</v>
      </c>
      <c r="B2042" s="1821">
        <f>'Cap Outlay Deprec 26'!I13</f>
        <v>543086</v>
      </c>
      <c r="D2042" s="2" t="str">
        <f t="shared" si="30"/>
        <v>Error?</v>
      </c>
    </row>
    <row r="2043" spans="1:4" x14ac:dyDescent="0.2">
      <c r="A2043" s="5">
        <v>1982</v>
      </c>
      <c r="B2043" s="1821">
        <f>'Cap Outlay Deprec 26'!I16</f>
        <v>3727379</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0</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36206585</v>
      </c>
      <c r="C2051" s="2" t="s">
        <v>569</v>
      </c>
      <c r="D2051" s="2" t="str">
        <f t="shared" si="31"/>
        <v>Error?</v>
      </c>
    </row>
    <row r="2052" spans="1:4" x14ac:dyDescent="0.2">
      <c r="A2052" s="5">
        <v>1991</v>
      </c>
      <c r="B2052" s="1821">
        <f>'Cap Outlay Deprec 26'!K10</f>
        <v>1712653</v>
      </c>
      <c r="C2052" s="2" t="s">
        <v>569</v>
      </c>
      <c r="D2052" s="2" t="str">
        <f t="shared" si="31"/>
        <v>Error?</v>
      </c>
    </row>
    <row r="2053" spans="1:4" x14ac:dyDescent="0.2">
      <c r="A2053" s="5">
        <v>1992</v>
      </c>
      <c r="B2053" s="1821">
        <f>'Cap Outlay Deprec 26'!K12</f>
        <v>0</v>
      </c>
      <c r="C2053" s="2" t="s">
        <v>569</v>
      </c>
      <c r="D2053" s="2" t="str">
        <f t="shared" si="31"/>
        <v>Error?</v>
      </c>
    </row>
    <row r="2054" spans="1:4" x14ac:dyDescent="0.2">
      <c r="A2054" s="5">
        <v>1993</v>
      </c>
      <c r="B2054" s="1821">
        <f>'Cap Outlay Deprec 26'!K13</f>
        <v>8573218</v>
      </c>
      <c r="C2054" s="2" t="s">
        <v>569</v>
      </c>
      <c r="D2054" s="2" t="str">
        <f t="shared" si="31"/>
        <v>Error?</v>
      </c>
    </row>
    <row r="2055" spans="1:4" x14ac:dyDescent="0.2">
      <c r="A2055" s="5">
        <v>1994</v>
      </c>
      <c r="B2055" s="1821">
        <f>'Cap Outlay Deprec 26'!K16</f>
        <v>46492456</v>
      </c>
      <c r="C2055" s="2" t="s">
        <v>569</v>
      </c>
      <c r="D2055" s="2" t="str">
        <f t="shared" si="31"/>
        <v>Error?</v>
      </c>
    </row>
    <row r="2056" spans="1:4" x14ac:dyDescent="0.2">
      <c r="A2056" s="5">
        <v>1995</v>
      </c>
      <c r="B2056" s="1821">
        <f>'Cap Outlay Deprec 26'!L5</f>
        <v>1262074</v>
      </c>
      <c r="C2056" s="2" t="s">
        <v>569</v>
      </c>
      <c r="D2056" s="2" t="str">
        <f t="shared" si="31"/>
        <v>Error?</v>
      </c>
    </row>
    <row r="2057" spans="1:4" x14ac:dyDescent="0.2">
      <c r="A2057" s="5">
        <v>1996</v>
      </c>
      <c r="B2057" s="1821">
        <f>'Cap Outlay Deprec 26'!L8</f>
        <v>58037373</v>
      </c>
      <c r="C2057" s="2" t="s">
        <v>569</v>
      </c>
      <c r="D2057" s="2" t="str">
        <f t="shared" si="31"/>
        <v>Error?</v>
      </c>
    </row>
    <row r="2058" spans="1:4" x14ac:dyDescent="0.2">
      <c r="A2058" s="5">
        <v>1997</v>
      </c>
      <c r="B2058" s="1821">
        <f>'Cap Outlay Deprec 26'!L10</f>
        <v>461821</v>
      </c>
      <c r="C2058" s="2" t="s">
        <v>569</v>
      </c>
      <c r="D2058" s="2" t="str">
        <f t="shared" si="31"/>
        <v>Error?</v>
      </c>
    </row>
    <row r="2059" spans="1:4" x14ac:dyDescent="0.2">
      <c r="A2059" s="5">
        <v>1998</v>
      </c>
      <c r="B2059" s="1821">
        <f>'Cap Outlay Deprec 26'!L12</f>
        <v>0</v>
      </c>
      <c r="C2059" s="2" t="s">
        <v>569</v>
      </c>
      <c r="D2059" s="2" t="str">
        <f t="shared" si="31"/>
        <v>Error?</v>
      </c>
    </row>
    <row r="2060" spans="1:4" x14ac:dyDescent="0.2">
      <c r="A2060" s="5">
        <v>1999</v>
      </c>
      <c r="B2060" s="1821">
        <f>'Cap Outlay Deprec 26'!L13</f>
        <v>3350863</v>
      </c>
      <c r="C2060" s="2" t="s">
        <v>569</v>
      </c>
      <c r="D2060" s="2" t="str">
        <f t="shared" si="31"/>
        <v>Error?</v>
      </c>
    </row>
    <row r="2061" spans="1:4" x14ac:dyDescent="0.2">
      <c r="A2061" s="5">
        <v>2000</v>
      </c>
      <c r="B2061" s="1821">
        <f>'Cap Outlay Deprec 26'!L16</f>
        <v>63112131</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419259</v>
      </c>
      <c r="C2088" s="2" t="s">
        <v>569</v>
      </c>
      <c r="D2088" s="2" t="str">
        <f t="shared" si="31"/>
        <v>Error?</v>
      </c>
    </row>
    <row r="2089" spans="1:4" x14ac:dyDescent="0.2">
      <c r="A2089" s="5">
        <v>2028</v>
      </c>
      <c r="B2089" s="1821">
        <f>'Expenditures 15-22'!K92</f>
        <v>947434</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40855884</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8792497</v>
      </c>
      <c r="C2553" s="2" t="s">
        <v>569</v>
      </c>
      <c r="D2553" s="2" t="str">
        <f t="shared" si="38"/>
        <v>Error?</v>
      </c>
    </row>
    <row r="2554" spans="1:4" x14ac:dyDescent="0.2">
      <c r="A2554" s="5">
        <v>2493</v>
      </c>
      <c r="B2554" s="1821">
        <f>'Acct Summary 7-8'!C7</f>
        <v>3597522</v>
      </c>
      <c r="C2554" s="2" t="s">
        <v>569</v>
      </c>
      <c r="D2554" s="2" t="str">
        <f t="shared" si="38"/>
        <v>Error?</v>
      </c>
    </row>
    <row r="2555" spans="1:4" x14ac:dyDescent="0.2">
      <c r="A2555" s="5">
        <v>2494</v>
      </c>
      <c r="B2555" s="1821">
        <f>'Acct Summary 7-8'!C8</f>
        <v>53245903</v>
      </c>
      <c r="C2555" s="2" t="s">
        <v>569</v>
      </c>
      <c r="D2555" s="2" t="str">
        <f t="shared" si="38"/>
        <v>Error?</v>
      </c>
    </row>
    <row r="2556" spans="1:4" x14ac:dyDescent="0.2">
      <c r="A2556" s="5">
        <v>2495</v>
      </c>
      <c r="B2556" s="1821">
        <f>'Acct Summary 7-8'!C12</f>
        <v>36641413</v>
      </c>
      <c r="C2556" s="2" t="s">
        <v>569</v>
      </c>
      <c r="D2556" s="2" t="str">
        <f t="shared" si="38"/>
        <v>Error?</v>
      </c>
    </row>
    <row r="2557" spans="1:4" x14ac:dyDescent="0.2">
      <c r="A2557" s="5">
        <v>2496</v>
      </c>
      <c r="B2557" s="1821">
        <f>'Acct Summary 7-8'!C13</f>
        <v>14301662</v>
      </c>
      <c r="C2557" s="2" t="s">
        <v>569</v>
      </c>
      <c r="D2557" s="2" t="str">
        <f t="shared" si="38"/>
        <v>Error?</v>
      </c>
    </row>
    <row r="2558" spans="1:4" x14ac:dyDescent="0.2">
      <c r="A2558" s="5">
        <v>2497</v>
      </c>
      <c r="B2558" s="1821">
        <f>'Acct Summary 7-8'!C14</f>
        <v>54117</v>
      </c>
      <c r="C2558" s="2" t="s">
        <v>569</v>
      </c>
      <c r="D2558" s="2" t="str">
        <f t="shared" si="38"/>
        <v>Error?</v>
      </c>
    </row>
    <row r="2559" spans="1:4" x14ac:dyDescent="0.2">
      <c r="A2559" s="5">
        <v>2498</v>
      </c>
      <c r="B2559" s="1821">
        <f>'Acct Summary 7-8'!C15</f>
        <v>1366693</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52363885</v>
      </c>
      <c r="C2561" s="2" t="s">
        <v>569</v>
      </c>
      <c r="D2561" s="2" t="str">
        <f t="shared" si="39"/>
        <v>Error?</v>
      </c>
    </row>
    <row r="2562" spans="1:4" x14ac:dyDescent="0.2">
      <c r="A2562" s="5">
        <v>2501</v>
      </c>
      <c r="B2562" s="1821">
        <f>'Acct Summary 7-8'!C20</f>
        <v>882018</v>
      </c>
      <c r="C2562" s="2" t="s">
        <v>569</v>
      </c>
      <c r="D2562" s="2" t="str">
        <f t="shared" si="39"/>
        <v>Error?</v>
      </c>
    </row>
    <row r="2563" spans="1:4" x14ac:dyDescent="0.2">
      <c r="A2563" s="5">
        <v>2502</v>
      </c>
      <c r="B2563" s="1821">
        <f>'Acct Summary 7-8'!C80</f>
        <v>190746</v>
      </c>
      <c r="D2563" s="2" t="str">
        <f t="shared" si="39"/>
        <v>Error?</v>
      </c>
    </row>
    <row r="2564" spans="1:4" x14ac:dyDescent="0.2">
      <c r="A2564" s="5">
        <v>2503</v>
      </c>
      <c r="B2564" s="1821">
        <f>'Acct Summary 7-8'!D4</f>
        <v>5524594</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5524594</v>
      </c>
      <c r="C2568" s="2" t="s">
        <v>569</v>
      </c>
      <c r="D2568" s="2" t="str">
        <f t="shared" si="39"/>
        <v>Error?</v>
      </c>
    </row>
    <row r="2569" spans="1:4" x14ac:dyDescent="0.2">
      <c r="A2569" s="5">
        <v>2508</v>
      </c>
      <c r="B2569" s="1821">
        <f>'Acct Summary 7-8'!D13</f>
        <v>2456597</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2456597</v>
      </c>
      <c r="C2573" s="2" t="s">
        <v>569</v>
      </c>
      <c r="D2573" s="2" t="str">
        <f t="shared" si="39"/>
        <v>Error?</v>
      </c>
    </row>
    <row r="2574" spans="1:4" x14ac:dyDescent="0.2">
      <c r="A2574" s="5">
        <v>2513</v>
      </c>
      <c r="B2574" s="1821">
        <f>'Acct Summary 7-8'!D20</f>
        <v>3067997</v>
      </c>
      <c r="C2574" s="2" t="s">
        <v>569</v>
      </c>
      <c r="D2574" s="2" t="str">
        <f t="shared" si="39"/>
        <v>Error?</v>
      </c>
    </row>
    <row r="2575" spans="1:4" x14ac:dyDescent="0.2">
      <c r="A2575" s="5">
        <v>2514</v>
      </c>
      <c r="B2575" s="1821">
        <f>'Acct Summary 7-8'!D80</f>
        <v>29296</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3278048</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1564333</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4842381</v>
      </c>
      <c r="C2595" s="2" t="s">
        <v>569</v>
      </c>
      <c r="D2595" s="2" t="str">
        <f t="shared" si="39"/>
        <v>Error?</v>
      </c>
    </row>
    <row r="2596" spans="1:4" x14ac:dyDescent="0.2">
      <c r="A2596" s="5">
        <v>2535</v>
      </c>
      <c r="B2596" s="1821">
        <f>'Acct Summary 7-8'!F13</f>
        <v>4220426</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4220426</v>
      </c>
      <c r="C2600" s="2" t="s">
        <v>569</v>
      </c>
      <c r="D2600" s="2" t="str">
        <f t="shared" si="39"/>
        <v>Error?</v>
      </c>
    </row>
    <row r="2601" spans="1:4" x14ac:dyDescent="0.2">
      <c r="A2601" s="5">
        <v>2540</v>
      </c>
      <c r="B2601" s="1821">
        <f>'Acct Summary 7-8'!F20</f>
        <v>621955</v>
      </c>
      <c r="C2601" s="2" t="s">
        <v>569</v>
      </c>
      <c r="D2601" s="2" t="str">
        <f t="shared" si="39"/>
        <v>Error?</v>
      </c>
    </row>
    <row r="2602" spans="1:4" x14ac:dyDescent="0.2">
      <c r="A2602" s="5">
        <v>2541</v>
      </c>
      <c r="B2602" s="1821">
        <f>'Acct Summary 7-8'!F80</f>
        <v>11246</v>
      </c>
      <c r="D2602" s="2" t="str">
        <f t="shared" si="39"/>
        <v>Error?</v>
      </c>
    </row>
    <row r="2603" spans="1:4" x14ac:dyDescent="0.2">
      <c r="A2603" s="5">
        <v>2542</v>
      </c>
      <c r="B2603" s="1821">
        <f>'Acct Summary 7-8'!G4</f>
        <v>1845494</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1845494</v>
      </c>
      <c r="C2606" s="2" t="s">
        <v>569</v>
      </c>
      <c r="D2606" s="2" t="str">
        <f t="shared" si="39"/>
        <v>Error?</v>
      </c>
    </row>
    <row r="2607" spans="1:4" x14ac:dyDescent="0.2">
      <c r="A2607" s="5">
        <v>2546</v>
      </c>
      <c r="B2607" s="1821">
        <f>'Acct Summary 7-8'!G12</f>
        <v>784051</v>
      </c>
      <c r="C2607" s="2" t="s">
        <v>569</v>
      </c>
      <c r="D2607" s="2" t="str">
        <f t="shared" si="39"/>
        <v>Error?</v>
      </c>
    </row>
    <row r="2608" spans="1:4" x14ac:dyDescent="0.2">
      <c r="A2608" s="5">
        <v>2547</v>
      </c>
      <c r="B2608" s="1821">
        <f>'Acct Summary 7-8'!G13</f>
        <v>1341037</v>
      </c>
      <c r="C2608" s="2" t="s">
        <v>569</v>
      </c>
      <c r="D2608" s="2" t="str">
        <f t="shared" si="39"/>
        <v>Error?</v>
      </c>
    </row>
    <row r="2609" spans="1:4" x14ac:dyDescent="0.2">
      <c r="A2609" s="5">
        <v>2548</v>
      </c>
      <c r="B2609" s="1821">
        <f>'Acct Summary 7-8'!G14</f>
        <v>373</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2125461</v>
      </c>
      <c r="C2612" s="2" t="s">
        <v>569</v>
      </c>
      <c r="D2612" s="2" t="str">
        <f t="shared" si="39"/>
        <v>Error?</v>
      </c>
    </row>
    <row r="2613" spans="1:4" x14ac:dyDescent="0.2">
      <c r="A2613" s="5">
        <v>2552</v>
      </c>
      <c r="B2613" s="1821">
        <f>'Acct Summary 7-8'!G20</f>
        <v>-279967</v>
      </c>
      <c r="C2613" s="2" t="s">
        <v>569</v>
      </c>
      <c r="D2613" s="2" t="str">
        <f t="shared" si="39"/>
        <v>Error?</v>
      </c>
    </row>
    <row r="2614" spans="1:4" x14ac:dyDescent="0.2">
      <c r="A2614" s="5">
        <v>2553</v>
      </c>
      <c r="B2614" s="1821">
        <f>'Acct Summary 7-8'!G80</f>
        <v>8980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2850577</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2850577</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5618406</v>
      </c>
      <c r="C2634" s="2" t="s">
        <v>569</v>
      </c>
      <c r="D2634" s="2" t="str">
        <f t="shared" si="40"/>
        <v>Error?</v>
      </c>
    </row>
    <row r="2635" spans="1:4" x14ac:dyDescent="0.2">
      <c r="A2635" s="5">
        <v>2574</v>
      </c>
      <c r="B2635" s="1821">
        <f>'Acct Summary 7-8'!E17</f>
        <v>5618406</v>
      </c>
      <c r="C2635" s="2" t="s">
        <v>569</v>
      </c>
      <c r="D2635" s="2" t="str">
        <f t="shared" si="40"/>
        <v>Error?</v>
      </c>
    </row>
    <row r="2636" spans="1:4" x14ac:dyDescent="0.2">
      <c r="A2636" s="5">
        <v>2575</v>
      </c>
      <c r="B2636" s="1821">
        <f>'Acct Summary 7-8'!E20</f>
        <v>-2767829</v>
      </c>
      <c r="C2636" s="2" t="s">
        <v>569</v>
      </c>
      <c r="D2636" s="2" t="str">
        <f t="shared" si="40"/>
        <v>Error?</v>
      </c>
    </row>
    <row r="2637" spans="1:4" x14ac:dyDescent="0.2">
      <c r="A2637" s="5">
        <v>2576</v>
      </c>
      <c r="B2637" s="1821">
        <f>'Acct Summary 7-8'!E80</f>
        <v>-245966</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240647</v>
      </c>
      <c r="C2655" s="2" t="s">
        <v>569</v>
      </c>
      <c r="D2655" s="2" t="str">
        <f t="shared" si="40"/>
        <v>Error?</v>
      </c>
    </row>
    <row r="2656" spans="1:4" x14ac:dyDescent="0.2">
      <c r="A2656" s="5">
        <v>2595</v>
      </c>
      <c r="B2656" s="1821">
        <f>'Acct Summary 7-8'!H6</f>
        <v>1250000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1490647</v>
      </c>
      <c r="C2658" s="2" t="s">
        <v>569</v>
      </c>
      <c r="D2658" s="2" t="str">
        <f t="shared" si="40"/>
        <v>Error?</v>
      </c>
    </row>
    <row r="2659" spans="1:4" x14ac:dyDescent="0.2">
      <c r="A2659" s="5">
        <v>2598</v>
      </c>
      <c r="B2659" s="1821">
        <f>'Acct Summary 7-8'!H13</f>
        <v>5123768</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5123768</v>
      </c>
      <c r="C2661" s="2" t="s">
        <v>569</v>
      </c>
      <c r="D2661" s="2" t="str">
        <f t="shared" si="40"/>
        <v>Error?</v>
      </c>
    </row>
    <row r="2662" spans="1:4" x14ac:dyDescent="0.2">
      <c r="A2662" s="5">
        <v>2601</v>
      </c>
      <c r="B2662" s="1821">
        <f>'Acct Summary 7-8'!H20</f>
        <v>-3633121</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0</v>
      </c>
      <c r="C2724" s="2" t="s">
        <v>569</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419259</v>
      </c>
      <c r="C2789" s="2" t="s">
        <v>569</v>
      </c>
      <c r="D2789" s="2" t="str">
        <f t="shared" si="42"/>
        <v>Error?</v>
      </c>
    </row>
    <row r="2790" spans="1:4" x14ac:dyDescent="0.2">
      <c r="A2790" s="5">
        <v>2729</v>
      </c>
      <c r="B2790" s="1821">
        <f>'Expenditures 15-22'!E102</f>
        <v>419259</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0</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2690574</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4595679</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53368</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4595679</v>
      </c>
      <c r="D2912" s="2" t="str">
        <f t="shared" si="44"/>
        <v>Error?</v>
      </c>
    </row>
    <row r="2913" spans="1:4" x14ac:dyDescent="0.2">
      <c r="A2913" s="5">
        <v>2852</v>
      </c>
      <c r="B2913" s="1821">
        <f>'Assets-Liab 5-6'!I41</f>
        <v>4595679</v>
      </c>
      <c r="C2913" s="2" t="s">
        <v>569</v>
      </c>
      <c r="D2913" s="2" t="str">
        <f t="shared" si="44"/>
        <v>Error?</v>
      </c>
    </row>
    <row r="2914" spans="1:4" x14ac:dyDescent="0.2">
      <c r="A2914" s="5">
        <v>2853</v>
      </c>
      <c r="B2914" s="1821">
        <f>'Assets-Liab 5-6'!L33</f>
        <v>53368</v>
      </c>
      <c r="D2914" s="2" t="str">
        <f t="shared" si="44"/>
        <v>Error?</v>
      </c>
    </row>
    <row r="2915" spans="1:4" x14ac:dyDescent="0.2">
      <c r="A2915" s="10">
        <v>2854</v>
      </c>
      <c r="B2915" s="1821"/>
      <c r="D2915" s="2" t="str">
        <f t="shared" si="44"/>
        <v>OK</v>
      </c>
    </row>
    <row r="2916" spans="1:4" x14ac:dyDescent="0.2">
      <c r="A2916" s="5">
        <v>2855</v>
      </c>
      <c r="B2916" s="1821">
        <f>'Assets-Liab 5-6'!L34</f>
        <v>53368</v>
      </c>
      <c r="C2916" s="2" t="s">
        <v>569</v>
      </c>
      <c r="D2916" s="2" t="str">
        <f t="shared" si="44"/>
        <v>Error?</v>
      </c>
    </row>
    <row r="2917" spans="1:4" x14ac:dyDescent="0.2">
      <c r="A2917" s="5">
        <v>2856</v>
      </c>
      <c r="B2917" s="1821">
        <f>'Assets-Liab 5-6'!L41</f>
        <v>53368</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419259</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419259</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399923</v>
      </c>
      <c r="D3055" s="2" t="str">
        <f t="shared" si="46"/>
        <v>Error?</v>
      </c>
    </row>
    <row r="3056" spans="1:4" x14ac:dyDescent="0.2">
      <c r="A3056" s="5">
        <v>2995</v>
      </c>
      <c r="B3056" s="1821">
        <f>'Expenditures 15-22'!D10</f>
        <v>36093</v>
      </c>
      <c r="D3056" s="2" t="str">
        <f t="shared" si="46"/>
        <v>Error?</v>
      </c>
    </row>
    <row r="3057" spans="1:4" x14ac:dyDescent="0.2">
      <c r="A3057" s="5">
        <v>2996</v>
      </c>
      <c r="B3057" s="1821">
        <f>'Expenditures 15-22'!E10</f>
        <v>27147</v>
      </c>
      <c r="D3057" s="2" t="str">
        <f t="shared" si="46"/>
        <v>Error?</v>
      </c>
    </row>
    <row r="3058" spans="1:4" x14ac:dyDescent="0.2">
      <c r="A3058" s="5">
        <v>2997</v>
      </c>
      <c r="B3058" s="1821">
        <f>'Expenditures 15-22'!F10</f>
        <v>155582</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618745</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5761</v>
      </c>
      <c r="D3064" s="2" t="str">
        <f t="shared" si="46"/>
        <v>Error?</v>
      </c>
    </row>
    <row r="3065" spans="1:4" x14ac:dyDescent="0.2">
      <c r="A3065" s="5">
        <v>3004</v>
      </c>
      <c r="B3065" s="1821">
        <f>'Expenditures 15-22'!K219</f>
        <v>5761</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560817</v>
      </c>
      <c r="C3225" s="2" t="s">
        <v>569</v>
      </c>
      <c r="D3225" s="2" t="str">
        <f t="shared" si="49"/>
        <v>Error?</v>
      </c>
    </row>
    <row r="3226" spans="1:4" x14ac:dyDescent="0.2">
      <c r="A3226" s="5">
        <v>3165</v>
      </c>
      <c r="B3226" s="1821">
        <f>'Acct Summary 7-8'!I8</f>
        <v>560817</v>
      </c>
      <c r="C3226" s="2" t="s">
        <v>569</v>
      </c>
      <c r="D3226" s="2" t="str">
        <f t="shared" si="49"/>
        <v>Error?</v>
      </c>
    </row>
    <row r="3227" spans="1:4" x14ac:dyDescent="0.2">
      <c r="A3227" s="5">
        <v>3166</v>
      </c>
      <c r="B3227" s="1821">
        <f>'Acct Summary 7-8'!I20</f>
        <v>560817</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1000000</v>
      </c>
      <c r="C3231" s="2" t="s">
        <v>569</v>
      </c>
      <c r="D3231" s="2" t="str">
        <f t="shared" si="49"/>
        <v>Error?</v>
      </c>
    </row>
    <row r="3232" spans="1:4" x14ac:dyDescent="0.2">
      <c r="A3232" s="5">
        <v>3171</v>
      </c>
      <c r="B3232" s="1821">
        <f>'Acct Summary 7-8'!C77</f>
        <v>-1000000</v>
      </c>
      <c r="C3232" s="2" t="s">
        <v>569</v>
      </c>
      <c r="D3232" s="2" t="str">
        <f t="shared" si="49"/>
        <v>Error?</v>
      </c>
    </row>
    <row r="3233" spans="1:4" x14ac:dyDescent="0.2">
      <c r="A3233" s="5">
        <v>3172</v>
      </c>
      <c r="B3233" s="1821">
        <f>'Acct Summary 7-8'!C78</f>
        <v>-117982</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2000000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4000000</v>
      </c>
      <c r="C3237" s="2" t="s">
        <v>569</v>
      </c>
      <c r="D3237" s="2" t="str">
        <f t="shared" si="49"/>
        <v>Error?</v>
      </c>
    </row>
    <row r="3238" spans="1:4" x14ac:dyDescent="0.2">
      <c r="A3238" s="5">
        <v>3177</v>
      </c>
      <c r="B3238" s="1821">
        <f>'Acct Summary 7-8'!D77</f>
        <v>-2000000</v>
      </c>
      <c r="C3238" s="2" t="s">
        <v>569</v>
      </c>
      <c r="D3238" s="2" t="str">
        <f t="shared" si="49"/>
        <v>Error?</v>
      </c>
    </row>
    <row r="3239" spans="1:4" x14ac:dyDescent="0.2">
      <c r="A3239" s="5">
        <v>3178</v>
      </c>
      <c r="B3239" s="1821">
        <f>'Acct Summary 7-8'!D78</f>
        <v>1067997</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1000000</v>
      </c>
      <c r="C3254" s="2" t="s">
        <v>569</v>
      </c>
      <c r="D3254" s="2" t="str">
        <f t="shared" si="49"/>
        <v>Error?</v>
      </c>
    </row>
    <row r="3255" spans="1:4" x14ac:dyDescent="0.2">
      <c r="A3255" s="5">
        <v>3194</v>
      </c>
      <c r="B3255" s="1821">
        <f>'Acct Summary 7-8'!F77</f>
        <v>-1000000</v>
      </c>
      <c r="C3255" s="2" t="s">
        <v>569</v>
      </c>
      <c r="D3255" s="2" t="str">
        <f t="shared" si="49"/>
        <v>Error?</v>
      </c>
    </row>
    <row r="3256" spans="1:4" x14ac:dyDescent="0.2">
      <c r="A3256" s="5">
        <v>3195</v>
      </c>
      <c r="B3256" s="1821">
        <f>'Acct Summary 7-8'!F78</f>
        <v>-378045</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-279967</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0</v>
      </c>
      <c r="C3277" s="2" t="s">
        <v>569</v>
      </c>
      <c r="D3277" s="2" t="str">
        <f t="shared" si="50"/>
        <v>Error?</v>
      </c>
    </row>
    <row r="3278" spans="1:4" x14ac:dyDescent="0.2">
      <c r="A3278" s="5">
        <v>3217</v>
      </c>
      <c r="B3278" s="1821">
        <f>'Acct Summary 7-8'!E78</f>
        <v>-2767829</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4000000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4000000</v>
      </c>
      <c r="C3299" s="2" t="s">
        <v>569</v>
      </c>
      <c r="D3299" s="2" t="str">
        <f t="shared" si="50"/>
        <v>Error?</v>
      </c>
    </row>
    <row r="3300" spans="1:4" x14ac:dyDescent="0.2">
      <c r="A3300" s="5">
        <v>3239</v>
      </c>
      <c r="B3300" s="1821">
        <f>'Acct Summary 7-8'!H78</f>
        <v>366879</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560817</v>
      </c>
      <c r="C3320" s="2" t="s">
        <v>569</v>
      </c>
      <c r="D3320" s="2" t="str">
        <f t="shared" si="50"/>
        <v>Error?</v>
      </c>
    </row>
    <row r="3321" spans="1:4" x14ac:dyDescent="0.2">
      <c r="A3321" s="5">
        <v>3260</v>
      </c>
      <c r="B3321" s="1821">
        <f>'Acct Summary 7-8'!I79</f>
        <v>4032366</v>
      </c>
      <c r="D3321" s="2" t="str">
        <f t="shared" si="50"/>
        <v>Error?</v>
      </c>
    </row>
    <row r="3322" spans="1:4" x14ac:dyDescent="0.2">
      <c r="A3322" s="5">
        <v>3261</v>
      </c>
      <c r="B3322" s="1821">
        <f>'Acct Summary 7-8'!I80</f>
        <v>2496</v>
      </c>
      <c r="D3322" s="2" t="str">
        <f t="shared" si="50"/>
        <v>Error?</v>
      </c>
    </row>
    <row r="3323" spans="1:4" x14ac:dyDescent="0.2">
      <c r="A3323" s="5">
        <v>3262</v>
      </c>
      <c r="B3323" s="1821">
        <f>'Acct Summary 7-8'!I81</f>
        <v>4595679</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6960204</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1080018</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373045</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129180</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40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8560353</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215036</v>
      </c>
      <c r="D3387" s="2" t="str">
        <f t="shared" si="51"/>
        <v>Error?</v>
      </c>
    </row>
    <row r="3388" spans="1:4" x14ac:dyDescent="0.2">
      <c r="A3388" s="5">
        <v>3327</v>
      </c>
      <c r="B3388" s="1821">
        <f>'Expenditures 15-22'!D217</f>
        <v>367986</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215036</v>
      </c>
      <c r="C3390" s="2" t="s">
        <v>569</v>
      </c>
      <c r="D3390" s="2" t="str">
        <f t="shared" si="51"/>
        <v>Error?</v>
      </c>
    </row>
    <row r="3391" spans="1:4" x14ac:dyDescent="0.2">
      <c r="A3391" s="5">
        <v>3330</v>
      </c>
      <c r="B3391" s="1821">
        <f>'Expenditures 15-22'!K217</f>
        <v>367986</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31740948</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6739955</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264010</v>
      </c>
      <c r="D3417" s="2" t="str">
        <f t="shared" si="52"/>
        <v>Error?</v>
      </c>
    </row>
    <row r="3418" spans="1:4" x14ac:dyDescent="0.2">
      <c r="A3418" s="10">
        <v>3357</v>
      </c>
      <c r="B3418" s="1821"/>
      <c r="D3418" s="2" t="str">
        <f t="shared" si="52"/>
        <v>OK</v>
      </c>
    </row>
    <row r="3419" spans="1:4" x14ac:dyDescent="0.2">
      <c r="A3419" s="5">
        <v>3358</v>
      </c>
      <c r="B3419" s="1821">
        <f>'Assets-Liab 5-6'!F4</f>
        <v>5602507</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1071328</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889178</v>
      </c>
      <c r="D3425" s="2" t="str">
        <f t="shared" si="52"/>
        <v>Error?</v>
      </c>
    </row>
    <row r="3426" spans="1:4" x14ac:dyDescent="0.2">
      <c r="A3426" s="10">
        <v>3365</v>
      </c>
      <c r="B3426" s="1821"/>
      <c r="D3426" s="2" t="str">
        <f t="shared" si="52"/>
        <v>OK</v>
      </c>
    </row>
    <row r="3427" spans="1:4" x14ac:dyDescent="0.2">
      <c r="A3427" s="5">
        <v>3366</v>
      </c>
      <c r="B3427" s="1821">
        <f>'Assets-Liab 5-6'!I4</f>
        <v>1905105</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53368</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790586</v>
      </c>
      <c r="C3446" s="2" t="s">
        <v>569</v>
      </c>
      <c r="D3446" s="2" t="str">
        <f t="shared" si="52"/>
        <v>Error?</v>
      </c>
    </row>
    <row r="3447" spans="1:4" x14ac:dyDescent="0.2">
      <c r="A3447" s="5">
        <v>3386</v>
      </c>
      <c r="B3447" s="1821">
        <f>'Tax Sched 23'!D16</f>
        <v>398098</v>
      </c>
      <c r="C3447" s="2" t="s">
        <v>569</v>
      </c>
      <c r="D3447" s="2" t="str">
        <f t="shared" si="52"/>
        <v>Error?</v>
      </c>
    </row>
    <row r="3448" spans="1:4" x14ac:dyDescent="0.2">
      <c r="A3448" s="5">
        <v>3387</v>
      </c>
      <c r="B3448" s="1821">
        <f>'Tax Sched 23'!C16</f>
        <v>392488</v>
      </c>
      <c r="D3448" s="2" t="str">
        <f t="shared" si="52"/>
        <v>Error?</v>
      </c>
    </row>
    <row r="3449" spans="1:4" x14ac:dyDescent="0.2">
      <c r="A3449" s="5">
        <v>3388</v>
      </c>
      <c r="B3449" s="1821">
        <f>'Tax Sched 23'!F16</f>
        <v>447578</v>
      </c>
      <c r="C3449" s="2" t="s">
        <v>569</v>
      </c>
      <c r="D3449" s="2" t="str">
        <f t="shared" si="52"/>
        <v>Error?</v>
      </c>
    </row>
    <row r="3450" spans="1:4" x14ac:dyDescent="0.2">
      <c r="A3450" s="5">
        <v>3389</v>
      </c>
      <c r="B3450" s="1821">
        <f>'Tax Sched 23'!E16</f>
        <v>840066</v>
      </c>
      <c r="D3450" s="2" t="str">
        <f t="shared" si="52"/>
        <v>Error?</v>
      </c>
    </row>
    <row r="3451" spans="1:4" x14ac:dyDescent="0.2">
      <c r="A3451" s="5">
        <v>3390</v>
      </c>
      <c r="B3451" s="1821">
        <f>'Cap Outlay Deprec 26'!C15</f>
        <v>0</v>
      </c>
      <c r="D3451" s="2" t="str">
        <f t="shared" si="52"/>
        <v>Error?</v>
      </c>
    </row>
    <row r="3452" spans="1:4" x14ac:dyDescent="0.2">
      <c r="A3452" s="5">
        <v>3391</v>
      </c>
      <c r="B3452" s="1821">
        <f>'Cap Outlay Deprec 26'!D15</f>
        <v>0</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0</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0</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125509</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125509</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125509</v>
      </c>
      <c r="D3567" s="2" t="str">
        <f t="shared" si="54"/>
        <v>Error?</v>
      </c>
    </row>
    <row r="3568" spans="1:4" x14ac:dyDescent="0.2">
      <c r="A3568" s="5">
        <v>3507</v>
      </c>
      <c r="B3568" s="1821">
        <f>'Assets-Liab 5-6'!K41</f>
        <v>125509</v>
      </c>
      <c r="C3568" s="2" t="s">
        <v>569</v>
      </c>
      <c r="D3568" s="2" t="str">
        <f t="shared" si="54"/>
        <v>Error?</v>
      </c>
    </row>
    <row r="3569" spans="1:4" x14ac:dyDescent="0.2">
      <c r="A3569" s="5">
        <v>3508</v>
      </c>
      <c r="B3569" s="1821">
        <f>'Acct Summary 7-8'!K4</f>
        <v>13330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13330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13330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13330</v>
      </c>
      <c r="C3588" s="2" t="s">
        <v>569</v>
      </c>
      <c r="D3588" s="2" t="str">
        <f t="shared" si="55"/>
        <v>Error?</v>
      </c>
    </row>
    <row r="3589" spans="1:4" x14ac:dyDescent="0.2">
      <c r="A3589" s="5">
        <v>3528</v>
      </c>
      <c r="B3589" s="1821">
        <f>'Acct Summary 7-8'!K79</f>
        <v>111987</v>
      </c>
      <c r="D3589" s="2" t="str">
        <f t="shared" si="55"/>
        <v>Error?</v>
      </c>
    </row>
    <row r="3590" spans="1:4" x14ac:dyDescent="0.2">
      <c r="A3590" s="5">
        <v>3529</v>
      </c>
      <c r="B3590" s="1821">
        <f>'Acct Summary 7-8'!K80</f>
        <v>192</v>
      </c>
      <c r="D3590" s="2" t="str">
        <f t="shared" si="55"/>
        <v>Error?</v>
      </c>
    </row>
    <row r="3591" spans="1:4" x14ac:dyDescent="0.2">
      <c r="A3591" s="5">
        <v>3530</v>
      </c>
      <c r="B3591" s="1821">
        <f>'Acct Summary 7-8'!K81</f>
        <v>125509</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13330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611860</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1619</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1619</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25408335</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78654238</v>
      </c>
      <c r="C4122" s="2" t="s">
        <v>569</v>
      </c>
      <c r="D4122" s="2" t="str">
        <f t="shared" si="63"/>
        <v>Error?</v>
      </c>
    </row>
    <row r="4123" spans="1:4" x14ac:dyDescent="0.2">
      <c r="A4123" s="5">
        <v>4062</v>
      </c>
      <c r="B4123" s="1821">
        <f>'Acct Summary 7-8'!D10</f>
        <v>5524594</v>
      </c>
      <c r="C4123" s="2" t="s">
        <v>569</v>
      </c>
      <c r="D4123" s="2" t="str">
        <f t="shared" si="63"/>
        <v>Error?</v>
      </c>
    </row>
    <row r="4124" spans="1:4" x14ac:dyDescent="0.2">
      <c r="A4124" s="5">
        <v>4063</v>
      </c>
      <c r="B4124" s="1821">
        <f>'Acct Summary 7-8'!E10</f>
        <v>2850577</v>
      </c>
      <c r="C4124" s="2" t="s">
        <v>569</v>
      </c>
      <c r="D4124" s="2" t="str">
        <f t="shared" si="63"/>
        <v>Error?</v>
      </c>
    </row>
    <row r="4125" spans="1:4" x14ac:dyDescent="0.2">
      <c r="A4125" s="5">
        <v>4064</v>
      </c>
      <c r="B4125" s="1821">
        <f>'Acct Summary 7-8'!F10</f>
        <v>4842381</v>
      </c>
      <c r="C4125" s="2" t="s">
        <v>569</v>
      </c>
      <c r="D4125" s="2" t="str">
        <f t="shared" si="63"/>
        <v>Error?</v>
      </c>
    </row>
    <row r="4126" spans="1:4" x14ac:dyDescent="0.2">
      <c r="A4126" s="5">
        <v>4065</v>
      </c>
      <c r="B4126" s="1821">
        <f>'Acct Summary 7-8'!G10</f>
        <v>1845494</v>
      </c>
      <c r="C4126" s="2" t="s">
        <v>569</v>
      </c>
      <c r="D4126" s="2" t="str">
        <f t="shared" si="63"/>
        <v>Error?</v>
      </c>
    </row>
    <row r="4127" spans="1:4" x14ac:dyDescent="0.2">
      <c r="A4127" s="5">
        <v>4066</v>
      </c>
      <c r="B4127" s="1821">
        <f>'Acct Summary 7-8'!H10</f>
        <v>1490647</v>
      </c>
      <c r="C4127" s="2" t="s">
        <v>569</v>
      </c>
      <c r="D4127" s="2" t="str">
        <f t="shared" si="63"/>
        <v>Error?</v>
      </c>
    </row>
    <row r="4128" spans="1:4" x14ac:dyDescent="0.2">
      <c r="A4128" s="5">
        <v>4067</v>
      </c>
      <c r="B4128" s="1821">
        <f>'Acct Summary 7-8'!I10</f>
        <v>560817</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13330</v>
      </c>
      <c r="C4130" s="2" t="s">
        <v>569</v>
      </c>
      <c r="D4130" s="2" t="str">
        <f t="shared" si="63"/>
        <v>Error?</v>
      </c>
    </row>
    <row r="4131" spans="1:4" x14ac:dyDescent="0.2">
      <c r="A4131" s="5">
        <v>4070</v>
      </c>
      <c r="B4131" s="1821">
        <f>'Acct Summary 7-8'!C18</f>
        <v>25408335</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77772220</v>
      </c>
      <c r="C4136" s="2" t="s">
        <v>569</v>
      </c>
      <c r="D4136" s="2" t="str">
        <f t="shared" si="63"/>
        <v>Error?</v>
      </c>
    </row>
    <row r="4137" spans="1:4" x14ac:dyDescent="0.2">
      <c r="A4137" s="5">
        <v>4076</v>
      </c>
      <c r="B4137" s="1821">
        <f>'Acct Summary 7-8'!D19</f>
        <v>2456597</v>
      </c>
      <c r="C4137" s="2" t="s">
        <v>569</v>
      </c>
      <c r="D4137" s="2" t="str">
        <f t="shared" si="63"/>
        <v>Error?</v>
      </c>
    </row>
    <row r="4138" spans="1:4" x14ac:dyDescent="0.2">
      <c r="A4138" s="5">
        <v>4077</v>
      </c>
      <c r="B4138" s="1821">
        <f>'Acct Summary 7-8'!E19</f>
        <v>5618406</v>
      </c>
      <c r="C4138" s="2" t="s">
        <v>569</v>
      </c>
      <c r="D4138" s="2" t="str">
        <f t="shared" si="63"/>
        <v>Error?</v>
      </c>
    </row>
    <row r="4139" spans="1:4" x14ac:dyDescent="0.2">
      <c r="A4139" s="5">
        <v>4078</v>
      </c>
      <c r="B4139" s="1821">
        <f>'Acct Summary 7-8'!F19</f>
        <v>4220426</v>
      </c>
      <c r="C4139" s="2" t="s">
        <v>569</v>
      </c>
      <c r="D4139" s="2" t="str">
        <f t="shared" si="63"/>
        <v>Error?</v>
      </c>
    </row>
    <row r="4140" spans="1:4" x14ac:dyDescent="0.2">
      <c r="A4140" s="5">
        <v>4079</v>
      </c>
      <c r="B4140" s="1821">
        <f>'Acct Summary 7-8'!G19</f>
        <v>2125461</v>
      </c>
      <c r="C4140" s="2" t="s">
        <v>569</v>
      </c>
      <c r="D4140" s="2" t="str">
        <f t="shared" si="63"/>
        <v>Error?</v>
      </c>
    </row>
    <row r="4141" spans="1:4" x14ac:dyDescent="0.2">
      <c r="A4141" s="5">
        <v>4080</v>
      </c>
      <c r="B4141" s="1821">
        <f>'Acct Summary 7-8'!H19</f>
        <v>5123768</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0</v>
      </c>
      <c r="C4171" s="2" t="s">
        <v>569</v>
      </c>
      <c r="D4171" s="2" t="str">
        <f t="shared" si="64"/>
        <v>Error?</v>
      </c>
    </row>
    <row r="4172" spans="1:4" x14ac:dyDescent="0.2">
      <c r="A4172" s="5">
        <v>4111</v>
      </c>
      <c r="B4172" s="1821">
        <f>'Short-Term Long-Term Debt 24'!J49</f>
        <v>0</v>
      </c>
      <c r="C4172" s="2" t="s">
        <v>569</v>
      </c>
      <c r="D4172" s="2" t="str">
        <f t="shared" si="64"/>
        <v>Error?</v>
      </c>
    </row>
    <row r="4173" spans="1:4" x14ac:dyDescent="0.2">
      <c r="A4173" s="5">
        <v>4112</v>
      </c>
      <c r="B4173" s="1821">
        <f>'Short-Term Long-Term Debt 24'!H49</f>
        <v>5515000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3573.9</v>
      </c>
      <c r="C4265" s="2" t="s">
        <v>569</v>
      </c>
      <c r="D4265" s="2" t="str">
        <f t="shared" si="65"/>
        <v>Error?</v>
      </c>
      <c r="E4265" s="125"/>
    </row>
    <row r="4266" spans="1:5" x14ac:dyDescent="0.2">
      <c r="A4266" s="12">
        <v>4205</v>
      </c>
      <c r="B4266" s="1821">
        <f>('FP Info 3'!F10)*100000</f>
        <v>495.09999999999997</v>
      </c>
      <c r="C4266" s="2" t="s">
        <v>569</v>
      </c>
      <c r="D4266" s="2" t="str">
        <f t="shared" si="65"/>
        <v>Error?</v>
      </c>
      <c r="E4266" s="125"/>
    </row>
    <row r="4267" spans="1:5" x14ac:dyDescent="0.2">
      <c r="A4267" s="12">
        <v>4206</v>
      </c>
      <c r="B4267" s="1821">
        <f>('FP Info 3'!H10)*100000</f>
        <v>190.5</v>
      </c>
      <c r="C4267" s="2" t="s">
        <v>569</v>
      </c>
      <c r="D4267" s="2" t="str">
        <f t="shared" si="65"/>
        <v>Error?</v>
      </c>
      <c r="E4267" s="125"/>
    </row>
    <row r="4268" spans="1:5" x14ac:dyDescent="0.2">
      <c r="A4268" s="12">
        <v>4207</v>
      </c>
      <c r="B4268" s="1821">
        <f>('FP Info 3'!J10)*100000</f>
        <v>4260</v>
      </c>
      <c r="C4268" s="2" t="s">
        <v>569</v>
      </c>
      <c r="D4268" s="2" t="str">
        <f t="shared" si="65"/>
        <v>Error?</v>
      </c>
    </row>
    <row r="4269" spans="1:5" x14ac:dyDescent="0.2">
      <c r="A4269" s="12">
        <v>4208</v>
      </c>
      <c r="B4269" s="1821">
        <f>'FP Info 3'!J16</f>
        <v>58819611</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824</v>
      </c>
    </row>
    <row r="4273" spans="1:5" x14ac:dyDescent="0.2">
      <c r="A4273" s="10">
        <v>4212</v>
      </c>
      <c r="B4273" s="1821"/>
      <c r="D4273" s="2" t="str">
        <f t="shared" si="65"/>
        <v>OK</v>
      </c>
      <c r="E4273" s="2" t="s">
        <v>915</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4050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126746</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382403</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56846</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117911</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44.8</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3458</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1102371365</v>
      </c>
      <c r="D4995" s="2" t="str">
        <f t="shared" si="77"/>
        <v>Error?</v>
      </c>
    </row>
    <row r="4996" spans="1:4" x14ac:dyDescent="0.2">
      <c r="A4996" s="12">
        <v>4935</v>
      </c>
      <c r="B4996" s="1821">
        <f>'FP Info 3'!H31</f>
        <v>76063624.185000002</v>
      </c>
      <c r="D4996" s="2" t="str">
        <f t="shared" si="77"/>
        <v>Error?</v>
      </c>
    </row>
    <row r="4997" spans="1:4" x14ac:dyDescent="0.2">
      <c r="A4997" s="12">
        <v>4936</v>
      </c>
      <c r="B4997" s="1821">
        <f>'FP Info 3'!H37</f>
        <v>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2000000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1000000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1000000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1150104</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37085030</v>
      </c>
      <c r="D5061" s="2" t="str">
        <f t="shared" si="78"/>
        <v>Error?</v>
      </c>
    </row>
    <row r="5062" spans="1:4" x14ac:dyDescent="0.2">
      <c r="A5062" s="10">
        <v>5001</v>
      </c>
      <c r="B5062" s="1821"/>
      <c r="D5062" s="2" t="str">
        <f t="shared" si="78"/>
        <v>OK</v>
      </c>
    </row>
    <row r="5063" spans="1:4" x14ac:dyDescent="0.2">
      <c r="A5063" s="5">
        <v>5002</v>
      </c>
      <c r="B5063" s="1821">
        <f>'Revenues 9-14'!C7</f>
        <v>1976230</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39061260</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127791</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127791</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114540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114540</v>
      </c>
      <c r="C5087" s="2" t="s">
        <v>569</v>
      </c>
      <c r="D5087" s="2" t="str">
        <f t="shared" si="78"/>
        <v>Error?</v>
      </c>
    </row>
    <row r="5088" spans="1:4" x14ac:dyDescent="0.2">
      <c r="A5088" s="5">
        <v>5027</v>
      </c>
      <c r="B5088" s="1821">
        <f>'Revenues 9-14'!C65</f>
        <v>726809</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726809</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542077</v>
      </c>
      <c r="C5096" s="2" t="s">
        <v>569</v>
      </c>
      <c r="D5096" s="2" t="str">
        <f t="shared" si="78"/>
        <v>Error?</v>
      </c>
    </row>
    <row r="5097" spans="1:4" x14ac:dyDescent="0.2">
      <c r="A5097" s="5">
        <v>5036</v>
      </c>
      <c r="B5097" s="1821">
        <f>'Revenues 9-14'!C77</f>
        <v>33928</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2048</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0</v>
      </c>
      <c r="D5101" s="2" t="str">
        <f t="shared" si="78"/>
        <v>Error?</v>
      </c>
    </row>
    <row r="5102" spans="1:4" x14ac:dyDescent="0.2">
      <c r="A5102" s="5">
        <v>5041</v>
      </c>
      <c r="B5102" s="1821">
        <f>'Revenues 9-14'!C82</f>
        <v>35976</v>
      </c>
      <c r="C5102" s="2" t="s">
        <v>569</v>
      </c>
      <c r="D5102" s="2" t="str">
        <f t="shared" si="78"/>
        <v>Error?</v>
      </c>
    </row>
    <row r="5103" spans="1:4" x14ac:dyDescent="0.2">
      <c r="A5103" s="5">
        <v>5042</v>
      </c>
      <c r="B5103" s="1821">
        <f>'Revenues 9-14'!C84</f>
        <v>201953</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201953</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50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9471</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35957</v>
      </c>
      <c r="D5119" s="2" t="str">
        <f t="shared" ref="D5119:D5182" si="79">IF(ISBLANK(B5119),"OK",IF(A5119-B5119=0,"OK","Error?"))</f>
        <v>Error?</v>
      </c>
    </row>
    <row r="5120" spans="1:4" x14ac:dyDescent="0.2">
      <c r="A5120" s="5">
        <v>5059</v>
      </c>
      <c r="B5120" s="1821">
        <f>'Revenues 9-14'!C108</f>
        <v>45478</v>
      </c>
      <c r="C5120" s="2" t="s">
        <v>569</v>
      </c>
      <c r="D5120" s="2" t="str">
        <f t="shared" si="79"/>
        <v>Error?</v>
      </c>
    </row>
    <row r="5121" spans="1:4" x14ac:dyDescent="0.2">
      <c r="A5121" s="5">
        <v>5060</v>
      </c>
      <c r="B5121" s="1821">
        <f>'Revenues 9-14'!C109</f>
        <v>40855884</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8503027</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8503027</v>
      </c>
      <c r="C5132" s="2" t="s">
        <v>569</v>
      </c>
      <c r="D5132" s="2" t="str">
        <f t="shared" si="79"/>
        <v>Error?</v>
      </c>
    </row>
    <row r="5133" spans="1:4" x14ac:dyDescent="0.2">
      <c r="A5133" s="5">
        <v>5072</v>
      </c>
      <c r="B5133" s="1821">
        <f>'Revenues 9-14'!C125</f>
        <v>203627</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71468</v>
      </c>
      <c r="D5137" s="2" t="str">
        <f t="shared" si="79"/>
        <v>Error?</v>
      </c>
    </row>
    <row r="5138" spans="1:4" x14ac:dyDescent="0.2">
      <c r="A5138" s="10">
        <v>5077</v>
      </c>
      <c r="B5138" s="1821"/>
      <c r="D5138" s="2" t="str">
        <f t="shared" si="79"/>
        <v>OK</v>
      </c>
    </row>
    <row r="5139" spans="1:4" x14ac:dyDescent="0.2">
      <c r="A5139" s="5">
        <v>5078</v>
      </c>
      <c r="B5139" s="1821">
        <f>'Revenues 9-14'!C129</f>
        <v>1666</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276761</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9251</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289470</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8792497</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580794</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83859</v>
      </c>
      <c r="D5241" s="2" t="str">
        <f t="shared" si="80"/>
        <v>Error?</v>
      </c>
    </row>
    <row r="5242" spans="1:4" x14ac:dyDescent="0.2">
      <c r="A5242" s="5">
        <v>5181</v>
      </c>
      <c r="B5242" s="1821">
        <f>'Revenues 9-14'!C194</f>
        <v>157150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821803</v>
      </c>
      <c r="C5246" s="2" t="s">
        <v>569</v>
      </c>
      <c r="D5246" s="2" t="str">
        <f t="shared" si="80"/>
        <v>Error?</v>
      </c>
    </row>
    <row r="5247" spans="1:4" x14ac:dyDescent="0.2">
      <c r="A5247" s="5">
        <v>5186</v>
      </c>
      <c r="B5247" s="1821">
        <f>'Revenues 9-14'!C200</f>
        <v>752948</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756998</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46481</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1032706</v>
      </c>
      <c r="D5278" s="2" t="str">
        <f t="shared" si="81"/>
        <v>Error?</v>
      </c>
    </row>
    <row r="5279" spans="1:4" x14ac:dyDescent="0.2">
      <c r="A5279" s="5">
        <v>5218</v>
      </c>
      <c r="B5279" s="1821">
        <f>'Revenues 9-14'!C214</f>
        <v>255628</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1334815</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3597522</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3597522</v>
      </c>
      <c r="C5326" s="2" t="s">
        <v>569</v>
      </c>
      <c r="D5326" s="2" t="str">
        <f t="shared" si="82"/>
        <v>Error?</v>
      </c>
    </row>
    <row r="5327" spans="1:5" x14ac:dyDescent="0.2">
      <c r="A5327" s="5">
        <v>5266</v>
      </c>
      <c r="B5327" s="1821">
        <f>'Revenues 9-14'!C268</f>
        <v>53245903</v>
      </c>
      <c r="C5327" s="2" t="s">
        <v>569</v>
      </c>
      <c r="D5327" s="2" t="str">
        <f t="shared" si="82"/>
        <v>Error?</v>
      </c>
    </row>
    <row r="5328" spans="1:5" x14ac:dyDescent="0.2">
      <c r="A5328" s="5">
        <v>5267</v>
      </c>
      <c r="B5328" s="1821">
        <f>'Revenues 9-14'!D5</f>
        <v>5137353</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5137353</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80880</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80880</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16768</v>
      </c>
      <c r="D5349" s="2" t="str">
        <f t="shared" si="82"/>
        <v>Error?</v>
      </c>
    </row>
    <row r="5350" spans="1:4" x14ac:dyDescent="0.2">
      <c r="A5350" s="5">
        <v>5289</v>
      </c>
      <c r="B5350" s="1821">
        <f>'Revenues 9-14'!D96</f>
        <v>140443</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259</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148891</v>
      </c>
      <c r="D5354" s="2" t="str">
        <f t="shared" si="82"/>
        <v>Error?</v>
      </c>
    </row>
    <row r="5355" spans="1:4" x14ac:dyDescent="0.2">
      <c r="A5355" s="5">
        <v>5294</v>
      </c>
      <c r="B5355" s="1821">
        <f>'Revenues 9-14'!D108</f>
        <v>306361</v>
      </c>
      <c r="C5355" s="2" t="s">
        <v>569</v>
      </c>
      <c r="D5355" s="2" t="str">
        <f t="shared" si="82"/>
        <v>Error?</v>
      </c>
    </row>
    <row r="5356" spans="1:4" x14ac:dyDescent="0.2">
      <c r="A5356" s="5">
        <v>5295</v>
      </c>
      <c r="B5356" s="1821">
        <f>'Revenues 9-14'!D109</f>
        <v>5524594</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5524594</v>
      </c>
      <c r="C5508" s="2" t="s">
        <v>569</v>
      </c>
      <c r="D5508" s="2" t="str">
        <f t="shared" si="85"/>
        <v>Error?</v>
      </c>
    </row>
    <row r="5509" spans="1:4" x14ac:dyDescent="0.2">
      <c r="A5509" s="5">
        <v>5448</v>
      </c>
      <c r="B5509" s="1821">
        <f>'Revenues 9-14'!E5</f>
        <v>2779960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2779960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70617</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70617</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2850577</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2850577</v>
      </c>
      <c r="C5552" s="2" t="s">
        <v>569</v>
      </c>
      <c r="D5552" s="2" t="str">
        <f t="shared" si="85"/>
        <v>Error?</v>
      </c>
    </row>
    <row r="5553" spans="1:4" x14ac:dyDescent="0.2">
      <c r="A5553" s="5">
        <v>5492</v>
      </c>
      <c r="B5553" s="1821">
        <f>'Revenues 9-14'!F5</f>
        <v>1976230</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1976230</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26866</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26866</v>
      </c>
      <c r="C5579" s="2" t="s">
        <v>569</v>
      </c>
      <c r="D5579" s="2" t="str">
        <f t="shared" si="86"/>
        <v>Error?</v>
      </c>
    </row>
    <row r="5580" spans="1:4" x14ac:dyDescent="0.2">
      <c r="A5580" s="5">
        <v>5519</v>
      </c>
      <c r="B5580" s="1821">
        <f>'Revenues 9-14'!F65</f>
        <v>89022</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89022</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17154</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1185930</v>
      </c>
      <c r="C5587" s="2" t="s">
        <v>569</v>
      </c>
      <c r="D5587" s="2" t="str">
        <f t="shared" si="86"/>
        <v>Error?</v>
      </c>
    </row>
    <row r="5588" spans="1:4" x14ac:dyDescent="0.2">
      <c r="A5588" s="5">
        <v>5527</v>
      </c>
      <c r="B5588" s="1821">
        <f>'Revenues 9-14'!F109</f>
        <v>3278048</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958881</v>
      </c>
      <c r="D5615" s="2" t="str">
        <f t="shared" si="86"/>
        <v>Error?</v>
      </c>
    </row>
    <row r="5616" spans="1:4" x14ac:dyDescent="0.2">
      <c r="A5616" s="10">
        <v>5555</v>
      </c>
      <c r="B5616" s="1821"/>
      <c r="D5616" s="2" t="str">
        <f t="shared" si="86"/>
        <v>OK</v>
      </c>
    </row>
    <row r="5617" spans="1:5" x14ac:dyDescent="0.2">
      <c r="A5617" s="5">
        <v>5556</v>
      </c>
      <c r="B5617" s="1821">
        <f>'Revenues 9-14'!F153</f>
        <v>605452</v>
      </c>
      <c r="D5617" s="2" t="str">
        <f t="shared" si="86"/>
        <v>Error?</v>
      </c>
    </row>
    <row r="5618" spans="1:5" x14ac:dyDescent="0.2">
      <c r="A5618" s="5">
        <v>5557</v>
      </c>
      <c r="B5618" s="1821">
        <f>'Revenues 9-14'!F155</f>
        <v>1564333</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1564333</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1564333</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4842381</v>
      </c>
      <c r="C5720" s="2" t="s">
        <v>569</v>
      </c>
      <c r="D5720" s="2" t="str">
        <f t="shared" si="88"/>
        <v>Error?</v>
      </c>
    </row>
    <row r="5721" spans="1:4" x14ac:dyDescent="0.2">
      <c r="A5721" s="5">
        <v>5660</v>
      </c>
      <c r="B5721" s="1821">
        <f>'Revenues 9-14'!G5</f>
        <v>790586</v>
      </c>
      <c r="D5721" s="2" t="str">
        <f t="shared" si="88"/>
        <v>Error?</v>
      </c>
    </row>
    <row r="5722" spans="1:4" x14ac:dyDescent="0.2">
      <c r="A5722" s="5">
        <v>5661</v>
      </c>
      <c r="B5722" s="1821">
        <f>'Revenues 9-14'!G7</f>
        <v>0</v>
      </c>
      <c r="D5722" s="2" t="str">
        <f t="shared" si="88"/>
        <v>Error?</v>
      </c>
    </row>
    <row r="5723" spans="1:4" x14ac:dyDescent="0.2">
      <c r="A5723" s="5">
        <v>5662</v>
      </c>
      <c r="B5723" s="1821">
        <f>'Revenues 9-14'!G8</f>
        <v>790586</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1581172</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127791</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127791</v>
      </c>
      <c r="C5730" s="2" t="s">
        <v>569</v>
      </c>
      <c r="D5730" s="2" t="str">
        <f t="shared" si="88"/>
        <v>Error?</v>
      </c>
    </row>
    <row r="5731" spans="1:4" x14ac:dyDescent="0.2">
      <c r="A5731" s="5">
        <v>5670</v>
      </c>
      <c r="B5731" s="1821">
        <f>'Revenues 9-14'!G65</f>
        <v>18651</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18651</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117880</v>
      </c>
      <c r="D5736" s="2" t="str">
        <f t="shared" si="88"/>
        <v>Error?</v>
      </c>
    </row>
    <row r="5737" spans="1:4" x14ac:dyDescent="0.2">
      <c r="A5737" s="5">
        <v>5676</v>
      </c>
      <c r="B5737" s="1821">
        <f>'Revenues 9-14'!G108</f>
        <v>117880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1845494</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8004</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8004</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232643</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1200000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50000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1250000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1490647</v>
      </c>
      <c r="C5915" s="2" t="s">
        <v>569</v>
      </c>
      <c r="D5915" s="2" t="str">
        <f t="shared" si="91"/>
        <v>Error?</v>
      </c>
    </row>
    <row r="5916" spans="1:4" x14ac:dyDescent="0.2">
      <c r="A5916" s="5">
        <v>5855</v>
      </c>
      <c r="B5916" s="1821">
        <f>'Revenues 9-14'!I5</f>
        <v>464593</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464593</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96224</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96224</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560817</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11784</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11784</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1546</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1546</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13330</v>
      </c>
      <c r="C6023" s="2" t="s">
        <v>569</v>
      </c>
      <c r="D6023" s="2" t="str">
        <f t="shared" si="93"/>
        <v>Error?</v>
      </c>
    </row>
    <row r="6024" spans="1:5" x14ac:dyDescent="0.2">
      <c r="A6024" s="5">
        <v>5963</v>
      </c>
      <c r="B6024" s="1821">
        <f>'Revenues 9-14'!G109</f>
        <v>1845494</v>
      </c>
      <c r="C6024" s="2" t="s">
        <v>569</v>
      </c>
      <c r="D6024" s="2" t="str">
        <f t="shared" si="93"/>
        <v>Error?</v>
      </c>
    </row>
    <row r="6025" spans="1:5" x14ac:dyDescent="0.2">
      <c r="A6025" s="5">
        <v>5964</v>
      </c>
      <c r="B6025" s="1821">
        <f>'Revenues 9-14'!H109</f>
        <v>240647</v>
      </c>
      <c r="C6025" s="2" t="s">
        <v>569</v>
      </c>
      <c r="D6025" s="2" t="str">
        <f t="shared" si="93"/>
        <v>Error?</v>
      </c>
    </row>
    <row r="6026" spans="1:5" x14ac:dyDescent="0.2">
      <c r="A6026" s="5">
        <v>5965</v>
      </c>
      <c r="B6026" s="1821">
        <f>'Revenues 9-14'!I109</f>
        <v>560817</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13330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542077</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748</v>
      </c>
    </row>
    <row r="6035" spans="1:5" x14ac:dyDescent="0.2">
      <c r="A6035" s="13">
        <v>5974</v>
      </c>
      <c r="B6035" s="1822">
        <f>'ICR Computation 30'!E11</f>
        <v>136844</v>
      </c>
      <c r="C6035" s="2" t="s">
        <v>569</v>
      </c>
      <c r="D6035" s="2" t="str">
        <f t="shared" si="93"/>
        <v>Error?</v>
      </c>
      <c r="E6035" s="2" t="s">
        <v>914</v>
      </c>
    </row>
    <row r="6036" spans="1:5" x14ac:dyDescent="0.2">
      <c r="A6036" s="35">
        <v>5975</v>
      </c>
      <c r="B6036" s="1822"/>
      <c r="D6036" s="2" t="str">
        <f t="shared" si="93"/>
        <v>OK</v>
      </c>
      <c r="E6036" s="2" t="s">
        <v>914</v>
      </c>
    </row>
    <row r="6037" spans="1:5" x14ac:dyDescent="0.2">
      <c r="A6037" s="35">
        <v>5976</v>
      </c>
      <c r="B6037" s="1822"/>
      <c r="D6037" s="2" t="str">
        <f t="shared" si="93"/>
        <v>OK</v>
      </c>
      <c r="E6037" s="2" t="s">
        <v>914</v>
      </c>
    </row>
    <row r="6038" spans="1:5" x14ac:dyDescent="0.2">
      <c r="A6038" s="35">
        <v>5977</v>
      </c>
      <c r="B6038" s="1822"/>
      <c r="D6038" s="2" t="str">
        <f t="shared" si="93"/>
        <v>OK</v>
      </c>
      <c r="E6038" s="2" t="s">
        <v>914</v>
      </c>
    </row>
    <row r="6039" spans="1:5" x14ac:dyDescent="0.2">
      <c r="A6039" s="35">
        <v>5978</v>
      </c>
      <c r="B6039" s="1822"/>
      <c r="D6039" s="2" t="str">
        <f t="shared" si="93"/>
        <v>OK</v>
      </c>
      <c r="E6039" s="2" t="s">
        <v>914</v>
      </c>
    </row>
    <row r="6040" spans="1:5" x14ac:dyDescent="0.2">
      <c r="A6040" s="35">
        <v>5979</v>
      </c>
      <c r="B6040" s="1822"/>
      <c r="D6040" s="2" t="str">
        <f t="shared" si="93"/>
        <v>OK</v>
      </c>
      <c r="E6040" s="2" t="s">
        <v>914</v>
      </c>
    </row>
    <row r="6041" spans="1:5" x14ac:dyDescent="0.2">
      <c r="A6041" s="35">
        <v>5980</v>
      </c>
      <c r="B6041" s="1822"/>
      <c r="D6041" s="2" t="str">
        <f t="shared" si="93"/>
        <v>OK</v>
      </c>
      <c r="E6041" s="2" t="s">
        <v>914</v>
      </c>
    </row>
    <row r="6042" spans="1:5" x14ac:dyDescent="0.2">
      <c r="A6042" s="35">
        <v>5981</v>
      </c>
      <c r="B6042" s="1822"/>
      <c r="D6042" s="2" t="str">
        <f t="shared" si="93"/>
        <v>OK</v>
      </c>
      <c r="E6042" s="2" t="s">
        <v>914</v>
      </c>
    </row>
    <row r="6043" spans="1:5" x14ac:dyDescent="0.2">
      <c r="A6043" s="35">
        <v>5982</v>
      </c>
      <c r="B6043" s="1822"/>
      <c r="D6043" s="2" t="str">
        <f t="shared" si="93"/>
        <v>OK</v>
      </c>
      <c r="E6043" s="2" t="s">
        <v>914</v>
      </c>
    </row>
    <row r="6044" spans="1:5" x14ac:dyDescent="0.2">
      <c r="A6044" s="35">
        <v>5983</v>
      </c>
      <c r="B6044" s="1822"/>
      <c r="D6044" s="2" t="str">
        <f t="shared" si="93"/>
        <v>OK</v>
      </c>
      <c r="E6044" s="2" t="s">
        <v>914</v>
      </c>
    </row>
    <row r="6045" spans="1:5" x14ac:dyDescent="0.2">
      <c r="A6045" s="35">
        <v>5984</v>
      </c>
      <c r="B6045" s="1822"/>
      <c r="D6045" s="2" t="str">
        <f t="shared" si="93"/>
        <v>OK</v>
      </c>
      <c r="E6045" s="2" t="s">
        <v>914</v>
      </c>
    </row>
    <row r="6046" spans="1:5" x14ac:dyDescent="0.2">
      <c r="A6046" s="35">
        <v>5985</v>
      </c>
      <c r="B6046" s="1822"/>
      <c r="D6046" s="2" t="str">
        <f t="shared" si="93"/>
        <v>OK</v>
      </c>
      <c r="E6046" s="2" t="s">
        <v>914</v>
      </c>
    </row>
    <row r="6047" spans="1:5" x14ac:dyDescent="0.2">
      <c r="A6047" s="35">
        <v>5986</v>
      </c>
      <c r="B6047" s="1822"/>
      <c r="D6047" s="2" t="str">
        <f t="shared" si="93"/>
        <v>OK</v>
      </c>
      <c r="E6047" s="2" t="s">
        <v>914</v>
      </c>
    </row>
    <row r="6048" spans="1:5" x14ac:dyDescent="0.2">
      <c r="A6048" s="35">
        <v>5987</v>
      </c>
      <c r="B6048" s="1822"/>
      <c r="D6048" s="2" t="str">
        <f t="shared" si="93"/>
        <v>OK</v>
      </c>
      <c r="E6048" s="2" t="s">
        <v>914</v>
      </c>
    </row>
    <row r="6049" spans="1:5" x14ac:dyDescent="0.2">
      <c r="A6049" s="35">
        <v>5988</v>
      </c>
      <c r="B6049" s="1822"/>
      <c r="D6049" s="2" t="str">
        <f t="shared" si="93"/>
        <v>OK</v>
      </c>
      <c r="E6049" s="2" t="s">
        <v>914</v>
      </c>
    </row>
    <row r="6050" spans="1:5" x14ac:dyDescent="0.2">
      <c r="A6050" s="35">
        <v>5989</v>
      </c>
      <c r="B6050" s="1822"/>
      <c r="D6050" s="2" t="str">
        <f t="shared" si="93"/>
        <v>OK</v>
      </c>
      <c r="E6050" s="2" t="s">
        <v>914</v>
      </c>
    </row>
    <row r="6051" spans="1:5" x14ac:dyDescent="0.2">
      <c r="A6051" s="35">
        <v>5990</v>
      </c>
      <c r="B6051" s="1822"/>
      <c r="D6051" s="2" t="str">
        <f t="shared" si="93"/>
        <v>OK</v>
      </c>
      <c r="E6051" s="2" t="s">
        <v>914</v>
      </c>
    </row>
    <row r="6052" spans="1:5" x14ac:dyDescent="0.2">
      <c r="A6052" s="35">
        <v>5991</v>
      </c>
      <c r="B6052" s="1822"/>
      <c r="D6052" s="2" t="str">
        <f t="shared" si="93"/>
        <v>OK</v>
      </c>
      <c r="E6052" s="2" t="s">
        <v>914</v>
      </c>
    </row>
    <row r="6053" spans="1:5" x14ac:dyDescent="0.2">
      <c r="A6053" s="35">
        <v>5992</v>
      </c>
      <c r="B6053" s="1822"/>
      <c r="D6053" s="2" t="str">
        <f t="shared" si="93"/>
        <v>OK</v>
      </c>
      <c r="E6053" s="2" t="s">
        <v>914</v>
      </c>
    </row>
    <row r="6054" spans="1:5" x14ac:dyDescent="0.2">
      <c r="A6054" s="35">
        <v>5993</v>
      </c>
      <c r="B6054" s="1822"/>
      <c r="C6054" s="2" t="s">
        <v>569</v>
      </c>
      <c r="D6054" s="2" t="str">
        <f t="shared" si="93"/>
        <v>OK</v>
      </c>
      <c r="E6054" s="2" t="s">
        <v>914</v>
      </c>
    </row>
    <row r="6055" spans="1:5" x14ac:dyDescent="0.2">
      <c r="A6055" s="35">
        <v>5994</v>
      </c>
      <c r="B6055" s="1822"/>
      <c r="D6055" s="2" t="str">
        <f t="shared" si="93"/>
        <v>OK</v>
      </c>
      <c r="E6055" s="2" t="s">
        <v>914</v>
      </c>
    </row>
    <row r="6056" spans="1:5" x14ac:dyDescent="0.2">
      <c r="A6056" s="35">
        <v>5995</v>
      </c>
      <c r="B6056" s="1822"/>
      <c r="D6056" s="2" t="str">
        <f t="shared" si="93"/>
        <v>OK</v>
      </c>
      <c r="E6056" s="2" t="s">
        <v>914</v>
      </c>
    </row>
    <row r="6057" spans="1:5" x14ac:dyDescent="0.2">
      <c r="A6057" s="35">
        <v>5996</v>
      </c>
      <c r="B6057" s="1822"/>
      <c r="D6057" s="2" t="str">
        <f t="shared" si="93"/>
        <v>OK</v>
      </c>
      <c r="E6057" s="2" t="s">
        <v>914</v>
      </c>
    </row>
    <row r="6058" spans="1:5" x14ac:dyDescent="0.2">
      <c r="A6058" s="35">
        <v>5997</v>
      </c>
      <c r="B6058" s="1822"/>
      <c r="D6058" s="2" t="str">
        <f t="shared" si="93"/>
        <v>OK</v>
      </c>
      <c r="E6058" s="2" t="s">
        <v>914</v>
      </c>
    </row>
    <row r="6059" spans="1:5" x14ac:dyDescent="0.2">
      <c r="A6059" s="35">
        <v>5998</v>
      </c>
      <c r="B6059" s="1822"/>
      <c r="D6059" s="2" t="str">
        <f t="shared" si="93"/>
        <v>OK</v>
      </c>
      <c r="E6059" s="2" t="s">
        <v>914</v>
      </c>
    </row>
    <row r="6060" spans="1:5" x14ac:dyDescent="0.2">
      <c r="A6060" s="35">
        <v>5999</v>
      </c>
      <c r="B6060" s="1822"/>
      <c r="D6060" s="2" t="str">
        <f t="shared" si="93"/>
        <v>OK</v>
      </c>
      <c r="E6060" s="2" t="s">
        <v>914</v>
      </c>
    </row>
    <row r="6061" spans="1:5" x14ac:dyDescent="0.2">
      <c r="A6061" s="35">
        <v>6000</v>
      </c>
      <c r="B6061" s="1822"/>
      <c r="D6061" s="2" t="str">
        <f t="shared" si="93"/>
        <v>OK</v>
      </c>
      <c r="E6061" s="2" t="s">
        <v>914</v>
      </c>
    </row>
    <row r="6062" spans="1:5" x14ac:dyDescent="0.2">
      <c r="A6062" s="35">
        <v>6001</v>
      </c>
      <c r="B6062" s="1822"/>
      <c r="D6062" s="2" t="str">
        <f t="shared" si="93"/>
        <v>OK</v>
      </c>
      <c r="E6062" s="2" t="s">
        <v>914</v>
      </c>
    </row>
    <row r="6063" spans="1:5" x14ac:dyDescent="0.2">
      <c r="A6063" s="35">
        <v>6002</v>
      </c>
      <c r="B6063" s="1822"/>
      <c r="D6063" s="2" t="str">
        <f t="shared" si="93"/>
        <v>OK</v>
      </c>
      <c r="E6063" s="2" t="s">
        <v>914</v>
      </c>
    </row>
    <row r="6064" spans="1:5" x14ac:dyDescent="0.2">
      <c r="A6064" s="35">
        <v>6003</v>
      </c>
      <c r="B6064" s="1822"/>
      <c r="D6064" s="2" t="str">
        <f t="shared" si="93"/>
        <v>OK</v>
      </c>
      <c r="E6064" s="2" t="s">
        <v>914</v>
      </c>
    </row>
    <row r="6065" spans="1:5" x14ac:dyDescent="0.2">
      <c r="A6065" s="35">
        <v>6004</v>
      </c>
      <c r="B6065" s="1822"/>
      <c r="D6065" s="2" t="str">
        <f t="shared" si="93"/>
        <v>OK</v>
      </c>
      <c r="E6065" s="2" t="s">
        <v>914</v>
      </c>
    </row>
    <row r="6066" spans="1:5" x14ac:dyDescent="0.2">
      <c r="A6066" s="35">
        <v>6005</v>
      </c>
      <c r="B6066" s="1822"/>
      <c r="D6066" s="2" t="str">
        <f t="shared" si="93"/>
        <v>OK</v>
      </c>
      <c r="E6066" s="2" t="s">
        <v>914</v>
      </c>
    </row>
    <row r="6067" spans="1:5" x14ac:dyDescent="0.2">
      <c r="A6067" s="124">
        <v>6006</v>
      </c>
      <c r="B6067" s="1822"/>
      <c r="D6067" s="2" t="str">
        <f t="shared" si="93"/>
        <v>OK</v>
      </c>
      <c r="E6067" s="2" t="s">
        <v>914</v>
      </c>
    </row>
    <row r="6068" spans="1:5" x14ac:dyDescent="0.2">
      <c r="A6068" s="124">
        <v>6007</v>
      </c>
      <c r="B6068" s="1822"/>
      <c r="D6068" s="2" t="str">
        <f t="shared" si="93"/>
        <v>OK</v>
      </c>
      <c r="E6068" s="2" t="s">
        <v>914</v>
      </c>
    </row>
    <row r="6069" spans="1:5" x14ac:dyDescent="0.2">
      <c r="A6069" s="124">
        <v>6008</v>
      </c>
      <c r="B6069" s="1822"/>
      <c r="D6069" s="2" t="str">
        <f t="shared" si="93"/>
        <v>OK</v>
      </c>
      <c r="E6069" s="2" t="s">
        <v>914</v>
      </c>
    </row>
    <row r="6070" spans="1:5" x14ac:dyDescent="0.2">
      <c r="A6070" s="124">
        <v>6009</v>
      </c>
      <c r="B6070" s="1822"/>
      <c r="D6070" s="2" t="str">
        <f t="shared" si="93"/>
        <v>OK</v>
      </c>
      <c r="E6070" s="2" t="s">
        <v>914</v>
      </c>
    </row>
    <row r="6071" spans="1:5" x14ac:dyDescent="0.2">
      <c r="A6071" s="124">
        <v>6010</v>
      </c>
      <c r="B6071" s="1822"/>
      <c r="D6071" s="2" t="str">
        <f t="shared" si="93"/>
        <v>OK</v>
      </c>
      <c r="E6071" s="2" t="s">
        <v>914</v>
      </c>
    </row>
    <row r="6072" spans="1:5" x14ac:dyDescent="0.2">
      <c r="A6072" s="124">
        <v>6011</v>
      </c>
      <c r="B6072" s="1822"/>
      <c r="D6072" s="2" t="str">
        <f t="shared" si="93"/>
        <v>OK</v>
      </c>
      <c r="E6072" s="2" t="s">
        <v>914</v>
      </c>
    </row>
    <row r="6073" spans="1:5" x14ac:dyDescent="0.2">
      <c r="A6073" s="124">
        <v>6012</v>
      </c>
      <c r="B6073" s="1822"/>
      <c r="C6073" s="2" t="s">
        <v>569</v>
      </c>
      <c r="D6073" s="2" t="str">
        <f t="shared" si="93"/>
        <v>OK</v>
      </c>
      <c r="E6073" s="2" t="s">
        <v>914</v>
      </c>
    </row>
    <row r="6074" spans="1:5" x14ac:dyDescent="0.2">
      <c r="A6074" s="8">
        <v>6013</v>
      </c>
      <c r="B6074" s="1822">
        <f>'PCTC-OEPP 27-28'!F79</f>
        <v>4325.8999999999996</v>
      </c>
      <c r="D6074" s="2" t="str">
        <f t="shared" si="93"/>
        <v>Error?</v>
      </c>
      <c r="E6074" s="2" t="s">
        <v>924</v>
      </c>
    </row>
    <row r="6075" spans="1:5" x14ac:dyDescent="0.2">
      <c r="A6075" s="124">
        <v>6014</v>
      </c>
      <c r="B6075" s="1822"/>
      <c r="D6075" s="2" t="str">
        <f t="shared" si="93"/>
        <v>OK</v>
      </c>
      <c r="E6075" s="2" t="s">
        <v>924</v>
      </c>
    </row>
    <row r="6076" spans="1:5" x14ac:dyDescent="0.2">
      <c r="A6076">
        <v>6015</v>
      </c>
      <c r="B6076" s="1821">
        <f>'Short-Term Long-Term Debt 24'!C27</f>
        <v>0</v>
      </c>
      <c r="D6076" s="2" t="str">
        <f t="shared" si="93"/>
        <v>Error?</v>
      </c>
      <c r="E6076" s="2" t="s">
        <v>924</v>
      </c>
    </row>
    <row r="6077" spans="1:5" x14ac:dyDescent="0.2">
      <c r="A6077">
        <v>6016</v>
      </c>
      <c r="B6077" s="1821">
        <f>'Short-Term Long-Term Debt 24'!D27</f>
        <v>0</v>
      </c>
      <c r="D6077" s="2" t="str">
        <f t="shared" si="93"/>
        <v>Error?</v>
      </c>
      <c r="E6077" s="2" t="s">
        <v>924</v>
      </c>
    </row>
    <row r="6078" spans="1:5" x14ac:dyDescent="0.2">
      <c r="A6078">
        <v>6017</v>
      </c>
      <c r="B6078" s="1821">
        <f>'Short-Term Long-Term Debt 24'!E27</f>
        <v>0</v>
      </c>
      <c r="D6078" s="2" t="str">
        <f t="shared" si="93"/>
        <v>Error?</v>
      </c>
      <c r="E6078" s="2" t="s">
        <v>924</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526541</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526541</v>
      </c>
      <c r="D6215" s="2" t="str">
        <f t="shared" si="96"/>
        <v>Error?</v>
      </c>
      <c r="E6215" s="2" t="s">
        <v>189</v>
      </c>
    </row>
    <row r="6216" spans="1:5" x14ac:dyDescent="0.2">
      <c r="A6216">
        <v>6155</v>
      </c>
      <c r="B6216" s="1821">
        <f>'Assets-Liab 5-6'!J41</f>
        <v>526541</v>
      </c>
      <c r="D6216" s="2" t="str">
        <f t="shared" si="96"/>
        <v>Error?</v>
      </c>
      <c r="E6216" s="2" t="s">
        <v>189</v>
      </c>
    </row>
    <row r="6217" spans="1:5" x14ac:dyDescent="0.2">
      <c r="A6217">
        <v>6156</v>
      </c>
      <c r="B6217" s="1821">
        <f>'Assets-Liab 5-6'!J4</f>
        <v>526541</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507287</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507287</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507287</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851768</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851768</v>
      </c>
      <c r="D6229" s="2" t="str">
        <f t="shared" si="96"/>
        <v>Error?</v>
      </c>
      <c r="E6229" s="2" t="s">
        <v>189</v>
      </c>
    </row>
    <row r="6230" spans="1:5" x14ac:dyDescent="0.2">
      <c r="A6230">
        <v>6169</v>
      </c>
      <c r="B6230" s="1821">
        <f>'Acct Summary 7-8'!J20</f>
        <v>-344481</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-344481</v>
      </c>
      <c r="D6263" s="2" t="str">
        <f t="shared" si="96"/>
        <v>Error?</v>
      </c>
      <c r="E6263" s="2" t="s">
        <v>189</v>
      </c>
    </row>
    <row r="6264" spans="1:5" x14ac:dyDescent="0.2">
      <c r="A6264">
        <v>6203</v>
      </c>
      <c r="B6264" s="1821">
        <f>'Acct Summary 7-8'!J79</f>
        <v>868012</v>
      </c>
      <c r="D6264" s="2" t="str">
        <f t="shared" si="96"/>
        <v>Error?</v>
      </c>
      <c r="E6264" s="2" t="s">
        <v>189</v>
      </c>
    </row>
    <row r="6265" spans="1:5" x14ac:dyDescent="0.2">
      <c r="A6265">
        <v>6204</v>
      </c>
      <c r="B6265" s="1821">
        <f>'Acct Summary 7-8'!J80</f>
        <v>3010</v>
      </c>
      <c r="D6265" s="2" t="str">
        <f t="shared" si="96"/>
        <v>Error?</v>
      </c>
      <c r="E6265" s="2" t="s">
        <v>189</v>
      </c>
    </row>
    <row r="6266" spans="1:5" x14ac:dyDescent="0.2">
      <c r="A6266">
        <v>6205</v>
      </c>
      <c r="B6266" s="1821">
        <f>'Acct Summary 7-8'!J81</f>
        <v>526541</v>
      </c>
      <c r="D6266" s="2" t="str">
        <f t="shared" si="96"/>
        <v>Error?</v>
      </c>
      <c r="E6266" s="2" t="s">
        <v>189</v>
      </c>
    </row>
    <row r="6267" spans="1:5" x14ac:dyDescent="0.2">
      <c r="A6267">
        <v>6206</v>
      </c>
      <c r="B6267" s="1821">
        <f>'Acct Summary 7-8'!C82</f>
        <v>72764</v>
      </c>
      <c r="D6267" s="2" t="str">
        <f t="shared" si="96"/>
        <v>Error?</v>
      </c>
      <c r="E6267" s="2" t="s">
        <v>189</v>
      </c>
    </row>
    <row r="6268" spans="1:5" x14ac:dyDescent="0.2">
      <c r="A6268">
        <v>6207</v>
      </c>
      <c r="B6268" s="1821">
        <f>'Acct Summary 7-8'!D82</f>
        <v>1097293</v>
      </c>
      <c r="D6268" s="2" t="str">
        <f t="shared" si="96"/>
        <v>Error?</v>
      </c>
      <c r="E6268" s="2" t="s">
        <v>189</v>
      </c>
    </row>
    <row r="6269" spans="1:5" x14ac:dyDescent="0.2">
      <c r="A6269">
        <v>6208</v>
      </c>
      <c r="B6269" s="1821">
        <f>'Acct Summary 7-8'!E82</f>
        <v>-3013795</v>
      </c>
      <c r="D6269" s="2" t="str">
        <f t="shared" si="96"/>
        <v>Error?</v>
      </c>
      <c r="E6269" s="2" t="s">
        <v>189</v>
      </c>
    </row>
    <row r="6270" spans="1:5" x14ac:dyDescent="0.2">
      <c r="A6270">
        <v>6209</v>
      </c>
      <c r="B6270" s="1821">
        <f>'Acct Summary 7-8'!F82</f>
        <v>-366799</v>
      </c>
      <c r="D6270" s="2" t="str">
        <f t="shared" si="96"/>
        <v>Error?</v>
      </c>
      <c r="E6270" s="2" t="s">
        <v>189</v>
      </c>
    </row>
    <row r="6271" spans="1:5" x14ac:dyDescent="0.2">
      <c r="A6271">
        <v>6210</v>
      </c>
      <c r="B6271" s="1821">
        <f>'Acct Summary 7-8'!G82</f>
        <v>-270987</v>
      </c>
      <c r="D6271" s="2" t="str">
        <f t="shared" ref="D6271:D6334" si="97">IF(ISBLANK(B6271),"OK",IF(A6271-B6271=0,"OK","Error?"))</f>
        <v>Error?</v>
      </c>
      <c r="E6271" s="2" t="s">
        <v>189</v>
      </c>
    </row>
    <row r="6272" spans="1:5" x14ac:dyDescent="0.2">
      <c r="A6272">
        <v>6211</v>
      </c>
      <c r="B6272" s="1821">
        <f>'Acct Summary 7-8'!H82</f>
        <v>366879</v>
      </c>
      <c r="D6272" s="2" t="str">
        <f t="shared" si="97"/>
        <v>Error?</v>
      </c>
      <c r="E6272" s="2" t="s">
        <v>189</v>
      </c>
    </row>
    <row r="6273" spans="1:5" x14ac:dyDescent="0.2">
      <c r="A6273">
        <v>6212</v>
      </c>
      <c r="B6273" s="1821">
        <f>'Acct Summary 7-8'!I82</f>
        <v>563313</v>
      </c>
      <c r="D6273" s="2" t="str">
        <f t="shared" si="97"/>
        <v>Error?</v>
      </c>
      <c r="E6273" s="2" t="s">
        <v>189</v>
      </c>
    </row>
    <row r="6274" spans="1:5" x14ac:dyDescent="0.2">
      <c r="A6274">
        <v>6213</v>
      </c>
      <c r="B6274" s="1821">
        <f>'Acct Summary 7-8'!J82</f>
        <v>-341471</v>
      </c>
      <c r="D6274" s="2" t="str">
        <f t="shared" si="97"/>
        <v>Error?</v>
      </c>
      <c r="E6274" s="2" t="s">
        <v>189</v>
      </c>
    </row>
    <row r="6275" spans="1:5" x14ac:dyDescent="0.2">
      <c r="A6275">
        <v>6214</v>
      </c>
      <c r="B6275" s="1821">
        <f>'Acct Summary 7-8'!K82</f>
        <v>13522</v>
      </c>
      <c r="D6275" s="2" t="str">
        <f t="shared" si="97"/>
        <v>Error?</v>
      </c>
      <c r="E6275" s="2" t="s">
        <v>189</v>
      </c>
    </row>
    <row r="6276" spans="1:5" x14ac:dyDescent="0.2">
      <c r="A6276">
        <v>6215</v>
      </c>
      <c r="B6276" s="1821">
        <f>'Acct Summary 7-8'!C83</f>
        <v>1.8610575898905216E-3</v>
      </c>
      <c r="D6276" s="2" t="str">
        <f t="shared" si="97"/>
        <v>Error?</v>
      </c>
      <c r="E6276" s="2" t="s">
        <v>189</v>
      </c>
    </row>
    <row r="6277" spans="1:5" x14ac:dyDescent="0.2">
      <c r="A6277">
        <v>6216</v>
      </c>
      <c r="B6277" s="1821">
        <f>'Acct Summary 7-8'!D83</f>
        <v>0.13740551979764082</v>
      </c>
      <c r="D6277" s="2" t="str">
        <f t="shared" si="97"/>
        <v>Error?</v>
      </c>
      <c r="E6277" s="2" t="s">
        <v>189</v>
      </c>
    </row>
    <row r="6278" spans="1:5" x14ac:dyDescent="0.2">
      <c r="A6278">
        <v>6217</v>
      </c>
      <c r="B6278" s="1821">
        <f>'Acct Summary 7-8'!E83</f>
        <v>-2.7039542862474746</v>
      </c>
      <c r="D6278" s="2" t="str">
        <f t="shared" si="97"/>
        <v>Error?</v>
      </c>
      <c r="E6278" s="2" t="s">
        <v>189</v>
      </c>
    </row>
    <row r="6279" spans="1:5" x14ac:dyDescent="0.2">
      <c r="A6279">
        <v>6218</v>
      </c>
      <c r="B6279" s="1821">
        <f>'Acct Summary 7-8'!F83</f>
        <v>-5.1372891034131556E-2</v>
      </c>
      <c r="D6279" s="2" t="str">
        <f t="shared" si="97"/>
        <v>Error?</v>
      </c>
      <c r="E6279" s="2" t="s">
        <v>189</v>
      </c>
    </row>
    <row r="6280" spans="1:5" x14ac:dyDescent="0.2">
      <c r="A6280">
        <v>6219</v>
      </c>
      <c r="B6280" s="1821">
        <f>'Acct Summary 7-8'!G83</f>
        <v>-0.25294494309865884</v>
      </c>
      <c r="D6280" s="2" t="str">
        <f t="shared" si="97"/>
        <v>Error?</v>
      </c>
      <c r="E6280" s="2" t="s">
        <v>189</v>
      </c>
    </row>
    <row r="6281" spans="1:5" x14ac:dyDescent="0.2">
      <c r="A6281">
        <v>6220</v>
      </c>
      <c r="B6281" s="1821">
        <f>'Acct Summary 7-8'!H83</f>
        <v>0.41260467532934914</v>
      </c>
      <c r="D6281" s="2" t="str">
        <f t="shared" si="97"/>
        <v>Error?</v>
      </c>
      <c r="E6281" s="2" t="s">
        <v>189</v>
      </c>
    </row>
    <row r="6282" spans="1:5" x14ac:dyDescent="0.2">
      <c r="A6282">
        <v>6221</v>
      </c>
      <c r="B6282" s="1821">
        <f>'Acct Summary 7-8'!I83</f>
        <v>0.12257448790483408</v>
      </c>
      <c r="D6282" s="2" t="str">
        <f t="shared" si="97"/>
        <v>Error?</v>
      </c>
      <c r="E6282" s="2" t="s">
        <v>189</v>
      </c>
    </row>
    <row r="6283" spans="1:5" x14ac:dyDescent="0.2">
      <c r="A6283">
        <v>6222</v>
      </c>
      <c r="B6283" s="1821">
        <f>'Acct Summary 7-8'!J83</f>
        <v>-0.64851739940479469</v>
      </c>
      <c r="D6283" s="2" t="str">
        <f t="shared" si="97"/>
        <v>Error?</v>
      </c>
      <c r="E6283" s="2" t="s">
        <v>189</v>
      </c>
    </row>
    <row r="6284" spans="1:5" x14ac:dyDescent="0.2">
      <c r="A6284">
        <v>6223</v>
      </c>
      <c r="B6284" s="1821">
        <f>'Acct Summary 7-8'!K83</f>
        <v>0.10773729373989116</v>
      </c>
      <c r="D6284" s="2" t="str">
        <f t="shared" si="97"/>
        <v>Error?</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4000000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493853</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493853</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13434</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13434</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232643</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507287</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7056957</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100691</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4208</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8487462</v>
      </c>
      <c r="D6848" s="2" t="str">
        <f t="shared" si="106"/>
        <v>Error?</v>
      </c>
    </row>
    <row r="6849" spans="1:4" x14ac:dyDescent="0.2">
      <c r="A6849">
        <v>6788</v>
      </c>
      <c r="B6849" s="1821">
        <f>'Expenditures 15-22'!I8</f>
        <v>17866</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0</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2310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887706</v>
      </c>
      <c r="D6880" s="2" t="str">
        <f t="shared" si="106"/>
        <v>Error?</v>
      </c>
    </row>
    <row r="6881" spans="1:4" x14ac:dyDescent="0.2">
      <c r="A6881">
        <v>6820</v>
      </c>
      <c r="B6881" s="1821">
        <f>'Expenditures 15-22'!K22</f>
        <v>887706</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125075</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569</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569</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569</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947434</v>
      </c>
      <c r="D6983" s="2" t="str">
        <f t="shared" si="108"/>
        <v>Error?</v>
      </c>
    </row>
    <row r="6984" spans="1:4" x14ac:dyDescent="0.2">
      <c r="A6984">
        <v>6923</v>
      </c>
      <c r="B6984" s="1821">
        <f>'Expenditures 15-22'!K86</f>
        <v>947434</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947434</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125644</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9318</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9318</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9318</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851768</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18672</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9318</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507287</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7450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7450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7450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105710</v>
      </c>
      <c r="D7073" s="2" t="str">
        <f t="shared" si="109"/>
        <v>Error?</v>
      </c>
    </row>
    <row r="7074" spans="1:4" x14ac:dyDescent="0.2">
      <c r="A7074">
        <v>7013</v>
      </c>
      <c r="B7074" s="1821">
        <f>'Expenditures 15-22'!K216</f>
        <v>105710</v>
      </c>
      <c r="D7074" s="2" t="str">
        <f t="shared" si="109"/>
        <v>Error?</v>
      </c>
    </row>
    <row r="7075" spans="1:4" x14ac:dyDescent="0.2">
      <c r="A7075">
        <v>7014</v>
      </c>
      <c r="B7075" s="1821">
        <f>'Expenditures 15-22'!D218</f>
        <v>0</v>
      </c>
      <c r="D7075" s="2" t="str">
        <f t="shared" si="109"/>
        <v>Error?</v>
      </c>
    </row>
    <row r="7076" spans="1:4" x14ac:dyDescent="0.2">
      <c r="A7076">
        <v>7015</v>
      </c>
      <c r="B7076" s="1821">
        <f>'Expenditures 15-22'!K218</f>
        <v>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456838</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456838</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394930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394930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851768</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851768</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851768</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851768</v>
      </c>
      <c r="D7224" s="2" t="str">
        <f t="shared" si="111"/>
        <v>Error?</v>
      </c>
    </row>
    <row r="7225" spans="1:4" x14ac:dyDescent="0.2">
      <c r="A7225">
        <v>7164</v>
      </c>
      <c r="B7225" s="1821">
        <f>'Expenditures 15-22'!K343</f>
        <v>-344481</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766937</v>
      </c>
      <c r="D7246" s="2" t="str">
        <f t="shared" si="112"/>
        <v>Error?</v>
      </c>
    </row>
    <row r="7247" spans="1:4" x14ac:dyDescent="0.2">
      <c r="A7247">
        <f t="shared" si="113"/>
        <v>7186</v>
      </c>
      <c r="B7247" s="1821">
        <f>'Expenditures 15-22'!E7</f>
        <v>37886</v>
      </c>
      <c r="D7247" s="2" t="str">
        <f t="shared" si="112"/>
        <v>Error?</v>
      </c>
    </row>
    <row r="7248" spans="1:4" x14ac:dyDescent="0.2">
      <c r="A7248">
        <f t="shared" si="113"/>
        <v>7187</v>
      </c>
      <c r="B7248" s="1821">
        <f>'Expenditures 15-22'!F7</f>
        <v>432477</v>
      </c>
      <c r="D7248" s="2" t="str">
        <f t="shared" si="112"/>
        <v>Error?</v>
      </c>
    </row>
    <row r="7249" spans="1:4" x14ac:dyDescent="0.2">
      <c r="A7249">
        <f t="shared" si="113"/>
        <v>7188</v>
      </c>
      <c r="B7249" s="1821">
        <f>'Expenditures 15-22'!G7</f>
        <v>188360</v>
      </c>
      <c r="D7249" s="2" t="str">
        <f t="shared" si="112"/>
        <v>Error?</v>
      </c>
    </row>
    <row r="7250" spans="1:4" x14ac:dyDescent="0.2">
      <c r="A7250">
        <f t="shared" si="113"/>
        <v>7189</v>
      </c>
      <c r="B7250" s="1821">
        <f>'Expenditures 15-22'!H7</f>
        <v>637</v>
      </c>
      <c r="D7250" s="2" t="str">
        <f t="shared" si="112"/>
        <v>Error?</v>
      </c>
    </row>
    <row r="7251" spans="1:4" x14ac:dyDescent="0.2">
      <c r="A7251">
        <f t="shared" si="113"/>
        <v>7190</v>
      </c>
      <c r="B7251" s="1821">
        <f>'Expenditures 15-22'!C9</f>
        <v>0</v>
      </c>
      <c r="D7251" s="2" t="str">
        <f t="shared" si="112"/>
        <v>Error?</v>
      </c>
    </row>
    <row r="7252" spans="1:4" x14ac:dyDescent="0.2">
      <c r="A7252">
        <f t="shared" si="113"/>
        <v>7191</v>
      </c>
      <c r="B7252" s="1821">
        <f>'Expenditures 15-22'!D9</f>
        <v>0</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142412</v>
      </c>
      <c r="D7624" s="2" t="str">
        <f t="shared" si="124"/>
        <v>Error?</v>
      </c>
      <c r="E7624" s="2" t="s">
        <v>19</v>
      </c>
    </row>
    <row r="7625" spans="1:5" x14ac:dyDescent="0.2">
      <c r="A7625">
        <f t="shared" si="123"/>
        <v>7564</v>
      </c>
      <c r="B7625" s="1821">
        <f>'Cap Outlay Deprec 26'!I17</f>
        <v>14241.2</v>
      </c>
      <c r="D7625" s="2" t="str">
        <f t="shared" si="124"/>
        <v>Error?</v>
      </c>
      <c r="E7625" s="2" t="s">
        <v>19</v>
      </c>
    </row>
    <row r="7626" spans="1:5" x14ac:dyDescent="0.2">
      <c r="A7626" s="126">
        <f t="shared" si="123"/>
        <v>7565</v>
      </c>
      <c r="B7626" s="1821"/>
      <c r="D7626" s="2" t="str">
        <f t="shared" si="124"/>
        <v>OK</v>
      </c>
      <c r="E7626" s="4" t="s">
        <v>1323</v>
      </c>
    </row>
    <row r="7627" spans="1:5" x14ac:dyDescent="0.2">
      <c r="A7627" s="126">
        <f t="shared" si="123"/>
        <v>7566</v>
      </c>
      <c r="B7627" s="1821"/>
      <c r="D7627" s="2" t="str">
        <f t="shared" si="124"/>
        <v>OK</v>
      </c>
      <c r="E7627" s="4" t="s">
        <v>1323</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1323</v>
      </c>
    </row>
    <row r="7630" spans="1:5" x14ac:dyDescent="0.2">
      <c r="A7630" s="126">
        <f t="shared" ref="A7630:A7650" si="125">A7629+1</f>
        <v>7569</v>
      </c>
      <c r="B7630" s="1821"/>
      <c r="D7630" s="2" t="str">
        <f t="shared" si="124"/>
        <v>OK</v>
      </c>
      <c r="E7630" s="4" t="s">
        <v>1323</v>
      </c>
    </row>
    <row r="7631" spans="1:5" x14ac:dyDescent="0.2">
      <c r="A7631">
        <f t="shared" si="125"/>
        <v>7570</v>
      </c>
      <c r="B7631" s="1821">
        <f>'Cap Outlay Deprec 26'!I18</f>
        <v>3741620.2</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1323</v>
      </c>
    </row>
    <row r="7634" spans="1:6" x14ac:dyDescent="0.2">
      <c r="A7634" s="126">
        <f t="shared" si="125"/>
        <v>7573</v>
      </c>
      <c r="B7634" s="1821"/>
      <c r="D7634" s="2" t="str">
        <f t="shared" si="124"/>
        <v>OK</v>
      </c>
      <c r="E7634" s="4" t="s">
        <v>1323</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822</v>
      </c>
    </row>
    <row r="7652" spans="1:5" x14ac:dyDescent="0.2">
      <c r="A7652">
        <v>7591</v>
      </c>
      <c r="B7652" s="1821">
        <f>'Acct Summary 7-8'!D55</f>
        <v>0</v>
      </c>
      <c r="D7652" s="2" t="str">
        <f t="shared" si="124"/>
        <v>Error?</v>
      </c>
      <c r="E7652" s="2" t="s">
        <v>822</v>
      </c>
    </row>
    <row r="7653" spans="1:5" x14ac:dyDescent="0.2">
      <c r="A7653">
        <v>7592</v>
      </c>
      <c r="B7653" s="1821">
        <f>'Acct Summary 7-8'!H55</f>
        <v>0</v>
      </c>
      <c r="D7653" s="2" t="str">
        <f t="shared" si="124"/>
        <v>Error?</v>
      </c>
      <c r="E7653" s="2" t="s">
        <v>822</v>
      </c>
    </row>
    <row r="7654" spans="1:5" x14ac:dyDescent="0.2">
      <c r="A7654">
        <v>7593</v>
      </c>
      <c r="B7654" s="1821">
        <f>'Acct Summary 7-8'!C56</f>
        <v>0</v>
      </c>
      <c r="D7654" s="2" t="str">
        <f t="shared" si="124"/>
        <v>Error?</v>
      </c>
      <c r="E7654" s="2" t="s">
        <v>822</v>
      </c>
    </row>
    <row r="7655" spans="1:5" x14ac:dyDescent="0.2">
      <c r="A7655">
        <v>7594</v>
      </c>
      <c r="B7655" s="1821">
        <f>'Acct Summary 7-8'!D56</f>
        <v>0</v>
      </c>
      <c r="D7655" s="2" t="str">
        <f t="shared" si="124"/>
        <v>Error?</v>
      </c>
      <c r="E7655" s="2" t="s">
        <v>822</v>
      </c>
    </row>
    <row r="7656" spans="1:5" x14ac:dyDescent="0.2">
      <c r="A7656">
        <v>7595</v>
      </c>
      <c r="B7656" s="1821">
        <f>'Acct Summary 7-8'!H56</f>
        <v>0</v>
      </c>
      <c r="D7656" s="2" t="str">
        <f t="shared" si="124"/>
        <v>Error?</v>
      </c>
      <c r="E7656" s="2" t="s">
        <v>822</v>
      </c>
    </row>
    <row r="7657" spans="1:5" x14ac:dyDescent="0.2">
      <c r="A7657">
        <v>7596</v>
      </c>
      <c r="B7657" s="1821">
        <f>'Acct Summary 7-8'!C57</f>
        <v>0</v>
      </c>
      <c r="D7657" s="2" t="str">
        <f t="shared" si="124"/>
        <v>Error?</v>
      </c>
      <c r="E7657" s="2" t="s">
        <v>822</v>
      </c>
    </row>
    <row r="7658" spans="1:5" x14ac:dyDescent="0.2">
      <c r="A7658">
        <v>7597</v>
      </c>
      <c r="B7658" s="1821">
        <f>'Acct Summary 7-8'!D57</f>
        <v>0</v>
      </c>
      <c r="D7658" s="2" t="str">
        <f t="shared" si="124"/>
        <v>Error?</v>
      </c>
      <c r="E7658" s="2" t="s">
        <v>822</v>
      </c>
    </row>
    <row r="7659" spans="1:5" x14ac:dyDescent="0.2">
      <c r="A7659">
        <v>7598</v>
      </c>
      <c r="B7659" s="1821">
        <f>'Acct Summary 7-8'!H57</f>
        <v>0</v>
      </c>
      <c r="D7659" s="2" t="str">
        <f t="shared" si="124"/>
        <v>Error?</v>
      </c>
      <c r="E7659" s="2" t="s">
        <v>822</v>
      </c>
    </row>
    <row r="7660" spans="1:5" x14ac:dyDescent="0.2">
      <c r="A7660">
        <v>7599</v>
      </c>
      <c r="B7660" s="1821">
        <f>'Acct Summary 7-8'!C59</f>
        <v>0</v>
      </c>
      <c r="D7660" s="2" t="str">
        <f t="shared" si="124"/>
        <v>Error?</v>
      </c>
      <c r="E7660" s="2" t="s">
        <v>822</v>
      </c>
    </row>
    <row r="7661" spans="1:5" x14ac:dyDescent="0.2">
      <c r="A7661">
        <v>7600</v>
      </c>
      <c r="B7661" s="1821">
        <f>'Acct Summary 7-8'!D59</f>
        <v>0</v>
      </c>
      <c r="D7661" s="2" t="str">
        <f t="shared" si="124"/>
        <v>Error?</v>
      </c>
      <c r="E7661" s="2" t="s">
        <v>822</v>
      </c>
    </row>
    <row r="7662" spans="1:5" x14ac:dyDescent="0.2">
      <c r="A7662">
        <v>7601</v>
      </c>
      <c r="B7662" s="1821">
        <f>'Acct Summary 7-8'!H59</f>
        <v>0</v>
      </c>
      <c r="D7662" s="2" t="str">
        <f t="shared" si="124"/>
        <v>Error?</v>
      </c>
      <c r="E7662" s="2" t="s">
        <v>822</v>
      </c>
    </row>
    <row r="7663" spans="1:5" x14ac:dyDescent="0.2">
      <c r="A7663">
        <v>7602</v>
      </c>
      <c r="B7663" s="1821">
        <f>'Acct Summary 7-8'!C60</f>
        <v>0</v>
      </c>
      <c r="D7663" s="2" t="str">
        <f t="shared" si="124"/>
        <v>Error?</v>
      </c>
      <c r="E7663" s="2" t="s">
        <v>822</v>
      </c>
    </row>
    <row r="7664" spans="1:5" x14ac:dyDescent="0.2">
      <c r="A7664">
        <v>7603</v>
      </c>
      <c r="B7664" s="1821">
        <f>'Acct Summary 7-8'!D60</f>
        <v>0</v>
      </c>
      <c r="D7664" s="2" t="str">
        <f t="shared" si="124"/>
        <v>Error?</v>
      </c>
      <c r="E7664" s="2" t="s">
        <v>822</v>
      </c>
    </row>
    <row r="7665" spans="1:5" x14ac:dyDescent="0.2">
      <c r="A7665">
        <v>7604</v>
      </c>
      <c r="B7665" s="1821">
        <f>'Acct Summary 7-8'!H60</f>
        <v>0</v>
      </c>
      <c r="D7665" s="2" t="str">
        <f t="shared" si="124"/>
        <v>Error?</v>
      </c>
      <c r="E7665" s="2" t="s">
        <v>822</v>
      </c>
    </row>
    <row r="7666" spans="1:5" x14ac:dyDescent="0.2">
      <c r="A7666">
        <v>7605</v>
      </c>
      <c r="B7666" s="1821">
        <f>'Acct Summary 7-8'!C61</f>
        <v>0</v>
      </c>
      <c r="D7666" s="2" t="str">
        <f t="shared" si="124"/>
        <v>Error?</v>
      </c>
      <c r="E7666" s="2" t="s">
        <v>822</v>
      </c>
    </row>
    <row r="7667" spans="1:5" x14ac:dyDescent="0.2">
      <c r="A7667">
        <v>7606</v>
      </c>
      <c r="B7667" s="1821">
        <f>'Acct Summary 7-8'!D61</f>
        <v>0</v>
      </c>
      <c r="D7667" s="2" t="str">
        <f t="shared" si="124"/>
        <v>Error?</v>
      </c>
      <c r="E7667" s="2" t="s">
        <v>822</v>
      </c>
    </row>
    <row r="7668" spans="1:5" x14ac:dyDescent="0.2">
      <c r="A7668">
        <v>7607</v>
      </c>
      <c r="B7668" s="1821">
        <f>'Acct Summary 7-8'!H61</f>
        <v>0</v>
      </c>
      <c r="D7668" s="2" t="str">
        <f t="shared" si="124"/>
        <v>Error?</v>
      </c>
      <c r="E7668" s="2" t="s">
        <v>822</v>
      </c>
    </row>
    <row r="7669" spans="1:5" x14ac:dyDescent="0.2">
      <c r="A7669">
        <v>7608</v>
      </c>
      <c r="B7669" s="1821">
        <f>'Acct Summary 7-8'!C63</f>
        <v>0</v>
      </c>
      <c r="D7669" s="2" t="str">
        <f t="shared" si="124"/>
        <v>Error?</v>
      </c>
      <c r="E7669" s="2" t="s">
        <v>822</v>
      </c>
    </row>
    <row r="7670" spans="1:5" x14ac:dyDescent="0.2">
      <c r="A7670">
        <v>7609</v>
      </c>
      <c r="B7670" s="1821">
        <f>'Acct Summary 7-8'!D63</f>
        <v>0</v>
      </c>
      <c r="D7670" s="2" t="str">
        <f t="shared" si="124"/>
        <v>Error?</v>
      </c>
      <c r="E7670" s="2" t="s">
        <v>822</v>
      </c>
    </row>
    <row r="7671" spans="1:5" x14ac:dyDescent="0.2">
      <c r="A7671">
        <v>7610</v>
      </c>
      <c r="B7671" s="1821">
        <f>'Acct Summary 7-8'!C64</f>
        <v>0</v>
      </c>
      <c r="D7671" s="2" t="str">
        <f t="shared" si="124"/>
        <v>Error?</v>
      </c>
      <c r="E7671" s="2" t="s">
        <v>822</v>
      </c>
    </row>
    <row r="7672" spans="1:5" x14ac:dyDescent="0.2">
      <c r="A7672">
        <v>7611</v>
      </c>
      <c r="B7672" s="1821">
        <f>'Acct Summary 7-8'!D64</f>
        <v>0</v>
      </c>
      <c r="D7672" s="2" t="str">
        <f t="shared" si="124"/>
        <v>Error?</v>
      </c>
      <c r="E7672" s="2" t="s">
        <v>822</v>
      </c>
    </row>
    <row r="7673" spans="1:5" x14ac:dyDescent="0.2">
      <c r="A7673">
        <v>7612</v>
      </c>
      <c r="B7673" s="1821">
        <f>'Acct Summary 7-8'!C65</f>
        <v>0</v>
      </c>
      <c r="D7673" s="2" t="str">
        <f t="shared" si="124"/>
        <v>Error?</v>
      </c>
      <c r="E7673" s="2" t="s">
        <v>822</v>
      </c>
    </row>
    <row r="7674" spans="1:5" x14ac:dyDescent="0.2">
      <c r="A7674">
        <v>7613</v>
      </c>
      <c r="B7674" s="1821">
        <f>'Acct Summary 7-8'!D65</f>
        <v>0</v>
      </c>
      <c r="D7674" s="2" t="str">
        <f t="shared" si="124"/>
        <v>Error?</v>
      </c>
      <c r="E7674" s="2" t="s">
        <v>822</v>
      </c>
    </row>
    <row r="7675" spans="1:5" x14ac:dyDescent="0.2">
      <c r="A7675">
        <v>7614</v>
      </c>
      <c r="B7675" s="1821">
        <f>'Acct Summary 7-8'!C67</f>
        <v>0</v>
      </c>
      <c r="D7675" s="2" t="str">
        <f t="shared" si="124"/>
        <v>Error?</v>
      </c>
      <c r="E7675" s="2" t="s">
        <v>822</v>
      </c>
    </row>
    <row r="7676" spans="1:5" x14ac:dyDescent="0.2">
      <c r="A7676">
        <v>7615</v>
      </c>
      <c r="B7676" s="1821">
        <f>'Acct Summary 7-8'!D67</f>
        <v>0</v>
      </c>
      <c r="D7676" s="2" t="str">
        <f t="shared" si="124"/>
        <v>Error?</v>
      </c>
      <c r="E7676" s="2" t="s">
        <v>822</v>
      </c>
    </row>
    <row r="7677" spans="1:5" x14ac:dyDescent="0.2">
      <c r="A7677">
        <v>7616</v>
      </c>
      <c r="B7677" s="1821">
        <f>'Acct Summary 7-8'!C68</f>
        <v>0</v>
      </c>
      <c r="D7677" s="2" t="str">
        <f t="shared" si="124"/>
        <v>Error?</v>
      </c>
      <c r="E7677" s="2" t="s">
        <v>822</v>
      </c>
    </row>
    <row r="7678" spans="1:5" x14ac:dyDescent="0.2">
      <c r="A7678">
        <v>7617</v>
      </c>
      <c r="B7678" s="1821">
        <f>'Acct Summary 7-8'!D68</f>
        <v>0</v>
      </c>
      <c r="D7678" s="2" t="str">
        <f t="shared" si="124"/>
        <v>Error?</v>
      </c>
      <c r="E7678" s="2" t="s">
        <v>822</v>
      </c>
    </row>
    <row r="7679" spans="1:5" x14ac:dyDescent="0.2">
      <c r="A7679">
        <v>7618</v>
      </c>
      <c r="B7679" s="1821">
        <f>'Acct Summary 7-8'!C69</f>
        <v>0</v>
      </c>
      <c r="D7679" s="2" t="str">
        <f t="shared" ref="D7679:D7742" si="126">IF(ISBLANK(B7679),"OK",IF(A7679-B7679=0,"OK","Error?"))</f>
        <v>Error?</v>
      </c>
      <c r="E7679" s="2" t="s">
        <v>822</v>
      </c>
    </row>
    <row r="7680" spans="1:5" x14ac:dyDescent="0.2">
      <c r="A7680">
        <v>7619</v>
      </c>
      <c r="B7680" s="1821">
        <f>'Acct Summary 7-8'!D69</f>
        <v>0</v>
      </c>
      <c r="D7680" s="2" t="str">
        <f t="shared" si="126"/>
        <v>Error?</v>
      </c>
      <c r="E7680" s="2" t="s">
        <v>822</v>
      </c>
    </row>
    <row r="7681" spans="1:5" x14ac:dyDescent="0.2">
      <c r="A7681">
        <v>7620</v>
      </c>
      <c r="B7681" s="1821">
        <f>'Acct Summary 7-8'!C71</f>
        <v>0</v>
      </c>
      <c r="D7681" s="2" t="str">
        <f t="shared" si="126"/>
        <v>Error?</v>
      </c>
      <c r="E7681" s="2" t="s">
        <v>822</v>
      </c>
    </row>
    <row r="7682" spans="1:5" x14ac:dyDescent="0.2">
      <c r="A7682">
        <v>7621</v>
      </c>
      <c r="B7682" s="1821">
        <f>'Acct Summary 7-8'!D71</f>
        <v>0</v>
      </c>
      <c r="D7682" s="2" t="str">
        <f t="shared" si="126"/>
        <v>Error?</v>
      </c>
      <c r="E7682" s="2" t="s">
        <v>822</v>
      </c>
    </row>
    <row r="7683" spans="1:5" x14ac:dyDescent="0.2">
      <c r="A7683">
        <v>7622</v>
      </c>
      <c r="B7683" s="1821">
        <f>'Acct Summary 7-8'!C72</f>
        <v>0</v>
      </c>
      <c r="D7683" s="2" t="str">
        <f t="shared" si="126"/>
        <v>Error?</v>
      </c>
      <c r="E7683" s="2" t="s">
        <v>822</v>
      </c>
    </row>
    <row r="7684" spans="1:5" x14ac:dyDescent="0.2">
      <c r="A7684">
        <v>7623</v>
      </c>
      <c r="B7684" s="1821">
        <f>'Acct Summary 7-8'!D72</f>
        <v>0</v>
      </c>
      <c r="D7684" s="2" t="str">
        <f t="shared" si="126"/>
        <v>Error?</v>
      </c>
      <c r="E7684" s="2" t="s">
        <v>822</v>
      </c>
    </row>
    <row r="7685" spans="1:5" x14ac:dyDescent="0.2">
      <c r="A7685">
        <v>7624</v>
      </c>
      <c r="B7685" s="1821">
        <f>'Acct Summary 7-8'!C73</f>
        <v>0</v>
      </c>
      <c r="D7685" s="2" t="str">
        <f t="shared" si="126"/>
        <v>Error?</v>
      </c>
      <c r="E7685" s="2" t="s">
        <v>822</v>
      </c>
    </row>
    <row r="7686" spans="1:5" x14ac:dyDescent="0.2">
      <c r="A7686">
        <v>7625</v>
      </c>
      <c r="B7686" s="1821">
        <f>'Acct Summary 7-8'!D73</f>
        <v>4000000</v>
      </c>
      <c r="D7686" s="2" t="str">
        <f t="shared" si="126"/>
        <v>Error?</v>
      </c>
      <c r="E7686" s="2" t="s">
        <v>822</v>
      </c>
    </row>
    <row r="7687" spans="1:5" x14ac:dyDescent="0.2">
      <c r="A7687">
        <v>7626</v>
      </c>
      <c r="B7687" s="1821">
        <f>'Revenues 9-14'!C196</f>
        <v>0</v>
      </c>
      <c r="D7687" s="2" t="str">
        <f t="shared" si="126"/>
        <v>Error?</v>
      </c>
      <c r="E7687" s="2" t="s">
        <v>822</v>
      </c>
    </row>
    <row r="7688" spans="1:5" x14ac:dyDescent="0.2">
      <c r="A7688">
        <v>7627</v>
      </c>
      <c r="B7688" s="1821">
        <f>'Expenditures 15-22'!C328</f>
        <v>0</v>
      </c>
      <c r="D7688" s="2" t="str">
        <f t="shared" si="126"/>
        <v>Error?</v>
      </c>
      <c r="E7688" s="2" t="s">
        <v>822</v>
      </c>
    </row>
    <row r="7689" spans="1:5" x14ac:dyDescent="0.2">
      <c r="A7689">
        <v>7628</v>
      </c>
      <c r="B7689" s="1821">
        <f>'Expenditures 15-22'!D328</f>
        <v>0</v>
      </c>
      <c r="D7689" s="2" t="str">
        <f t="shared" si="126"/>
        <v>Error?</v>
      </c>
      <c r="E7689" s="2" t="s">
        <v>822</v>
      </c>
    </row>
    <row r="7690" spans="1:5" x14ac:dyDescent="0.2">
      <c r="A7690">
        <v>7629</v>
      </c>
      <c r="B7690" s="1821">
        <f>'Expenditures 15-22'!E328</f>
        <v>0</v>
      </c>
      <c r="D7690" s="2" t="str">
        <f t="shared" si="126"/>
        <v>Error?</v>
      </c>
      <c r="E7690" s="2" t="s">
        <v>822</v>
      </c>
    </row>
    <row r="7691" spans="1:5" x14ac:dyDescent="0.2">
      <c r="A7691">
        <v>7630</v>
      </c>
      <c r="B7691" s="1821">
        <f>'Expenditures 15-22'!F328</f>
        <v>0</v>
      </c>
      <c r="D7691" s="2" t="str">
        <f t="shared" si="126"/>
        <v>Error?</v>
      </c>
      <c r="E7691" s="2" t="s">
        <v>822</v>
      </c>
    </row>
    <row r="7692" spans="1:5" x14ac:dyDescent="0.2">
      <c r="A7692">
        <v>7631</v>
      </c>
      <c r="B7692" s="1821">
        <f>'Expenditures 15-22'!G328</f>
        <v>0</v>
      </c>
      <c r="D7692" s="2" t="str">
        <f t="shared" si="126"/>
        <v>Error?</v>
      </c>
      <c r="E7692" s="2" t="s">
        <v>822</v>
      </c>
    </row>
    <row r="7693" spans="1:5" x14ac:dyDescent="0.2">
      <c r="A7693">
        <v>7632</v>
      </c>
      <c r="B7693" s="1821">
        <f>'Expenditures 15-22'!H328</f>
        <v>0</v>
      </c>
      <c r="D7693" s="2" t="str">
        <f t="shared" si="126"/>
        <v>Error?</v>
      </c>
      <c r="E7693" s="2" t="s">
        <v>822</v>
      </c>
    </row>
    <row r="7694" spans="1:5" x14ac:dyDescent="0.2">
      <c r="A7694">
        <v>7633</v>
      </c>
      <c r="B7694" s="1821">
        <f>'Expenditures 15-22'!I328</f>
        <v>0</v>
      </c>
      <c r="D7694" s="2" t="str">
        <f t="shared" si="126"/>
        <v>Error?</v>
      </c>
      <c r="E7694" s="2" t="s">
        <v>822</v>
      </c>
    </row>
    <row r="7695" spans="1:5" x14ac:dyDescent="0.2">
      <c r="A7695">
        <v>7634</v>
      </c>
      <c r="B7695" s="1821">
        <f>'Expenditures 15-22'!J328</f>
        <v>0</v>
      </c>
      <c r="D7695" s="2" t="str">
        <f t="shared" si="126"/>
        <v>Error?</v>
      </c>
      <c r="E7695" s="2" t="s">
        <v>822</v>
      </c>
    </row>
    <row r="7696" spans="1:5" x14ac:dyDescent="0.2">
      <c r="A7696">
        <v>7635</v>
      </c>
      <c r="B7696" s="1821">
        <f>'Expenditures 15-22'!K328</f>
        <v>0</v>
      </c>
      <c r="D7696" s="2" t="str">
        <f t="shared" si="126"/>
        <v>Error?</v>
      </c>
      <c r="E7696" s="2" t="s">
        <v>822</v>
      </c>
    </row>
    <row r="7697" spans="1:5" x14ac:dyDescent="0.2">
      <c r="A7697">
        <v>7636</v>
      </c>
      <c r="B7697" s="1821">
        <f>'Expenditures 15-22'!C329</f>
        <v>0</v>
      </c>
      <c r="D7697" s="2" t="str">
        <f t="shared" si="126"/>
        <v>Error?</v>
      </c>
      <c r="E7697" s="2" t="s">
        <v>822</v>
      </c>
    </row>
    <row r="7698" spans="1:5" x14ac:dyDescent="0.2">
      <c r="A7698">
        <v>7637</v>
      </c>
      <c r="B7698" s="1821">
        <f>'Expenditures 15-22'!D329</f>
        <v>0</v>
      </c>
      <c r="D7698" s="2" t="str">
        <f t="shared" si="126"/>
        <v>Error?</v>
      </c>
      <c r="E7698" s="2" t="s">
        <v>822</v>
      </c>
    </row>
    <row r="7699" spans="1:5" x14ac:dyDescent="0.2">
      <c r="A7699">
        <v>7638</v>
      </c>
      <c r="B7699" s="1821">
        <f>'Expenditures 15-22'!E329</f>
        <v>0</v>
      </c>
      <c r="D7699" s="2" t="str">
        <f t="shared" si="126"/>
        <v>Error?</v>
      </c>
      <c r="E7699" s="2" t="s">
        <v>822</v>
      </c>
    </row>
    <row r="7700" spans="1:5" x14ac:dyDescent="0.2">
      <c r="A7700">
        <v>7639</v>
      </c>
      <c r="B7700" s="1821">
        <f>'Expenditures 15-22'!F329</f>
        <v>0</v>
      </c>
      <c r="D7700" s="2" t="str">
        <f t="shared" si="126"/>
        <v>Error?</v>
      </c>
      <c r="E7700" s="2" t="s">
        <v>822</v>
      </c>
    </row>
    <row r="7701" spans="1:5" x14ac:dyDescent="0.2">
      <c r="A7701">
        <v>7640</v>
      </c>
      <c r="B7701" s="1821">
        <f>'Expenditures 15-22'!G329</f>
        <v>0</v>
      </c>
      <c r="D7701" s="2" t="str">
        <f t="shared" si="126"/>
        <v>Error?</v>
      </c>
      <c r="E7701" s="2" t="s">
        <v>822</v>
      </c>
    </row>
    <row r="7702" spans="1:5" x14ac:dyDescent="0.2">
      <c r="A7702">
        <v>7641</v>
      </c>
      <c r="B7702" s="1821">
        <f>'Expenditures 15-22'!H329</f>
        <v>0</v>
      </c>
      <c r="D7702" s="2" t="str">
        <f t="shared" si="126"/>
        <v>Error?</v>
      </c>
      <c r="E7702" s="2" t="s">
        <v>822</v>
      </c>
    </row>
    <row r="7703" spans="1:5" x14ac:dyDescent="0.2">
      <c r="A7703">
        <v>7642</v>
      </c>
      <c r="B7703" s="1821">
        <f>'Expenditures 15-22'!I329</f>
        <v>0</v>
      </c>
      <c r="D7703" s="2" t="str">
        <f t="shared" si="126"/>
        <v>Error?</v>
      </c>
      <c r="E7703" s="2" t="s">
        <v>822</v>
      </c>
    </row>
    <row r="7704" spans="1:5" x14ac:dyDescent="0.2">
      <c r="A7704">
        <v>7643</v>
      </c>
      <c r="B7704" s="1821">
        <f>'Expenditures 15-22'!J329</f>
        <v>0</v>
      </c>
      <c r="D7704" s="2" t="str">
        <f t="shared" si="126"/>
        <v>Error?</v>
      </c>
      <c r="E7704" s="2" t="s">
        <v>822</v>
      </c>
    </row>
    <row r="7705" spans="1:5" x14ac:dyDescent="0.2">
      <c r="A7705">
        <v>7644</v>
      </c>
      <c r="B7705" s="1821">
        <f>'Expenditures 15-22'!K329</f>
        <v>0</v>
      </c>
      <c r="D7705" s="2" t="str">
        <f t="shared" si="126"/>
        <v>Error?</v>
      </c>
      <c r="E7705" s="2" t="s">
        <v>822</v>
      </c>
    </row>
    <row r="7706" spans="1:5" x14ac:dyDescent="0.2">
      <c r="A7706">
        <v>7645</v>
      </c>
      <c r="B7706" s="1821">
        <f>'Revenues 9-14'!H167</f>
        <v>50000</v>
      </c>
      <c r="D7706" s="2" t="str">
        <f t="shared" si="126"/>
        <v>Error?</v>
      </c>
      <c r="E7706" s="2" t="s">
        <v>822</v>
      </c>
    </row>
    <row r="7707" spans="1:5" x14ac:dyDescent="0.2">
      <c r="A7707">
        <v>7646</v>
      </c>
      <c r="B7707" s="1821">
        <f>'Expenditures 15-22'!I64</f>
        <v>0</v>
      </c>
      <c r="D7707" s="2" t="str">
        <f t="shared" si="126"/>
        <v>Error?</v>
      </c>
      <c r="E7707" s="2" t="s">
        <v>822</v>
      </c>
    </row>
    <row r="7708" spans="1:5" x14ac:dyDescent="0.2">
      <c r="A7708">
        <v>7647</v>
      </c>
      <c r="B7708" s="1821">
        <f>'Rest Tax Levies-Tort Im 25'!J3</f>
        <v>0</v>
      </c>
      <c r="D7708" s="2" t="str">
        <f t="shared" si="126"/>
        <v>Error?</v>
      </c>
      <c r="E7708" s="2" t="s">
        <v>822</v>
      </c>
    </row>
    <row r="7709" spans="1:5" x14ac:dyDescent="0.2">
      <c r="A7709">
        <v>7648</v>
      </c>
      <c r="B7709" s="1821">
        <f>'Rest Tax Levies-Tort Im 25'!K3</f>
        <v>0</v>
      </c>
      <c r="D7709" s="2" t="str">
        <f t="shared" si="126"/>
        <v>Error?</v>
      </c>
      <c r="E7709" s="2" t="s">
        <v>822</v>
      </c>
    </row>
    <row r="7710" spans="1:5" x14ac:dyDescent="0.2">
      <c r="A7710">
        <v>7649</v>
      </c>
      <c r="B7710" s="1821">
        <f>'Rest Tax Levies-Tort Im 25'!J6</f>
        <v>0</v>
      </c>
      <c r="D7710" s="2" t="str">
        <f t="shared" si="126"/>
        <v>Error?</v>
      </c>
      <c r="E7710" s="2" t="s">
        <v>822</v>
      </c>
    </row>
    <row r="7711" spans="1:5" x14ac:dyDescent="0.2">
      <c r="A7711">
        <v>7650</v>
      </c>
      <c r="B7711" s="1821">
        <f>'Rest Tax Levies-Tort Im 25'!K6</f>
        <v>0</v>
      </c>
      <c r="D7711" s="2" t="str">
        <f t="shared" si="126"/>
        <v>Error?</v>
      </c>
      <c r="E7711" s="2" t="s">
        <v>822</v>
      </c>
    </row>
    <row r="7712" spans="1:5" x14ac:dyDescent="0.2">
      <c r="A7712">
        <v>7651</v>
      </c>
      <c r="B7712" s="1821">
        <f>'Rest Tax Levies-Tort Im 25'!K7</f>
        <v>0</v>
      </c>
      <c r="D7712" s="2" t="str">
        <f t="shared" si="126"/>
        <v>Error?</v>
      </c>
      <c r="E7712" s="2" t="s">
        <v>822</v>
      </c>
    </row>
    <row r="7713" spans="1:6" x14ac:dyDescent="0.2">
      <c r="A7713">
        <v>7652</v>
      </c>
      <c r="B7713" s="1821">
        <f>'Rest Tax Levies-Tort Im 25'!J8</f>
        <v>0</v>
      </c>
      <c r="D7713" s="2" t="str">
        <f t="shared" si="126"/>
        <v>Error?</v>
      </c>
      <c r="E7713" s="2" t="s">
        <v>822</v>
      </c>
    </row>
    <row r="7714" spans="1:6" x14ac:dyDescent="0.2">
      <c r="A7714">
        <v>7653</v>
      </c>
      <c r="B7714" s="1821">
        <f>'Rest Tax Levies-Tort Im 25'!K9</f>
        <v>0</v>
      </c>
      <c r="D7714" s="2" t="str">
        <f t="shared" si="126"/>
        <v>Error?</v>
      </c>
      <c r="E7714" s="2" t="s">
        <v>822</v>
      </c>
    </row>
    <row r="7715" spans="1:6" x14ac:dyDescent="0.2">
      <c r="A7715">
        <v>7654</v>
      </c>
      <c r="B7715" s="1821">
        <f>'Rest Tax Levies-Tort Im 25'!J10</f>
        <v>0</v>
      </c>
      <c r="D7715" s="2" t="str">
        <f t="shared" si="126"/>
        <v>Error?</v>
      </c>
      <c r="E7715" s="2" t="s">
        <v>822</v>
      </c>
    </row>
    <row r="7716" spans="1:6" x14ac:dyDescent="0.2">
      <c r="A7716">
        <v>7655</v>
      </c>
      <c r="B7716" s="1821">
        <f>'Rest Tax Levies-Tort Im 25'!K10</f>
        <v>0</v>
      </c>
      <c r="D7716" s="2" t="str">
        <f t="shared" si="126"/>
        <v>Error?</v>
      </c>
      <c r="E7716" s="2" t="s">
        <v>822</v>
      </c>
    </row>
    <row r="7717" spans="1:6" x14ac:dyDescent="0.2">
      <c r="A7717">
        <v>7656</v>
      </c>
      <c r="B7717" s="1821">
        <f>'Rest Tax Levies-Tort Im 25'!J11</f>
        <v>0</v>
      </c>
      <c r="D7717" s="2" t="str">
        <f t="shared" si="126"/>
        <v>Error?</v>
      </c>
      <c r="E7717" s="2" t="s">
        <v>822</v>
      </c>
    </row>
    <row r="7718" spans="1:6" x14ac:dyDescent="0.2">
      <c r="A7718">
        <v>7657</v>
      </c>
      <c r="B7718" s="1821">
        <f>'Rest Tax Levies-Tort Im 25'!J12</f>
        <v>0</v>
      </c>
      <c r="D7718" s="2" t="str">
        <f t="shared" si="126"/>
        <v>Error?</v>
      </c>
      <c r="E7718" s="2" t="s">
        <v>822</v>
      </c>
    </row>
    <row r="7719" spans="1:6" x14ac:dyDescent="0.2">
      <c r="A7719">
        <v>7658</v>
      </c>
      <c r="B7719" s="1821">
        <f>'Rest Tax Levies-Tort Im 25'!K12</f>
        <v>0</v>
      </c>
      <c r="D7719" s="2" t="str">
        <f t="shared" si="126"/>
        <v>Error?</v>
      </c>
      <c r="E7719" s="2" t="s">
        <v>822</v>
      </c>
    </row>
    <row r="7720" spans="1:6" x14ac:dyDescent="0.2">
      <c r="A7720">
        <v>7659</v>
      </c>
      <c r="B7720" s="1821">
        <f>'Rest Tax Levies-Tort Im 25'!H14</f>
        <v>1976230</v>
      </c>
      <c r="D7720" s="2" t="str">
        <f t="shared" si="126"/>
        <v>Error?</v>
      </c>
      <c r="E7720" s="2" t="s">
        <v>822</v>
      </c>
    </row>
    <row r="7721" spans="1:6" x14ac:dyDescent="0.2">
      <c r="A7721">
        <v>7660</v>
      </c>
      <c r="B7721" s="1821">
        <f>'Rest Tax Levies-Tort Im 25'!K14</f>
        <v>0</v>
      </c>
      <c r="D7721" s="2" t="str">
        <f t="shared" si="126"/>
        <v>Error?</v>
      </c>
      <c r="E7721" s="2" t="s">
        <v>822</v>
      </c>
    </row>
    <row r="7722" spans="1:6" x14ac:dyDescent="0.2">
      <c r="A7722">
        <v>7661</v>
      </c>
      <c r="B7722" s="1821">
        <f>'Rest Tax Levies-Tort Im 25'!J15</f>
        <v>0</v>
      </c>
      <c r="D7722" s="2" t="str">
        <f t="shared" si="126"/>
        <v>Error?</v>
      </c>
      <c r="E7722" s="2" t="s">
        <v>822</v>
      </c>
    </row>
    <row r="7723" spans="1:6" x14ac:dyDescent="0.2">
      <c r="A7723">
        <v>7662</v>
      </c>
      <c r="B7723" s="1821">
        <f>'Rest Tax Levies-Tort Im 25'!K15</f>
        <v>0</v>
      </c>
      <c r="D7723" s="2" t="str">
        <f t="shared" si="126"/>
        <v>Error?</v>
      </c>
      <c r="E7723" s="2" t="s">
        <v>822</v>
      </c>
    </row>
    <row r="7724" spans="1:6" x14ac:dyDescent="0.2">
      <c r="A7724">
        <v>7663</v>
      </c>
      <c r="B7724" s="1821">
        <f>'Rest Tax Levies-Tort Im 25'!J18</f>
        <v>0</v>
      </c>
      <c r="D7724" s="2" t="str">
        <f t="shared" si="126"/>
        <v>Error?</v>
      </c>
      <c r="E7724" s="2" t="s">
        <v>822</v>
      </c>
      <c r="F7724" s="2"/>
    </row>
    <row r="7725" spans="1:6" x14ac:dyDescent="0.2">
      <c r="A7725">
        <v>7664</v>
      </c>
      <c r="B7725" s="1821">
        <f>'Rest Tax Levies-Tort Im 25'!J19</f>
        <v>0</v>
      </c>
      <c r="D7725" s="2" t="str">
        <f t="shared" si="126"/>
        <v>Error?</v>
      </c>
      <c r="E7725" s="2" t="s">
        <v>822</v>
      </c>
    </row>
    <row r="7726" spans="1:6" x14ac:dyDescent="0.2">
      <c r="A7726">
        <v>7665</v>
      </c>
      <c r="B7726" s="1821">
        <f>'Rest Tax Levies-Tort Im 25'!J20</f>
        <v>0</v>
      </c>
      <c r="D7726" s="2" t="str">
        <f t="shared" si="126"/>
        <v>Error?</v>
      </c>
      <c r="E7726" s="2" t="s">
        <v>822</v>
      </c>
    </row>
    <row r="7727" spans="1:6" x14ac:dyDescent="0.2">
      <c r="A7727">
        <v>7666</v>
      </c>
      <c r="B7727" s="1821">
        <f>'Rest Tax Levies-Tort Im 25'!J21</f>
        <v>0</v>
      </c>
      <c r="D7727" s="2" t="str">
        <f t="shared" si="126"/>
        <v>Error?</v>
      </c>
      <c r="E7727" s="2" t="s">
        <v>822</v>
      </c>
    </row>
    <row r="7728" spans="1:6" x14ac:dyDescent="0.2">
      <c r="A7728">
        <v>7667</v>
      </c>
      <c r="B7728" s="1821">
        <f>'Revenues 9-14'!E103</f>
        <v>0</v>
      </c>
      <c r="D7728" s="2" t="str">
        <f t="shared" si="126"/>
        <v>Error?</v>
      </c>
      <c r="E7728" s="2" t="s">
        <v>822</v>
      </c>
    </row>
    <row r="7729" spans="1:6" x14ac:dyDescent="0.2">
      <c r="A7729">
        <v>7668</v>
      </c>
      <c r="B7729" s="1821">
        <f>'Rest Tax Levies-Tort Im 25'!K22</f>
        <v>0</v>
      </c>
      <c r="D7729" s="2" t="str">
        <f t="shared" si="126"/>
        <v>Error?</v>
      </c>
      <c r="E7729" s="2" t="s">
        <v>822</v>
      </c>
    </row>
    <row r="7730" spans="1:6" x14ac:dyDescent="0.2">
      <c r="A7730">
        <v>7669</v>
      </c>
      <c r="B7730" s="1821">
        <f>'Rest Tax Levies-Tort Im 25'!J23</f>
        <v>0</v>
      </c>
      <c r="D7730" s="2" t="str">
        <f t="shared" si="126"/>
        <v>Error?</v>
      </c>
      <c r="E7730" s="2" t="s">
        <v>822</v>
      </c>
    </row>
    <row r="7731" spans="1:6" x14ac:dyDescent="0.2">
      <c r="A7731">
        <v>7670</v>
      </c>
      <c r="B7731" s="1821">
        <f>'Revenues 9-14'!H103</f>
        <v>0</v>
      </c>
      <c r="D7731" s="2" t="str">
        <f t="shared" si="126"/>
        <v>Error?</v>
      </c>
      <c r="E7731" s="2" t="s">
        <v>822</v>
      </c>
    </row>
    <row r="7732" spans="1:6" x14ac:dyDescent="0.2">
      <c r="A7732">
        <v>7671</v>
      </c>
      <c r="B7732" s="1821">
        <f>'Rest Tax Levies-Tort Im 25'!J24</f>
        <v>0</v>
      </c>
      <c r="D7732" s="2" t="str">
        <f t="shared" si="126"/>
        <v>Error?</v>
      </c>
      <c r="E7732" s="2" t="s">
        <v>822</v>
      </c>
    </row>
    <row r="7733" spans="1:6" x14ac:dyDescent="0.2">
      <c r="A7733">
        <v>7672</v>
      </c>
      <c r="B7733" s="1821">
        <f>'Rest Tax Levies-Tort Im 25'!K24</f>
        <v>0</v>
      </c>
      <c r="D7733" s="2" t="str">
        <f t="shared" si="126"/>
        <v>Error?</v>
      </c>
      <c r="E7733" s="2" t="s">
        <v>822</v>
      </c>
    </row>
    <row r="7734" spans="1:6" x14ac:dyDescent="0.2">
      <c r="A7734">
        <v>7673</v>
      </c>
      <c r="B7734" s="1821">
        <f>'Rest Tax Levies-Tort Im 25'!G25</f>
        <v>0</v>
      </c>
      <c r="D7734" s="2" t="str">
        <f t="shared" si="126"/>
        <v>Error?</v>
      </c>
      <c r="E7734" s="2" t="s">
        <v>822</v>
      </c>
    </row>
    <row r="7735" spans="1:6" x14ac:dyDescent="0.2">
      <c r="A7735">
        <v>7674</v>
      </c>
      <c r="B7735" s="1821">
        <f>'Rest Tax Levies-Tort Im 25'!H25</f>
        <v>0</v>
      </c>
      <c r="D7735" s="2" t="str">
        <f t="shared" si="126"/>
        <v>Error?</v>
      </c>
      <c r="E7735" s="2" t="s">
        <v>822</v>
      </c>
    </row>
    <row r="7736" spans="1:6" x14ac:dyDescent="0.2">
      <c r="A7736">
        <v>7675</v>
      </c>
      <c r="B7736" s="1821">
        <f>'Rest Tax Levies-Tort Im 25'!I25</f>
        <v>0</v>
      </c>
      <c r="D7736" s="2" t="str">
        <f t="shared" si="126"/>
        <v>Error?</v>
      </c>
      <c r="E7736" s="2" t="s">
        <v>822</v>
      </c>
    </row>
    <row r="7737" spans="1:6" x14ac:dyDescent="0.2">
      <c r="A7737">
        <v>7676</v>
      </c>
      <c r="B7737" s="1821">
        <f>'Rest Tax Levies-Tort Im 25'!J25</f>
        <v>0</v>
      </c>
      <c r="D7737" s="2" t="str">
        <f t="shared" si="126"/>
        <v>Error?</v>
      </c>
      <c r="E7737" s="2" t="s">
        <v>822</v>
      </c>
    </row>
    <row r="7738" spans="1:6" x14ac:dyDescent="0.2">
      <c r="A7738">
        <v>7677</v>
      </c>
      <c r="B7738" s="1821">
        <f>'Rest Tax Levies-Tort Im 25'!K25</f>
        <v>0</v>
      </c>
      <c r="D7738" s="2" t="str">
        <f t="shared" si="126"/>
        <v>Error?</v>
      </c>
      <c r="E7738" s="2" t="s">
        <v>822</v>
      </c>
    </row>
    <row r="7739" spans="1:6" x14ac:dyDescent="0.2">
      <c r="A7739">
        <v>7678</v>
      </c>
      <c r="B7739" s="1821">
        <f>'Rest Tax Levies-Tort Im 25'!G26</f>
        <v>0</v>
      </c>
      <c r="D7739" s="2" t="str">
        <f t="shared" si="126"/>
        <v>Error?</v>
      </c>
      <c r="E7739" s="2" t="s">
        <v>822</v>
      </c>
    </row>
    <row r="7740" spans="1:6" x14ac:dyDescent="0.2">
      <c r="A7740">
        <v>7679</v>
      </c>
      <c r="B7740" s="1821">
        <f>'Rest Tax Levies-Tort Im 25'!H26</f>
        <v>0</v>
      </c>
      <c r="D7740" s="2" t="str">
        <f t="shared" si="126"/>
        <v>Error?</v>
      </c>
      <c r="E7740" s="2" t="s">
        <v>822</v>
      </c>
    </row>
    <row r="7741" spans="1:6" x14ac:dyDescent="0.2">
      <c r="A7741">
        <v>7680</v>
      </c>
      <c r="B7741" s="1821">
        <f>'Rest Tax Levies-Tort Im 25'!I26</f>
        <v>0</v>
      </c>
      <c r="D7741" s="2" t="str">
        <f t="shared" si="126"/>
        <v>Error?</v>
      </c>
      <c r="E7741" s="2" t="s">
        <v>822</v>
      </c>
    </row>
    <row r="7742" spans="1:6" x14ac:dyDescent="0.2">
      <c r="A7742">
        <v>7681</v>
      </c>
      <c r="B7742" s="1821">
        <f>'Rest Tax Levies-Tort Im 25'!J26</f>
        <v>0</v>
      </c>
      <c r="D7742" s="2" t="str">
        <f t="shared" si="126"/>
        <v>Error?</v>
      </c>
      <c r="E7742" s="2" t="s">
        <v>822</v>
      </c>
    </row>
    <row r="7743" spans="1:6" x14ac:dyDescent="0.2">
      <c r="A7743">
        <v>7682</v>
      </c>
      <c r="B7743" s="1821">
        <f>'Rest Tax Levies-Tort Im 25'!K26</f>
        <v>0</v>
      </c>
      <c r="D7743" s="2" t="str">
        <f t="shared" ref="D7743:D7806" si="127">IF(ISBLANK(B7743),"OK",IF(A7743-B7743=0,"OK","Error?"))</f>
        <v>Error?</v>
      </c>
      <c r="E7743" s="2" t="s">
        <v>822</v>
      </c>
    </row>
    <row r="7744" spans="1:6" x14ac:dyDescent="0.2">
      <c r="A7744" s="126">
        <v>7683</v>
      </c>
      <c r="B7744" s="1821"/>
      <c r="D7744" s="2" t="str">
        <f t="shared" si="127"/>
        <v>OK</v>
      </c>
      <c r="E7744" s="4" t="s">
        <v>1323</v>
      </c>
      <c r="F7744" s="1"/>
    </row>
    <row r="7745" spans="1:6" x14ac:dyDescent="0.2">
      <c r="A7745">
        <v>7684</v>
      </c>
      <c r="B7745" s="1821">
        <f>'Expenditures 15-22'!H364</f>
        <v>0</v>
      </c>
      <c r="D7745" s="2" t="str">
        <f t="shared" si="127"/>
        <v>Error?</v>
      </c>
      <c r="E7745" s="2" t="s">
        <v>822</v>
      </c>
    </row>
    <row r="7746" spans="1:6" x14ac:dyDescent="0.2">
      <c r="A7746">
        <v>7685</v>
      </c>
      <c r="B7746" s="1821">
        <f>'Expenditures 15-22'!K364</f>
        <v>0</v>
      </c>
      <c r="D7746" s="2" t="str">
        <f t="shared" si="127"/>
        <v>Error?</v>
      </c>
      <c r="E7746" s="2" t="s">
        <v>822</v>
      </c>
    </row>
    <row r="7747" spans="1:6" x14ac:dyDescent="0.2">
      <c r="A7747">
        <v>7686</v>
      </c>
      <c r="B7747" s="1821">
        <f>'Revenues 9-14'!E266</f>
        <v>0</v>
      </c>
      <c r="D7747" s="2" t="str">
        <f t="shared" si="127"/>
        <v>Error?</v>
      </c>
      <c r="E7747" s="2" t="s">
        <v>822</v>
      </c>
      <c r="F7747" s="2" t="s">
        <v>823</v>
      </c>
    </row>
    <row r="7748" spans="1:6" x14ac:dyDescent="0.2">
      <c r="A7748">
        <v>7687</v>
      </c>
      <c r="B7748" s="1821">
        <f>'Acct Summary 7-8'!C25</f>
        <v>0</v>
      </c>
      <c r="D7748" s="2" t="str">
        <f t="shared" si="127"/>
        <v>Error?</v>
      </c>
      <c r="E7748" s="4" t="s">
        <v>1322</v>
      </c>
    </row>
    <row r="7749" spans="1:6" x14ac:dyDescent="0.2">
      <c r="A7749">
        <v>7688</v>
      </c>
      <c r="B7749" s="1821">
        <f>'Acct Summary 7-8'!D25</f>
        <v>0</v>
      </c>
      <c r="D7749" s="2" t="str">
        <f t="shared" si="127"/>
        <v>Error?</v>
      </c>
      <c r="E7749" s="4" t="s">
        <v>1322</v>
      </c>
    </row>
    <row r="7750" spans="1:6" x14ac:dyDescent="0.2">
      <c r="A7750">
        <v>7689</v>
      </c>
      <c r="B7750" s="1821">
        <f>'Acct Summary 7-8'!E25</f>
        <v>0</v>
      </c>
      <c r="D7750" s="2" t="str">
        <f t="shared" si="127"/>
        <v>Error?</v>
      </c>
      <c r="E7750" s="4" t="s">
        <v>1322</v>
      </c>
    </row>
    <row r="7751" spans="1:6" x14ac:dyDescent="0.2">
      <c r="A7751">
        <v>7690</v>
      </c>
      <c r="B7751" s="1821">
        <f>'Acct Summary 7-8'!F25</f>
        <v>0</v>
      </c>
      <c r="D7751" s="2" t="str">
        <f t="shared" si="127"/>
        <v>Error?</v>
      </c>
      <c r="E7751" s="4" t="s">
        <v>1322</v>
      </c>
    </row>
    <row r="7752" spans="1:6" x14ac:dyDescent="0.2">
      <c r="A7752">
        <v>7691</v>
      </c>
      <c r="B7752" s="1821">
        <f>'Acct Summary 7-8'!G25</f>
        <v>0</v>
      </c>
      <c r="D7752" s="2" t="str">
        <f t="shared" si="127"/>
        <v>Error?</v>
      </c>
      <c r="E7752" s="4" t="s">
        <v>1322</v>
      </c>
    </row>
    <row r="7753" spans="1:6" x14ac:dyDescent="0.2">
      <c r="A7753">
        <v>7692</v>
      </c>
      <c r="B7753" s="1821">
        <f>'Acct Summary 7-8'!H25</f>
        <v>0</v>
      </c>
      <c r="D7753" s="2" t="str">
        <f t="shared" si="127"/>
        <v>Error?</v>
      </c>
      <c r="E7753" s="4" t="s">
        <v>1322</v>
      </c>
    </row>
    <row r="7754" spans="1:6" x14ac:dyDescent="0.2">
      <c r="A7754">
        <v>7693</v>
      </c>
      <c r="B7754" s="1821">
        <f>'Acct Summary 7-8'!J25</f>
        <v>0</v>
      </c>
      <c r="D7754" s="2" t="str">
        <f t="shared" si="127"/>
        <v>Error?</v>
      </c>
      <c r="E7754" s="4" t="s">
        <v>1322</v>
      </c>
    </row>
    <row r="7755" spans="1:6" x14ac:dyDescent="0.2">
      <c r="A7755">
        <v>7694</v>
      </c>
      <c r="B7755" s="1821">
        <f>'Acct Summary 7-8'!K25</f>
        <v>0</v>
      </c>
      <c r="D7755" s="2" t="str">
        <f t="shared" si="127"/>
        <v>Error?</v>
      </c>
      <c r="E7755" s="4" t="s">
        <v>1322</v>
      </c>
    </row>
    <row r="7756" spans="1:6" x14ac:dyDescent="0.2">
      <c r="A7756" s="126">
        <v>7695</v>
      </c>
      <c r="B7756" s="1821"/>
      <c r="D7756" s="2" t="str">
        <f t="shared" si="127"/>
        <v>OK</v>
      </c>
      <c r="E7756" s="4" t="s">
        <v>1322</v>
      </c>
      <c r="F7756" t="s">
        <v>1428</v>
      </c>
    </row>
    <row r="7757" spans="1:6" x14ac:dyDescent="0.2">
      <c r="A7757" s="126">
        <v>7696</v>
      </c>
      <c r="B7757" s="1821"/>
      <c r="D7757" s="2" t="str">
        <f t="shared" si="127"/>
        <v>OK</v>
      </c>
      <c r="E7757" s="4" t="s">
        <v>1322</v>
      </c>
      <c r="F7757" t="s">
        <v>1428</v>
      </c>
    </row>
    <row r="7758" spans="1:6" x14ac:dyDescent="0.2">
      <c r="A7758">
        <v>7697</v>
      </c>
      <c r="B7758" s="1821">
        <f>'Aud Quest 2'!J85</f>
        <v>0</v>
      </c>
      <c r="D7758" s="2" t="str">
        <f t="shared" si="127"/>
        <v>Error?</v>
      </c>
      <c r="E7758" s="4" t="s">
        <v>1322</v>
      </c>
    </row>
    <row r="7759" spans="1:6" x14ac:dyDescent="0.2">
      <c r="A7759">
        <v>7698</v>
      </c>
      <c r="B7759" s="1821">
        <f>'Aud Quest 2'!J88</f>
        <v>0</v>
      </c>
      <c r="D7759" s="2" t="str">
        <f t="shared" si="127"/>
        <v>Error?</v>
      </c>
      <c r="E7759" s="4" t="s">
        <v>1322</v>
      </c>
    </row>
    <row r="7760" spans="1:6" x14ac:dyDescent="0.2">
      <c r="A7760">
        <v>7699</v>
      </c>
      <c r="B7760" s="1821">
        <f>'Aud Quest 2'!J90</f>
        <v>0</v>
      </c>
      <c r="D7760" s="2" t="str">
        <f t="shared" si="127"/>
        <v>Error?</v>
      </c>
      <c r="E7760" s="4" t="s">
        <v>1322</v>
      </c>
    </row>
    <row r="7761" spans="1:5" x14ac:dyDescent="0.2">
      <c r="A7761">
        <v>7700</v>
      </c>
      <c r="B7761" s="1821">
        <f>'Revenues 9-14'!C253</f>
        <v>0</v>
      </c>
      <c r="D7761" s="2" t="str">
        <f t="shared" si="127"/>
        <v>Error?</v>
      </c>
      <c r="E7761" s="4" t="s">
        <v>1405</v>
      </c>
    </row>
    <row r="7762" spans="1:5" x14ac:dyDescent="0.2">
      <c r="A7762">
        <v>7701</v>
      </c>
      <c r="B7762" s="1821">
        <f>'Expenditures 15-22'!E6</f>
        <v>0</v>
      </c>
      <c r="D7762" s="2" t="str">
        <f t="shared" si="127"/>
        <v>Error?</v>
      </c>
      <c r="E7762" s="4" t="s">
        <v>1415</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1443</v>
      </c>
    </row>
    <row r="7765" spans="1:5" x14ac:dyDescent="0.2">
      <c r="A7765">
        <v>7704</v>
      </c>
      <c r="B7765" s="1821">
        <f>'Revenues 9-14'!C254</f>
        <v>0</v>
      </c>
      <c r="D7765" s="2" t="str">
        <f t="shared" si="127"/>
        <v>Error?</v>
      </c>
      <c r="E7765" s="4" t="s">
        <v>1447</v>
      </c>
    </row>
    <row r="7766" spans="1:5" x14ac:dyDescent="0.2">
      <c r="A7766">
        <v>7705</v>
      </c>
      <c r="B7766" s="1821">
        <f>'Revenues 9-14'!D254</f>
        <v>0</v>
      </c>
      <c r="D7766" s="2" t="str">
        <f t="shared" si="127"/>
        <v>Error?</v>
      </c>
      <c r="E7766" s="4" t="s">
        <v>1447</v>
      </c>
    </row>
    <row r="7767" spans="1:5" x14ac:dyDescent="0.2">
      <c r="A7767" s="126">
        <v>7706</v>
      </c>
      <c r="B7767" s="1821"/>
      <c r="D7767" s="4" t="s">
        <v>1994</v>
      </c>
      <c r="E7767" s="4"/>
    </row>
    <row r="7768" spans="1:5" x14ac:dyDescent="0.2">
      <c r="A7768">
        <v>7707</v>
      </c>
      <c r="B7768" s="1821">
        <f>'Revenues 9-14'!F254</f>
        <v>0</v>
      </c>
      <c r="D7768" s="2" t="str">
        <f t="shared" si="127"/>
        <v>Error?</v>
      </c>
      <c r="E7768" s="4" t="s">
        <v>1447</v>
      </c>
    </row>
    <row r="7769" spans="1:5" x14ac:dyDescent="0.2">
      <c r="A7769">
        <v>7708</v>
      </c>
      <c r="B7769" s="1821">
        <f>'Revenues 9-14'!G254</f>
        <v>0</v>
      </c>
      <c r="D7769" s="2" t="str">
        <f t="shared" si="127"/>
        <v>Error?</v>
      </c>
      <c r="E7769" s="4" t="s">
        <v>1447</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1448</v>
      </c>
    </row>
    <row r="7773" spans="1:5" x14ac:dyDescent="0.2">
      <c r="A7773">
        <v>7712</v>
      </c>
      <c r="B7773" s="1821">
        <f>'Rest Tax Levies-Tort Im 25'!J22</f>
        <v>0</v>
      </c>
      <c r="D7773" s="2" t="str">
        <f t="shared" si="127"/>
        <v>Error?</v>
      </c>
      <c r="E7773" s="4" t="s">
        <v>1536</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5890000</v>
      </c>
      <c r="D7817" s="2" t="str">
        <f t="shared" si="128"/>
        <v>Error?</v>
      </c>
      <c r="E7817" s="4" t="s">
        <v>1963</v>
      </c>
    </row>
    <row r="7818" spans="1:5" x14ac:dyDescent="0.2">
      <c r="A7818">
        <v>7757</v>
      </c>
      <c r="B7818" s="1821">
        <f>'PCTC-OEPP 27-28'!F172</f>
        <v>1966511.32</v>
      </c>
      <c r="D7818" s="2" t="str">
        <f t="shared" si="128"/>
        <v>Error?</v>
      </c>
      <c r="E7818" s="4" t="s">
        <v>1977</v>
      </c>
    </row>
    <row r="7819" spans="1:5" x14ac:dyDescent="0.2">
      <c r="A7819">
        <v>7758</v>
      </c>
      <c r="B7819" s="1821">
        <f>'PCTC-OEPP 27-28'!F173</f>
        <v>261424.03</v>
      </c>
      <c r="D7819" s="2" t="str">
        <f t="shared" si="128"/>
        <v>Error?</v>
      </c>
      <c r="E7819" s="4" t="s">
        <v>1977</v>
      </c>
    </row>
    <row r="7820" spans="1:5" x14ac:dyDescent="0.2">
      <c r="A7820">
        <v>7759</v>
      </c>
      <c r="B7820" s="1821">
        <f>'ICR Computation 30'!E40</f>
        <v>-875033</v>
      </c>
      <c r="D7820" s="2" t="str">
        <f t="shared" si="128"/>
        <v>Error?</v>
      </c>
    </row>
    <row r="7821" spans="1:5" x14ac:dyDescent="0.2">
      <c r="A7821">
        <v>7760</v>
      </c>
      <c r="B7821" s="1821">
        <f>'ICR Computation 30'!G40</f>
        <v>-875033</v>
      </c>
      <c r="D7821" s="2" t="str">
        <f t="shared" si="128"/>
        <v>Error?</v>
      </c>
    </row>
    <row r="7822" spans="1:5" x14ac:dyDescent="0.2">
      <c r="A7822" s="1">
        <v>7761</v>
      </c>
      <c r="B7822" s="1821">
        <f>'PCTC-OEPP 27-28'!F14</f>
        <v>67636543</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8294894</v>
      </c>
      <c r="D7826" s="2" t="str">
        <f t="shared" si="129"/>
        <v>Error?</v>
      </c>
      <c r="E7826" s="4" t="s">
        <v>1995</v>
      </c>
    </row>
    <row r="7827" spans="1:5" x14ac:dyDescent="0.2">
      <c r="A7827">
        <v>7766</v>
      </c>
      <c r="B7827" s="1821">
        <f>'PCTC-OEPP 27-28'!F35</f>
        <v>0</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4462</v>
      </c>
      <c r="D7830" s="2" t="str">
        <f t="shared" si="129"/>
        <v>Error?</v>
      </c>
      <c r="E7830" s="4" t="s">
        <v>1995</v>
      </c>
    </row>
    <row r="7831" spans="1:5" x14ac:dyDescent="0.2">
      <c r="A7831">
        <v>7770</v>
      </c>
      <c r="B7831" s="1821">
        <f>'PCTC-OEPP 27-28'!F52</f>
        <v>54117</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17105357</v>
      </c>
      <c r="D7834" s="2" t="str">
        <f t="shared" si="129"/>
        <v>Error?</v>
      </c>
      <c r="E7834" s="4" t="s">
        <v>1995</v>
      </c>
    </row>
    <row r="7835" spans="1:5" x14ac:dyDescent="0.2">
      <c r="A7835">
        <v>7774</v>
      </c>
      <c r="B7835" s="1821">
        <f>'PCTC-OEPP 27-28'!F78</f>
        <v>50531186</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11681.080468804181</v>
      </c>
      <c r="D7837" s="2" t="str">
        <f t="shared" si="129"/>
        <v>Error?</v>
      </c>
      <c r="E7837" s="4" t="s">
        <v>1995</v>
      </c>
    </row>
    <row r="7838" spans="1:5" x14ac:dyDescent="0.2">
      <c r="A7838">
        <v>7777</v>
      </c>
      <c r="B7838" s="1821">
        <f>'PCTC-OEPP 27-28'!F96</f>
        <v>35976</v>
      </c>
      <c r="D7838" s="2" t="str">
        <f t="shared" si="129"/>
        <v>Error?</v>
      </c>
      <c r="E7838" s="4" t="s">
        <v>1995</v>
      </c>
    </row>
    <row r="7839" spans="1:5" x14ac:dyDescent="0.2">
      <c r="A7839">
        <v>7778</v>
      </c>
      <c r="B7839" s="1821">
        <f>'PCTC-OEPP 27-28'!F102</f>
        <v>16768</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1150104</v>
      </c>
      <c r="D7841" s="2" t="str">
        <f t="shared" si="129"/>
        <v>Error?</v>
      </c>
      <c r="E7841" s="4" t="s">
        <v>1995</v>
      </c>
    </row>
    <row r="7842" spans="1:5" x14ac:dyDescent="0.2">
      <c r="A7842">
        <v>7781</v>
      </c>
      <c r="B7842" s="1821">
        <f>'PCTC-OEPP 27-28'!F106</f>
        <v>276761</v>
      </c>
      <c r="D7842" s="2" t="str">
        <f t="shared" si="129"/>
        <v>Error?</v>
      </c>
      <c r="E7842" s="4" t="s">
        <v>1995</v>
      </c>
    </row>
    <row r="7843" spans="1:5" x14ac:dyDescent="0.2">
      <c r="A7843">
        <v>7782</v>
      </c>
      <c r="B7843" s="1821">
        <f>'PCTC-OEPP 27-28'!F107</f>
        <v>0</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1564333</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3458</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821803</v>
      </c>
      <c r="D7858" s="2" t="str">
        <f t="shared" si="129"/>
        <v>Error?</v>
      </c>
      <c r="E7858" s="4" t="s">
        <v>1995</v>
      </c>
    </row>
    <row r="7859" spans="1:5" x14ac:dyDescent="0.2">
      <c r="A7859">
        <v>7798</v>
      </c>
      <c r="B7859" s="1821">
        <f>'PCTC-OEPP 27-28'!F127</f>
        <v>756998</v>
      </c>
      <c r="D7859" s="2" t="str">
        <f t="shared" si="129"/>
        <v>Error?</v>
      </c>
      <c r="E7859" s="4" t="s">
        <v>1995</v>
      </c>
    </row>
    <row r="7860" spans="1:5" x14ac:dyDescent="0.2">
      <c r="A7860">
        <v>7799</v>
      </c>
      <c r="B7860" s="1821">
        <f>'PCTC-OEPP 27-28'!F128</f>
        <v>0</v>
      </c>
      <c r="D7860" s="2" t="str">
        <f t="shared" si="129"/>
        <v>Error?</v>
      </c>
      <c r="E7860" s="4" t="s">
        <v>1995</v>
      </c>
    </row>
    <row r="7861" spans="1:5" x14ac:dyDescent="0.2">
      <c r="A7861">
        <v>7800</v>
      </c>
      <c r="B7861" s="1821">
        <f>'PCTC-OEPP 27-28'!F129</f>
        <v>1032706</v>
      </c>
      <c r="D7861" s="2" t="str">
        <f t="shared" si="129"/>
        <v>Error?</v>
      </c>
      <c r="E7861" s="4" t="s">
        <v>1995</v>
      </c>
    </row>
    <row r="7862" spans="1:5" x14ac:dyDescent="0.2">
      <c r="A7862">
        <v>7801</v>
      </c>
      <c r="B7862" s="1821">
        <f>'PCTC-OEPP 27-28'!F130</f>
        <v>255628</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0</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56846</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117911</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126746</v>
      </c>
      <c r="D7874" s="2" t="str">
        <f t="shared" si="129"/>
        <v>Error?</v>
      </c>
      <c r="E7874" s="4" t="s">
        <v>1995</v>
      </c>
    </row>
    <row r="7875" spans="1:5" x14ac:dyDescent="0.2">
      <c r="A7875">
        <v>7814</v>
      </c>
      <c r="B7875" s="1821">
        <f>'PCTC-OEPP 27-28'!F170</f>
        <v>382403</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9606523.3499999996</v>
      </c>
      <c r="D7877" s="2" t="str">
        <f t="shared" si="129"/>
        <v>Error?</v>
      </c>
      <c r="E7877" s="4" t="s">
        <v>1995</v>
      </c>
    </row>
    <row r="7878" spans="1:5" x14ac:dyDescent="0.2">
      <c r="A7878">
        <v>7817</v>
      </c>
      <c r="B7878" s="1821">
        <f>'PCTC-OEPP 27-28'!F176</f>
        <v>40924662.649999999</v>
      </c>
      <c r="D7878" s="2" t="str">
        <f t="shared" si="129"/>
        <v>Error?</v>
      </c>
      <c r="E7878" s="4" t="s">
        <v>1995</v>
      </c>
    </row>
    <row r="7879" spans="1:5" x14ac:dyDescent="0.2">
      <c r="A7879">
        <v>7818</v>
      </c>
      <c r="B7879" s="1821">
        <f>'PCTC-OEPP 27-28'!F178</f>
        <v>44666282.850000001</v>
      </c>
      <c r="D7879" s="2" t="str">
        <f t="shared" si="129"/>
        <v>Error?</v>
      </c>
      <c r="E7879" s="4" t="s">
        <v>1995</v>
      </c>
    </row>
    <row r="7880" spans="1:5" x14ac:dyDescent="0.2">
      <c r="A7880">
        <v>7819</v>
      </c>
      <c r="B7880" s="1821">
        <f>'PCTC-OEPP 27-28'!F180</f>
        <v>10325.315622182668</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1200000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2" t="s">
        <v>1181</v>
      </c>
      <c r="B2" s="2542"/>
      <c r="C2" s="2542"/>
      <c r="D2" s="2542"/>
      <c r="E2" s="2542"/>
      <c r="F2" s="2542"/>
      <c r="G2" s="2542"/>
      <c r="H2" s="2542"/>
      <c r="I2" s="2542"/>
      <c r="J2" s="2542"/>
      <c r="K2" s="2542"/>
      <c r="L2" s="2542"/>
    </row>
    <row r="3" spans="1:29" ht="13.5" customHeight="1" x14ac:dyDescent="0.2">
      <c r="A3" s="2574" t="s">
        <v>1180</v>
      </c>
      <c r="B3" s="2574"/>
      <c r="C3" s="2574"/>
      <c r="D3" s="2574"/>
      <c r="E3" s="2574"/>
      <c r="F3" s="2574"/>
      <c r="G3" s="2574"/>
      <c r="H3" s="2574"/>
      <c r="I3" s="2574"/>
      <c r="J3" s="2574"/>
      <c r="K3" s="2574"/>
      <c r="L3" s="2574"/>
    </row>
    <row r="4" spans="1:29" ht="13.5" customHeight="1" x14ac:dyDescent="0.2">
      <c r="A4" s="2563" t="str">
        <f>"Year Ending June 30, "&amp;'AFR20'!E2</f>
        <v>Year Ending June 30, 2020</v>
      </c>
      <c r="B4" s="2564"/>
      <c r="C4" s="2564"/>
      <c r="D4" s="2564"/>
      <c r="E4" s="2564"/>
      <c r="F4" s="2564"/>
      <c r="G4" s="2564"/>
      <c r="H4" s="2564"/>
      <c r="I4" s="2564"/>
      <c r="J4" s="2564"/>
      <c r="K4" s="2564"/>
      <c r="L4" s="2564"/>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1179</v>
      </c>
      <c r="B6" s="957"/>
      <c r="C6" s="958"/>
      <c r="D6" s="958"/>
      <c r="E6" s="959" t="s">
        <v>1178</v>
      </c>
      <c r="F6" s="960"/>
      <c r="G6" s="961" t="s">
        <v>1177</v>
      </c>
      <c r="H6" s="958"/>
      <c r="I6" s="958"/>
      <c r="J6" s="958"/>
      <c r="K6" s="958"/>
      <c r="L6" s="962"/>
      <c r="V6" s="955"/>
      <c r="W6" s="955"/>
      <c r="X6" s="955"/>
      <c r="Y6" s="955"/>
      <c r="Z6" s="955"/>
      <c r="AA6" s="955"/>
      <c r="AB6" s="955"/>
      <c r="AC6" s="955"/>
    </row>
    <row r="7" spans="1:29" ht="16.5" customHeight="1" x14ac:dyDescent="0.2">
      <c r="A7" s="2565" t="str">
        <f>COVER!A17</f>
        <v xml:space="preserve">  McHenry CCSD 15</v>
      </c>
      <c r="B7" s="2566"/>
      <c r="C7" s="2566"/>
      <c r="D7" s="2567"/>
      <c r="E7" s="2568">
        <f>COVER!A13</f>
        <v>44063015004</v>
      </c>
      <c r="F7" s="2569"/>
      <c r="G7" s="2575" t="str">
        <f>COVER!T23</f>
        <v>066-005142</v>
      </c>
      <c r="H7" s="2576"/>
      <c r="I7" s="2576"/>
      <c r="J7" s="2576"/>
      <c r="K7" s="2576"/>
      <c r="L7" s="2577"/>
    </row>
    <row r="8" spans="1:29" ht="13.5" customHeight="1" x14ac:dyDescent="0.2">
      <c r="A8" s="956" t="s">
        <v>1500</v>
      </c>
      <c r="B8" s="957"/>
      <c r="C8" s="958"/>
      <c r="D8" s="958"/>
      <c r="E8" s="963"/>
      <c r="F8" s="962"/>
      <c r="G8" s="964" t="s">
        <v>1176</v>
      </c>
      <c r="H8" s="965"/>
      <c r="I8" s="965"/>
      <c r="J8" s="965"/>
      <c r="K8" s="965"/>
      <c r="L8" s="966"/>
    </row>
    <row r="9" spans="1:29" ht="13.5" customHeight="1" x14ac:dyDescent="0.2">
      <c r="A9" s="2578"/>
      <c r="B9" s="2579"/>
      <c r="C9" s="2579"/>
      <c r="D9" s="2579"/>
      <c r="E9" s="2579"/>
      <c r="F9" s="2580"/>
      <c r="G9" s="2548" t="str">
        <f>COVER!T13</f>
        <v>EDER, CASELLA &amp; CO.</v>
      </c>
      <c r="H9" s="2581"/>
      <c r="I9" s="2581"/>
      <c r="J9" s="2581"/>
      <c r="K9" s="2581"/>
      <c r="L9" s="2582"/>
    </row>
    <row r="10" spans="1:29" ht="13.5" customHeight="1" x14ac:dyDescent="0.2">
      <c r="A10" s="2554">
        <f>COVER!A38</f>
        <v>0</v>
      </c>
      <c r="B10" s="2555"/>
      <c r="C10" s="2555"/>
      <c r="D10" s="2555"/>
      <c r="E10" s="2555"/>
      <c r="F10" s="2556"/>
      <c r="G10" s="2548" t="str">
        <f>COVER!T17</f>
        <v>5400 WEST ELM STREET, SUITE 203</v>
      </c>
      <c r="H10" s="2549"/>
      <c r="I10" s="2549"/>
      <c r="J10" s="2549"/>
      <c r="K10" s="2549"/>
      <c r="L10" s="2550"/>
    </row>
    <row r="11" spans="1:29" ht="13.5" customHeight="1" x14ac:dyDescent="0.2">
      <c r="A11" s="956" t="s">
        <v>1502</v>
      </c>
      <c r="B11" s="957"/>
      <c r="C11" s="958"/>
      <c r="D11" s="963"/>
      <c r="E11" s="958"/>
      <c r="F11" s="962"/>
      <c r="G11" s="2548" t="str">
        <f>COVER!T19</f>
        <v>MCHENRY</v>
      </c>
      <c r="H11" s="2549"/>
      <c r="I11" s="2549"/>
      <c r="J11" s="2549"/>
      <c r="K11" s="2549"/>
      <c r="L11" s="2550"/>
    </row>
    <row r="12" spans="1:29" ht="13.5" customHeight="1" x14ac:dyDescent="0.2">
      <c r="A12" s="2557" t="s">
        <v>1501</v>
      </c>
      <c r="B12" s="2558"/>
      <c r="C12" s="2558"/>
      <c r="D12" s="2558"/>
      <c r="E12" s="2558"/>
      <c r="F12" s="2559"/>
      <c r="G12" s="2551"/>
      <c r="H12" s="2552"/>
      <c r="I12" s="2552"/>
      <c r="J12" s="2552"/>
      <c r="K12" s="2552"/>
      <c r="L12" s="2553"/>
    </row>
    <row r="13" spans="1:29" ht="13.5" customHeight="1" x14ac:dyDescent="0.2">
      <c r="A13" s="2548"/>
      <c r="B13" s="2549"/>
      <c r="C13" s="2549"/>
      <c r="D13" s="2549"/>
      <c r="E13" s="2549"/>
      <c r="F13" s="2550"/>
      <c r="G13" s="2543" t="s">
        <v>1503</v>
      </c>
      <c r="H13" s="2544"/>
      <c r="I13" s="2560" t="str">
        <f>COVER!T25</f>
        <v>CPAS@EDERCASELLA.COM</v>
      </c>
      <c r="J13" s="2561"/>
      <c r="K13" s="2561"/>
      <c r="L13" s="2562"/>
    </row>
    <row r="14" spans="1:29" ht="13.5" customHeight="1" x14ac:dyDescent="0.2">
      <c r="A14" s="2548" t="str">
        <f>COVER!A19</f>
        <v>1011 North Green Street</v>
      </c>
      <c r="B14" s="2549"/>
      <c r="C14" s="2549"/>
      <c r="D14" s="2549"/>
      <c r="E14" s="2549"/>
      <c r="F14" s="2550"/>
      <c r="G14" s="967" t="s">
        <v>1175</v>
      </c>
      <c r="H14" s="965"/>
      <c r="I14" s="965"/>
      <c r="J14" s="965"/>
      <c r="K14" s="965"/>
      <c r="L14" s="966"/>
    </row>
    <row r="15" spans="1:29" ht="13.5" customHeight="1" x14ac:dyDescent="0.2">
      <c r="A15" s="2548" t="str">
        <f>COVER!A21</f>
        <v>McHenry</v>
      </c>
      <c r="B15" s="2549"/>
      <c r="C15" s="2549"/>
      <c r="D15" s="2549"/>
      <c r="E15" s="2549"/>
      <c r="F15" s="2550"/>
      <c r="G15" s="2545" t="str">
        <f>COVER!T15</f>
        <v>Kevin Smith</v>
      </c>
      <c r="H15" s="2546"/>
      <c r="I15" s="2546"/>
      <c r="J15" s="2546"/>
      <c r="K15" s="2546"/>
      <c r="L15" s="2547"/>
    </row>
    <row r="16" spans="1:29" ht="12.2" customHeight="1" x14ac:dyDescent="0.2">
      <c r="A16" s="2571">
        <f>COVER!A25</f>
        <v>60050</v>
      </c>
      <c r="B16" s="2572"/>
      <c r="C16" s="2572"/>
      <c r="D16" s="2572"/>
      <c r="E16" s="2572"/>
      <c r="F16" s="2573"/>
      <c r="G16" s="2583"/>
      <c r="H16" s="2584"/>
      <c r="I16" s="2584"/>
      <c r="J16" s="2584"/>
      <c r="K16" s="2584"/>
      <c r="L16" s="2585"/>
    </row>
    <row r="17" spans="1:13" ht="12.2" customHeight="1" x14ac:dyDescent="0.2">
      <c r="A17" s="2586"/>
      <c r="B17" s="2572"/>
      <c r="C17" s="2572"/>
      <c r="D17" s="2572"/>
      <c r="E17" s="2572"/>
      <c r="F17" s="2573"/>
      <c r="G17" s="967" t="s">
        <v>1174</v>
      </c>
      <c r="H17" s="965"/>
      <c r="I17" s="965"/>
      <c r="J17" s="965"/>
      <c r="K17" s="969" t="s">
        <v>1173</v>
      </c>
      <c r="L17" s="962"/>
      <c r="M17" s="955"/>
    </row>
    <row r="18" spans="1:13" ht="12.2" customHeight="1" x14ac:dyDescent="0.2">
      <c r="A18" s="2554"/>
      <c r="B18" s="2555"/>
      <c r="C18" s="2555"/>
      <c r="D18" s="2555"/>
      <c r="E18" s="2555"/>
      <c r="F18" s="2556"/>
      <c r="G18" s="2565" t="str">
        <f>COVER!T21</f>
        <v>815-344-1300</v>
      </c>
      <c r="H18" s="2566"/>
      <c r="I18" s="2566"/>
      <c r="J18" s="2566"/>
      <c r="K18" s="2565" t="str">
        <f>COVER!X21</f>
        <v>815-344-1320</v>
      </c>
      <c r="L18" s="2570"/>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1159</v>
      </c>
      <c r="K20" s="948" t="s">
        <v>1159</v>
      </c>
    </row>
    <row r="21" spans="1:13" ht="12.2" customHeight="1" x14ac:dyDescent="0.2">
      <c r="A21" s="971" t="s">
        <v>1676</v>
      </c>
    </row>
    <row r="22" spans="1:13" ht="12.2" customHeight="1" x14ac:dyDescent="0.2">
      <c r="A22" s="972"/>
    </row>
    <row r="23" spans="1:13" ht="12.2" customHeight="1" x14ac:dyDescent="0.2">
      <c r="A23" s="972"/>
      <c r="B23" s="973" t="s">
        <v>2029</v>
      </c>
      <c r="C23" s="974" t="s">
        <v>1172</v>
      </c>
    </row>
    <row r="24" spans="1:13" ht="10.15" customHeight="1" x14ac:dyDescent="0.2">
      <c r="A24" s="972"/>
      <c r="C24" s="974" t="s">
        <v>1171</v>
      </c>
    </row>
    <row r="25" spans="1:13" ht="9" customHeight="1" x14ac:dyDescent="0.2">
      <c r="B25" s="975" t="s">
        <v>1159</v>
      </c>
      <c r="C25" s="976"/>
    </row>
    <row r="26" spans="1:13" s="970" customFormat="1" ht="12.2" customHeight="1" x14ac:dyDescent="0.2">
      <c r="B26" s="973" t="s">
        <v>2029</v>
      </c>
      <c r="C26" s="974" t="s">
        <v>1677</v>
      </c>
    </row>
    <row r="27" spans="1:13" s="970" customFormat="1" ht="9" customHeight="1" x14ac:dyDescent="0.2">
      <c r="B27" s="975"/>
      <c r="C27" s="974"/>
    </row>
    <row r="28" spans="1:13" s="970" customFormat="1" ht="12.2" customHeight="1" x14ac:dyDescent="0.2">
      <c r="A28" s="977"/>
      <c r="B28" s="973" t="s">
        <v>2029</v>
      </c>
      <c r="C28" s="974" t="s">
        <v>1678</v>
      </c>
    </row>
    <row r="29" spans="1:13" s="970" customFormat="1" ht="9" customHeight="1" x14ac:dyDescent="0.2">
      <c r="A29" s="977"/>
      <c r="B29" s="975"/>
      <c r="C29" s="974"/>
    </row>
    <row r="30" spans="1:13" s="970" customFormat="1" ht="12.2" customHeight="1" x14ac:dyDescent="0.2">
      <c r="B30" s="973" t="s">
        <v>2029</v>
      </c>
      <c r="C30" s="974" t="s">
        <v>1545</v>
      </c>
      <c r="D30" s="968"/>
      <c r="E30" s="968"/>
    </row>
    <row r="31" spans="1:13" s="970" customFormat="1" ht="9" customHeight="1" x14ac:dyDescent="0.2">
      <c r="B31" s="975"/>
      <c r="C31" s="974"/>
      <c r="D31" s="968"/>
      <c r="E31" s="968"/>
    </row>
    <row r="32" spans="1:13" s="970" customFormat="1" ht="12.2" customHeight="1" x14ac:dyDescent="0.2">
      <c r="B32" s="973" t="s">
        <v>2029</v>
      </c>
      <c r="C32" s="974" t="s">
        <v>1546</v>
      </c>
      <c r="D32" s="968"/>
      <c r="E32" s="968"/>
    </row>
    <row r="33" spans="1:8" s="970" customFormat="1" ht="10.9" customHeight="1" x14ac:dyDescent="0.2">
      <c r="B33" s="975"/>
      <c r="C33" s="978" t="s">
        <v>1679</v>
      </c>
      <c r="D33" s="968"/>
      <c r="E33" s="968"/>
    </row>
    <row r="34" spans="1:8" ht="9" customHeight="1" x14ac:dyDescent="0.2">
      <c r="B34" s="975"/>
      <c r="C34" s="978"/>
    </row>
    <row r="35" spans="1:8" s="970" customFormat="1" ht="13.5" customHeight="1" x14ac:dyDescent="0.2">
      <c r="B35" s="973" t="s">
        <v>2029</v>
      </c>
      <c r="C35" s="974" t="s">
        <v>1547</v>
      </c>
    </row>
    <row r="36" spans="1:8" s="970" customFormat="1" ht="10.9" customHeight="1" x14ac:dyDescent="0.2">
      <c r="B36" s="975"/>
      <c r="C36" s="978" t="s">
        <v>1548</v>
      </c>
    </row>
    <row r="37" spans="1:8" ht="9" customHeight="1" x14ac:dyDescent="0.2">
      <c r="B37" s="975"/>
      <c r="C37" s="978"/>
    </row>
    <row r="38" spans="1:8" s="970" customFormat="1" ht="12.2" customHeight="1" x14ac:dyDescent="0.2">
      <c r="B38" s="973" t="s">
        <v>2029</v>
      </c>
      <c r="C38" s="974" t="s">
        <v>1549</v>
      </c>
    </row>
    <row r="39" spans="1:8" ht="9" customHeight="1" x14ac:dyDescent="0.2">
      <c r="B39" s="975"/>
      <c r="C39" s="978"/>
    </row>
    <row r="40" spans="1:8" s="970" customFormat="1" ht="13.5" customHeight="1" x14ac:dyDescent="0.2">
      <c r="B40" s="973" t="s">
        <v>2029</v>
      </c>
      <c r="C40" s="974" t="s">
        <v>1550</v>
      </c>
    </row>
    <row r="41" spans="1:8" ht="9" customHeight="1" x14ac:dyDescent="0.2">
      <c r="A41" s="979"/>
      <c r="B41" s="975"/>
      <c r="C41" s="978"/>
    </row>
    <row r="42" spans="1:8" s="970" customFormat="1" ht="13.5" customHeight="1" x14ac:dyDescent="0.2">
      <c r="B42" s="973" t="s">
        <v>2029</v>
      </c>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1170</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1551</v>
      </c>
      <c r="D46" s="968"/>
      <c r="E46" s="968"/>
      <c r="F46" s="968"/>
      <c r="G46" s="968"/>
      <c r="H46" s="968"/>
    </row>
    <row r="47" spans="1:8" ht="9" customHeight="1" x14ac:dyDescent="0.2"/>
    <row r="48" spans="1:8" ht="12.2" customHeight="1" x14ac:dyDescent="0.2">
      <c r="B48" s="1534"/>
      <c r="C48" s="982" t="s">
        <v>1552</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87" t="str">
        <f>'Single Audit Cover'!A7</f>
        <v xml:space="preserve">  McHenry CCSD 15</v>
      </c>
      <c r="B1" s="2588"/>
      <c r="C1" s="2588"/>
      <c r="D1" s="2588"/>
    </row>
    <row r="2" spans="1:11" s="984" customFormat="1" ht="12.75" x14ac:dyDescent="0.2">
      <c r="A2" s="2589">
        <f>'Single Audit Cover'!E7</f>
        <v>44063015004</v>
      </c>
      <c r="B2" s="2590"/>
      <c r="C2" s="2590"/>
      <c r="D2" s="2590"/>
    </row>
    <row r="3" spans="1:11" s="984" customFormat="1" ht="12.75" x14ac:dyDescent="0.2">
      <c r="A3" s="2587" t="s">
        <v>1496</v>
      </c>
      <c r="B3" s="2588"/>
      <c r="C3" s="2588"/>
      <c r="D3" s="2588"/>
    </row>
    <row r="4" spans="1:11" s="984" customFormat="1" ht="4.5" customHeight="1" x14ac:dyDescent="0.2">
      <c r="A4" s="985"/>
      <c r="B4" s="986"/>
      <c r="C4" s="986"/>
      <c r="D4" s="986"/>
    </row>
    <row r="5" spans="1:11" x14ac:dyDescent="0.2">
      <c r="B5" s="988" t="s">
        <v>1497</v>
      </c>
      <c r="C5" s="989"/>
      <c r="D5" s="990"/>
    </row>
    <row r="6" spans="1:11" x14ac:dyDescent="0.2">
      <c r="B6" s="988" t="s">
        <v>1214</v>
      </c>
      <c r="C6" s="989"/>
      <c r="D6" s="990"/>
    </row>
    <row r="7" spans="1:11" x14ac:dyDescent="0.2">
      <c r="B7" s="988" t="s">
        <v>1498</v>
      </c>
      <c r="C7" s="989"/>
      <c r="D7" s="990"/>
    </row>
    <row r="8" spans="1:11" ht="4.5" customHeight="1" x14ac:dyDescent="0.2">
      <c r="B8" s="988"/>
      <c r="C8" s="989"/>
      <c r="D8" s="990"/>
    </row>
    <row r="9" spans="1:11" x14ac:dyDescent="0.2">
      <c r="B9" s="992" t="s">
        <v>1213</v>
      </c>
      <c r="C9" s="993"/>
      <c r="D9" s="990"/>
    </row>
    <row r="10" spans="1:11" ht="4.5" customHeight="1" x14ac:dyDescent="0.2">
      <c r="B10" s="992"/>
      <c r="C10" s="993"/>
      <c r="D10" s="990"/>
    </row>
    <row r="11" spans="1:11" x14ac:dyDescent="0.2">
      <c r="B11" s="994"/>
      <c r="C11" s="995">
        <v>1</v>
      </c>
      <c r="D11" s="996" t="s">
        <v>1680</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1681</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1682</v>
      </c>
      <c r="E15" s="997"/>
      <c r="F15" s="997"/>
      <c r="G15" s="997"/>
      <c r="H15" s="997"/>
      <c r="I15" s="997"/>
      <c r="J15" s="997"/>
      <c r="K15" s="997"/>
    </row>
    <row r="16" spans="1:11" ht="10.5" customHeight="1" x14ac:dyDescent="0.2">
      <c r="B16" s="1000"/>
      <c r="D16" s="999" t="s">
        <v>1212</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1683</v>
      </c>
      <c r="E18" s="997"/>
      <c r="F18" s="997"/>
      <c r="G18" s="997"/>
      <c r="H18" s="997"/>
      <c r="I18" s="997"/>
      <c r="J18" s="997"/>
      <c r="K18" s="997"/>
    </row>
    <row r="19" spans="1:11" ht="9.75" customHeight="1" x14ac:dyDescent="0.2">
      <c r="A19" s="991"/>
      <c r="B19" s="1000"/>
      <c r="D19" s="999" t="s">
        <v>1211</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1210</v>
      </c>
      <c r="E21" s="997"/>
      <c r="F21" s="997"/>
      <c r="G21" s="997"/>
      <c r="H21" s="997"/>
      <c r="I21" s="997"/>
      <c r="J21" s="997"/>
      <c r="K21" s="997"/>
    </row>
    <row r="22" spans="1:11" ht="10.5" customHeight="1" x14ac:dyDescent="0.2">
      <c r="A22" s="991"/>
      <c r="B22" s="1000"/>
      <c r="D22" s="999" t="s">
        <v>1209</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1704</v>
      </c>
      <c r="E24" s="997"/>
      <c r="F24" s="997"/>
      <c r="G24" s="997"/>
      <c r="H24" s="997"/>
      <c r="I24" s="997"/>
      <c r="J24" s="997"/>
      <c r="K24" s="997"/>
    </row>
    <row r="25" spans="1:11" x14ac:dyDescent="0.2">
      <c r="A25" s="991"/>
      <c r="B25" s="1000"/>
      <c r="D25" s="999" t="s">
        <v>1684</v>
      </c>
      <c r="E25" s="997"/>
      <c r="F25" s="997"/>
      <c r="G25" s="997"/>
      <c r="H25" s="997"/>
      <c r="I25" s="997"/>
      <c r="J25" s="997"/>
      <c r="K25" s="997"/>
    </row>
    <row r="26" spans="1:11" x14ac:dyDescent="0.2">
      <c r="A26" s="991"/>
      <c r="B26" s="1000"/>
      <c r="D26" s="1004" t="s">
        <v>1685</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1553</v>
      </c>
      <c r="E28" s="997"/>
      <c r="F28" s="997"/>
      <c r="G28" s="997"/>
      <c r="H28" s="997"/>
      <c r="I28" s="997"/>
      <c r="J28" s="997"/>
      <c r="K28" s="997"/>
    </row>
    <row r="29" spans="1:11" ht="10.5" customHeight="1" x14ac:dyDescent="0.2">
      <c r="A29" s="991"/>
      <c r="D29" s="1005" t="s">
        <v>1554</v>
      </c>
    </row>
    <row r="30" spans="1:11" ht="6" customHeight="1" x14ac:dyDescent="0.2">
      <c r="A30" s="991"/>
      <c r="D30" s="990"/>
    </row>
    <row r="31" spans="1:11" x14ac:dyDescent="0.2">
      <c r="A31" s="991"/>
      <c r="B31" s="992" t="s">
        <v>1208</v>
      </c>
      <c r="C31" s="993"/>
      <c r="D31" s="990"/>
    </row>
    <row r="32" spans="1:11" ht="4.5" customHeight="1" x14ac:dyDescent="0.2">
      <c r="A32" s="991"/>
      <c r="B32" s="992"/>
      <c r="C32" s="993"/>
      <c r="D32" s="990"/>
    </row>
    <row r="33" spans="1:5" x14ac:dyDescent="0.2">
      <c r="A33" s="991"/>
      <c r="B33" s="994"/>
      <c r="C33" s="995">
        <v>8</v>
      </c>
      <c r="D33" s="1006" t="s">
        <v>1207</v>
      </c>
    </row>
    <row r="34" spans="1:5" ht="10.5" customHeight="1" x14ac:dyDescent="0.2">
      <c r="A34" s="991"/>
      <c r="B34" s="1007"/>
      <c r="C34" s="995"/>
      <c r="D34" s="1006" t="s">
        <v>1555</v>
      </c>
    </row>
    <row r="35" spans="1:5" ht="3" customHeight="1" x14ac:dyDescent="0.2">
      <c r="A35" s="991"/>
      <c r="B35" s="1000"/>
      <c r="D35" s="990"/>
    </row>
    <row r="36" spans="1:5" x14ac:dyDescent="0.2">
      <c r="A36" s="991"/>
      <c r="B36" s="994"/>
      <c r="C36" s="995">
        <f>C33+1</f>
        <v>9</v>
      </c>
      <c r="D36" s="1006" t="s">
        <v>1206</v>
      </c>
    </row>
    <row r="37" spans="1:5" ht="10.5" customHeight="1" x14ac:dyDescent="0.2">
      <c r="A37" s="991"/>
      <c r="B37" s="1000"/>
      <c r="D37" s="1006" t="s">
        <v>1555</v>
      </c>
    </row>
    <row r="38" spans="1:5" ht="3" customHeight="1" x14ac:dyDescent="0.2">
      <c r="A38" s="991"/>
      <c r="B38" s="1008"/>
      <c r="C38" s="1009"/>
      <c r="D38" s="990"/>
    </row>
    <row r="39" spans="1:5" x14ac:dyDescent="0.2">
      <c r="A39" s="991"/>
      <c r="B39" s="1010"/>
      <c r="C39" s="1001">
        <f>C36+1</f>
        <v>10</v>
      </c>
      <c r="D39" s="990" t="s">
        <v>1205</v>
      </c>
    </row>
    <row r="40" spans="1:5" ht="10.5" customHeight="1" x14ac:dyDescent="0.2">
      <c r="A40" s="991"/>
      <c r="B40" s="1011"/>
      <c r="C40" s="1009"/>
      <c r="D40" s="990" t="s">
        <v>1556</v>
      </c>
    </row>
    <row r="41" spans="1:5" ht="3" customHeight="1" x14ac:dyDescent="0.2">
      <c r="A41" s="991"/>
      <c r="B41" s="1008"/>
      <c r="C41" s="1009"/>
      <c r="D41" s="990"/>
    </row>
    <row r="42" spans="1:5" ht="10.5" customHeight="1" x14ac:dyDescent="0.2">
      <c r="A42" s="991"/>
      <c r="B42" s="1010"/>
      <c r="C42" s="1001">
        <v>11</v>
      </c>
      <c r="D42" s="1012" t="s">
        <v>1557</v>
      </c>
      <c r="E42" s="290"/>
    </row>
    <row r="43" spans="1:5" ht="3" customHeight="1" x14ac:dyDescent="0.2">
      <c r="A43" s="991"/>
      <c r="B43" s="1008"/>
      <c r="C43" s="1009"/>
      <c r="D43" s="990"/>
    </row>
    <row r="44" spans="1:5" x14ac:dyDescent="0.2">
      <c r="A44" s="991"/>
      <c r="B44" s="994"/>
      <c r="C44" s="995">
        <f>C42+1</f>
        <v>12</v>
      </c>
      <c r="D44" s="1006" t="s">
        <v>1204</v>
      </c>
    </row>
    <row r="45" spans="1:5" ht="10.5" customHeight="1" x14ac:dyDescent="0.2">
      <c r="A45" s="991"/>
      <c r="B45" s="1007"/>
      <c r="C45" s="995"/>
      <c r="D45" s="1006" t="s">
        <v>1966</v>
      </c>
    </row>
    <row r="46" spans="1:5" ht="10.5" customHeight="1" x14ac:dyDescent="0.2">
      <c r="A46" s="991"/>
      <c r="B46" s="1008"/>
      <c r="C46" s="1009"/>
      <c r="D46" s="1006" t="s">
        <v>1203</v>
      </c>
    </row>
    <row r="47" spans="1:5" ht="3" customHeight="1" x14ac:dyDescent="0.2">
      <c r="A47" s="991"/>
      <c r="B47" s="1008"/>
      <c r="C47" s="1009"/>
      <c r="D47" s="1006"/>
    </row>
    <row r="48" spans="1:5" x14ac:dyDescent="0.2">
      <c r="A48" s="991"/>
      <c r="B48" s="994"/>
      <c r="C48" s="995">
        <f>C44+1</f>
        <v>13</v>
      </c>
      <c r="D48" s="1006" t="s">
        <v>1558</v>
      </c>
    </row>
    <row r="49" spans="1:4" ht="3" customHeight="1" x14ac:dyDescent="0.2">
      <c r="A49" s="991"/>
      <c r="B49" s="998"/>
      <c r="C49" s="995"/>
      <c r="D49" s="1006"/>
    </row>
    <row r="50" spans="1:4" x14ac:dyDescent="0.2">
      <c r="A50" s="991"/>
      <c r="B50" s="994"/>
      <c r="C50" s="995">
        <f>C48+1</f>
        <v>14</v>
      </c>
      <c r="D50" s="1006" t="s">
        <v>1202</v>
      </c>
    </row>
    <row r="51" spans="1:4" ht="3" customHeight="1" x14ac:dyDescent="0.2">
      <c r="A51" s="991"/>
      <c r="B51" s="998"/>
      <c r="C51" s="995"/>
      <c r="D51" s="1006"/>
    </row>
    <row r="52" spans="1:4" x14ac:dyDescent="0.2">
      <c r="A52" s="991"/>
      <c r="B52" s="994"/>
      <c r="C52" s="995">
        <f>C50+1</f>
        <v>15</v>
      </c>
      <c r="D52" s="1006" t="s">
        <v>1201</v>
      </c>
    </row>
    <row r="53" spans="1:4" ht="3" customHeight="1" x14ac:dyDescent="0.2">
      <c r="A53" s="991"/>
      <c r="B53" s="998"/>
      <c r="C53" s="995"/>
      <c r="D53" s="1006"/>
    </row>
    <row r="54" spans="1:4" x14ac:dyDescent="0.2">
      <c r="A54" s="991"/>
      <c r="B54" s="994"/>
      <c r="C54" s="995">
        <f>C52+1</f>
        <v>16</v>
      </c>
      <c r="D54" s="1006" t="s">
        <v>1200</v>
      </c>
    </row>
    <row r="55" spans="1:4" ht="3" customHeight="1" x14ac:dyDescent="0.2">
      <c r="A55" s="991"/>
      <c r="B55" s="998"/>
      <c r="C55" s="995"/>
      <c r="D55" s="1006"/>
    </row>
    <row r="56" spans="1:4" x14ac:dyDescent="0.2">
      <c r="A56" s="991"/>
      <c r="B56" s="994"/>
      <c r="C56" s="995">
        <f>C54+1</f>
        <v>17</v>
      </c>
      <c r="D56" s="990" t="s">
        <v>1686</v>
      </c>
    </row>
    <row r="57" spans="1:4" ht="10.5" customHeight="1" x14ac:dyDescent="0.2">
      <c r="A57" s="991"/>
      <c r="D57" s="1006" t="s">
        <v>1687</v>
      </c>
    </row>
    <row r="58" spans="1:4" x14ac:dyDescent="0.2">
      <c r="A58" s="991"/>
      <c r="C58" s="1013"/>
      <c r="D58" s="1006" t="s">
        <v>1688</v>
      </c>
    </row>
    <row r="59" spans="1:4" ht="10.5" customHeight="1" x14ac:dyDescent="0.2">
      <c r="A59" s="991"/>
      <c r="D59" s="990" t="s">
        <v>1199</v>
      </c>
    </row>
    <row r="60" spans="1:4" ht="10.5" customHeight="1" x14ac:dyDescent="0.2">
      <c r="A60" s="991"/>
      <c r="D60" s="1014" t="s">
        <v>1582</v>
      </c>
    </row>
    <row r="61" spans="1:4" ht="10.5" customHeight="1" x14ac:dyDescent="0.2">
      <c r="A61" s="991"/>
      <c r="C61" s="1013"/>
      <c r="D61" s="1006" t="s">
        <v>1689</v>
      </c>
    </row>
    <row r="62" spans="1:4" ht="10.5" customHeight="1" x14ac:dyDescent="0.2">
      <c r="A62" s="991"/>
      <c r="D62" s="1015" t="s">
        <v>1198</v>
      </c>
    </row>
    <row r="63" spans="1:4" ht="10.5" customHeight="1" x14ac:dyDescent="0.2">
      <c r="A63" s="991"/>
      <c r="D63" s="990" t="s">
        <v>1559</v>
      </c>
    </row>
    <row r="64" spans="1:4" ht="10.5" customHeight="1" x14ac:dyDescent="0.2">
      <c r="A64" s="991"/>
      <c r="D64" s="1014" t="s">
        <v>1581</v>
      </c>
    </row>
    <row r="65" spans="1:4" x14ac:dyDescent="0.2">
      <c r="A65" s="991"/>
      <c r="C65" s="1013"/>
      <c r="D65" s="1006" t="s">
        <v>1690</v>
      </c>
    </row>
    <row r="66" spans="1:4" ht="10.5" customHeight="1" x14ac:dyDescent="0.2">
      <c r="A66" s="991"/>
      <c r="D66" s="1016" t="s">
        <v>1197</v>
      </c>
    </row>
    <row r="67" spans="1:4" ht="10.5" customHeight="1" x14ac:dyDescent="0.2">
      <c r="A67" s="991"/>
      <c r="D67" s="990" t="s">
        <v>1560</v>
      </c>
    </row>
    <row r="68" spans="1:4" ht="10.5" customHeight="1" x14ac:dyDescent="0.2">
      <c r="A68" s="991"/>
      <c r="D68" s="1014" t="s">
        <v>1581</v>
      </c>
    </row>
    <row r="69" spans="1:4" ht="10.5" customHeight="1" x14ac:dyDescent="0.2">
      <c r="A69" s="991"/>
      <c r="C69" s="1013"/>
      <c r="D69" s="1006" t="s">
        <v>1691</v>
      </c>
    </row>
    <row r="70" spans="1:4" x14ac:dyDescent="0.2">
      <c r="A70" s="991"/>
      <c r="D70" s="1015" t="s">
        <v>1196</v>
      </c>
    </row>
    <row r="71" spans="1:4" ht="3" customHeight="1" x14ac:dyDescent="0.2">
      <c r="A71" s="991"/>
      <c r="D71" s="990"/>
    </row>
    <row r="72" spans="1:4" x14ac:dyDescent="0.2">
      <c r="A72" s="991"/>
      <c r="B72" s="994"/>
      <c r="C72" s="995">
        <f>C56+1</f>
        <v>18</v>
      </c>
      <c r="D72" s="1016" t="s">
        <v>1692</v>
      </c>
    </row>
    <row r="73" spans="1:4" ht="3" customHeight="1" x14ac:dyDescent="0.2">
      <c r="A73" s="991"/>
      <c r="B73" s="998"/>
      <c r="C73" s="995"/>
      <c r="D73" s="1016"/>
    </row>
    <row r="74" spans="1:4" x14ac:dyDescent="0.2">
      <c r="A74" s="991"/>
      <c r="B74" s="994"/>
      <c r="C74" s="995">
        <f>C72+1</f>
        <v>19</v>
      </c>
      <c r="D74" s="1006" t="s">
        <v>1195</v>
      </c>
    </row>
    <row r="75" spans="1:4" ht="3" customHeight="1" x14ac:dyDescent="0.2">
      <c r="A75" s="991"/>
      <c r="B75" s="998"/>
      <c r="C75" s="995"/>
      <c r="D75" s="1006"/>
    </row>
    <row r="76" spans="1:4" x14ac:dyDescent="0.2">
      <c r="A76" s="991"/>
      <c r="B76" s="994"/>
      <c r="C76" s="995">
        <f>C74+1</f>
        <v>20</v>
      </c>
      <c r="D76" s="1017" t="s">
        <v>1693</v>
      </c>
    </row>
    <row r="77" spans="1:4" ht="3" customHeight="1" x14ac:dyDescent="0.2">
      <c r="A77" s="991"/>
      <c r="B77" s="998"/>
      <c r="C77" s="995"/>
      <c r="D77" s="1017"/>
    </row>
    <row r="78" spans="1:4" x14ac:dyDescent="0.2">
      <c r="A78" s="991"/>
      <c r="B78" s="994"/>
      <c r="C78" s="995">
        <f>C76+1</f>
        <v>21</v>
      </c>
      <c r="D78" s="990" t="s">
        <v>1694</v>
      </c>
    </row>
    <row r="79" spans="1:4" ht="3" customHeight="1" x14ac:dyDescent="0.2">
      <c r="A79" s="991"/>
      <c r="B79" s="998"/>
      <c r="C79" s="995"/>
      <c r="D79" s="990"/>
    </row>
    <row r="80" spans="1:4" x14ac:dyDescent="0.2">
      <c r="A80" s="991"/>
      <c r="B80" s="994"/>
      <c r="C80" s="995">
        <f>C78+1</f>
        <v>22</v>
      </c>
      <c r="D80" s="1018" t="s">
        <v>1695</v>
      </c>
    </row>
    <row r="81" spans="1:4" ht="3" customHeight="1" x14ac:dyDescent="0.2">
      <c r="A81" s="991"/>
      <c r="B81" s="998"/>
      <c r="C81" s="995"/>
      <c r="D81" s="1018"/>
    </row>
    <row r="82" spans="1:4" x14ac:dyDescent="0.2">
      <c r="A82" s="991"/>
      <c r="B82" s="994"/>
      <c r="C82" s="995">
        <f>C80+1</f>
        <v>23</v>
      </c>
      <c r="D82" s="1017" t="s">
        <v>1696</v>
      </c>
    </row>
    <row r="83" spans="1:4" ht="10.5" customHeight="1" x14ac:dyDescent="0.2">
      <c r="A83" s="991"/>
      <c r="B83" s="1000"/>
      <c r="D83" s="1006" t="s">
        <v>1194</v>
      </c>
    </row>
    <row r="84" spans="1:4" ht="3" customHeight="1" x14ac:dyDescent="0.2">
      <c r="A84" s="991"/>
      <c r="B84" s="1000"/>
      <c r="D84" s="1006"/>
    </row>
    <row r="85" spans="1:4" x14ac:dyDescent="0.2">
      <c r="A85" s="991"/>
      <c r="B85" s="994"/>
      <c r="C85" s="995">
        <f>C82+1</f>
        <v>24</v>
      </c>
      <c r="D85" s="1006" t="s">
        <v>1193</v>
      </c>
    </row>
    <row r="86" spans="1:4" ht="3" customHeight="1" x14ac:dyDescent="0.2">
      <c r="A86" s="991"/>
      <c r="B86" s="998"/>
      <c r="C86" s="995"/>
      <c r="D86" s="1006"/>
    </row>
    <row r="87" spans="1:4" x14ac:dyDescent="0.2">
      <c r="A87" s="991"/>
      <c r="B87" s="994"/>
      <c r="C87" s="995">
        <f>C85+1</f>
        <v>25</v>
      </c>
      <c r="D87" s="1006" t="s">
        <v>1192</v>
      </c>
    </row>
    <row r="88" spans="1:4" ht="3" customHeight="1" x14ac:dyDescent="0.2">
      <c r="A88" s="991"/>
      <c r="B88" s="998"/>
      <c r="C88" s="995"/>
      <c r="D88" s="1006"/>
    </row>
    <row r="89" spans="1:4" x14ac:dyDescent="0.2">
      <c r="A89" s="991"/>
      <c r="B89" s="994"/>
      <c r="C89" s="995">
        <f>C87+1</f>
        <v>26</v>
      </c>
      <c r="D89" s="1006" t="s">
        <v>1191</v>
      </c>
    </row>
    <row r="90" spans="1:4" ht="3" customHeight="1" x14ac:dyDescent="0.2">
      <c r="A90" s="991"/>
      <c r="B90" s="998"/>
      <c r="C90" s="995"/>
      <c r="D90" s="1006"/>
    </row>
    <row r="91" spans="1:4" x14ac:dyDescent="0.2">
      <c r="A91" s="991"/>
      <c r="B91" s="994"/>
      <c r="C91" s="995">
        <f>C89+1</f>
        <v>27</v>
      </c>
      <c r="D91" s="1006" t="s">
        <v>1697</v>
      </c>
    </row>
    <row r="92" spans="1:4" x14ac:dyDescent="0.2">
      <c r="A92" s="991"/>
      <c r="B92" s="1019"/>
      <c r="C92" s="1013"/>
      <c r="D92" s="1006" t="s">
        <v>1190</v>
      </c>
    </row>
    <row r="93" spans="1:4" ht="4.5" customHeight="1" x14ac:dyDescent="0.2">
      <c r="A93" s="991"/>
      <c r="D93" s="990"/>
    </row>
    <row r="94" spans="1:4" x14ac:dyDescent="0.2">
      <c r="A94" s="991"/>
      <c r="B94" s="992" t="s">
        <v>1561</v>
      </c>
      <c r="C94" s="993"/>
      <c r="D94" s="990"/>
    </row>
    <row r="95" spans="1:4" ht="4.5" customHeight="1" x14ac:dyDescent="0.2">
      <c r="A95" s="991"/>
      <c r="B95" s="992"/>
      <c r="C95" s="993"/>
      <c r="D95" s="990"/>
    </row>
    <row r="96" spans="1:4" x14ac:dyDescent="0.2">
      <c r="A96" s="991"/>
      <c r="B96" s="994"/>
      <c r="C96" s="995">
        <f>C91+1</f>
        <v>28</v>
      </c>
      <c r="D96" s="1006" t="s">
        <v>1698</v>
      </c>
    </row>
    <row r="97" spans="1:4" ht="3" customHeight="1" x14ac:dyDescent="0.2">
      <c r="A97" s="991"/>
      <c r="B97" s="998"/>
      <c r="C97" s="995"/>
      <c r="D97" s="1006"/>
    </row>
    <row r="98" spans="1:4" x14ac:dyDescent="0.2">
      <c r="A98" s="991"/>
      <c r="B98" s="994"/>
      <c r="C98" s="995">
        <f>C96+1</f>
        <v>29</v>
      </c>
      <c r="D98" s="1020" t="s">
        <v>1699</v>
      </c>
    </row>
    <row r="99" spans="1:4" ht="3" customHeight="1" x14ac:dyDescent="0.2">
      <c r="A99" s="991"/>
      <c r="B99" s="998"/>
      <c r="C99" s="995"/>
      <c r="D99" s="1020"/>
    </row>
    <row r="100" spans="1:4" x14ac:dyDescent="0.2">
      <c r="A100" s="991"/>
      <c r="B100" s="994"/>
      <c r="C100" s="995">
        <f>C98+1</f>
        <v>30</v>
      </c>
      <c r="D100" s="1006" t="s">
        <v>1700</v>
      </c>
    </row>
    <row r="101" spans="1:4" ht="3" customHeight="1" x14ac:dyDescent="0.2">
      <c r="A101" s="991"/>
      <c r="B101" s="998"/>
      <c r="C101" s="995"/>
      <c r="D101" s="1021"/>
    </row>
    <row r="102" spans="1:4" x14ac:dyDescent="0.2">
      <c r="A102" s="991"/>
      <c r="B102" s="994"/>
      <c r="C102" s="995">
        <f>C100+1</f>
        <v>31</v>
      </c>
      <c r="D102" s="1006" t="s">
        <v>1562</v>
      </c>
    </row>
    <row r="103" spans="1:4" ht="4.5" customHeight="1" x14ac:dyDescent="0.2">
      <c r="A103" s="991"/>
      <c r="B103" s="290"/>
      <c r="C103" s="995"/>
      <c r="D103" s="1006"/>
    </row>
    <row r="104" spans="1:4" ht="14.1" customHeight="1" x14ac:dyDescent="0.2">
      <c r="A104" s="991"/>
      <c r="B104" s="1022" t="s">
        <v>1189</v>
      </c>
    </row>
    <row r="105" spans="1:4" ht="4.5" customHeight="1" x14ac:dyDescent="0.2">
      <c r="A105" s="991"/>
      <c r="B105" s="1022"/>
    </row>
    <row r="106" spans="1:4" x14ac:dyDescent="0.2">
      <c r="A106" s="991"/>
      <c r="B106" s="994"/>
      <c r="C106" s="995">
        <f>C102+1</f>
        <v>32</v>
      </c>
      <c r="D106" s="990" t="s">
        <v>1563</v>
      </c>
    </row>
    <row r="107" spans="1:4" ht="3" customHeight="1" x14ac:dyDescent="0.2">
      <c r="A107" s="991"/>
      <c r="B107" s="998"/>
      <c r="C107" s="995"/>
      <c r="D107" s="990"/>
    </row>
    <row r="108" spans="1:4" x14ac:dyDescent="0.2">
      <c r="A108" s="991"/>
      <c r="B108" s="994"/>
      <c r="C108" s="995">
        <v>33</v>
      </c>
      <c r="D108" s="990" t="s">
        <v>1701</v>
      </c>
    </row>
    <row r="109" spans="1:4" ht="3" customHeight="1" x14ac:dyDescent="0.2">
      <c r="A109" s="991"/>
      <c r="B109" s="998"/>
      <c r="C109" s="995"/>
      <c r="D109" s="990"/>
    </row>
    <row r="110" spans="1:4" x14ac:dyDescent="0.2">
      <c r="A110" s="991"/>
      <c r="B110" s="994"/>
      <c r="C110" s="995">
        <f>C108+1</f>
        <v>34</v>
      </c>
      <c r="D110" s="990" t="s">
        <v>1188</v>
      </c>
    </row>
    <row r="111" spans="1:4" ht="3" customHeight="1" x14ac:dyDescent="0.2">
      <c r="A111" s="991"/>
      <c r="B111" s="998"/>
      <c r="C111" s="995"/>
      <c r="D111" s="990"/>
    </row>
    <row r="112" spans="1:4" x14ac:dyDescent="0.2">
      <c r="A112" s="991"/>
      <c r="B112" s="994"/>
      <c r="C112" s="995">
        <f>C110+1</f>
        <v>35</v>
      </c>
      <c r="D112" s="990" t="s">
        <v>1187</v>
      </c>
    </row>
    <row r="113" spans="1:4" ht="11.25" customHeight="1" x14ac:dyDescent="0.2">
      <c r="A113" s="991"/>
      <c r="B113" s="1023"/>
      <c r="C113" s="995"/>
      <c r="D113" s="1024" t="s">
        <v>1186</v>
      </c>
    </row>
    <row r="114" spans="1:4" ht="3" customHeight="1" x14ac:dyDescent="0.2">
      <c r="A114" s="991"/>
      <c r="B114" s="1025"/>
      <c r="C114" s="995"/>
      <c r="D114" s="1024"/>
    </row>
    <row r="115" spans="1:4" x14ac:dyDescent="0.2">
      <c r="A115" s="991"/>
      <c r="B115" s="994"/>
      <c r="C115" s="995">
        <f>C112+1</f>
        <v>36</v>
      </c>
      <c r="D115" s="1006" t="s">
        <v>1185</v>
      </c>
    </row>
    <row r="116" spans="1:4" ht="3" customHeight="1" x14ac:dyDescent="0.2">
      <c r="A116" s="991"/>
      <c r="B116" s="998"/>
      <c r="C116" s="995"/>
      <c r="D116" s="1006"/>
    </row>
    <row r="117" spans="1:4" x14ac:dyDescent="0.2">
      <c r="A117" s="991"/>
      <c r="B117" s="994"/>
      <c r="C117" s="995">
        <f>C115+1</f>
        <v>37</v>
      </c>
      <c r="D117" s="1006" t="s">
        <v>1702</v>
      </c>
    </row>
    <row r="118" spans="1:4" ht="3" customHeight="1" x14ac:dyDescent="0.2">
      <c r="A118" s="991"/>
      <c r="B118" s="998"/>
      <c r="C118" s="995"/>
      <c r="D118" s="1006"/>
    </row>
    <row r="119" spans="1:4" x14ac:dyDescent="0.2">
      <c r="A119" s="991"/>
      <c r="B119" s="994"/>
      <c r="C119" s="995">
        <f>C117+1</f>
        <v>38</v>
      </c>
      <c r="D119" s="1006" t="s">
        <v>1703</v>
      </c>
    </row>
    <row r="120" spans="1:4" ht="10.5" customHeight="1" x14ac:dyDescent="0.2">
      <c r="A120" s="991"/>
      <c r="B120" s="1019"/>
      <c r="C120" s="995"/>
      <c r="D120" s="1006" t="s">
        <v>1184</v>
      </c>
    </row>
    <row r="121" spans="1:4" ht="10.5" customHeight="1" x14ac:dyDescent="0.2">
      <c r="A121" s="991"/>
      <c r="B121" s="1019"/>
      <c r="C121" s="995"/>
      <c r="D121" s="1006" t="s">
        <v>1183</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1182</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8"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Normal="100" zoomScaleSheetLayoutView="100" workbookViewId="0">
      <selection activeCell="F24" sqref="F2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92" t="str">
        <f>'Single Audit Cover'!A7</f>
        <v xml:space="preserve">  McHenry CCSD 15</v>
      </c>
      <c r="B1" s="2592"/>
      <c r="C1" s="2592"/>
      <c r="D1" s="2592"/>
      <c r="E1" s="2592"/>
    </row>
    <row r="2" spans="1:5" x14ac:dyDescent="0.2">
      <c r="A2" s="2593">
        <f>'Single Audit Cover'!E7</f>
        <v>44063015004</v>
      </c>
      <c r="B2" s="2593"/>
      <c r="C2" s="2593"/>
      <c r="D2" s="2593"/>
      <c r="E2" s="2593"/>
    </row>
    <row r="3" spans="1:5" ht="4.5" customHeight="1" x14ac:dyDescent="0.2"/>
    <row r="4" spans="1:5" x14ac:dyDescent="0.2">
      <c r="A4" s="2592" t="s">
        <v>1234</v>
      </c>
      <c r="B4" s="2592"/>
      <c r="C4" s="2592"/>
      <c r="D4" s="2592"/>
      <c r="E4" s="2592"/>
    </row>
    <row r="5" spans="1:5" x14ac:dyDescent="0.2">
      <c r="A5" s="2595" t="str">
        <f>'Single Audit Cover'!A4</f>
        <v>Year Ending June 30, 2020</v>
      </c>
      <c r="B5" s="2595"/>
      <c r="C5" s="2595"/>
      <c r="D5" s="2595"/>
      <c r="E5" s="2595"/>
    </row>
    <row r="6" spans="1:5" x14ac:dyDescent="0.2">
      <c r="A6" s="2592" t="s">
        <v>1233</v>
      </c>
      <c r="B6" s="2592"/>
      <c r="C6" s="2592"/>
      <c r="D6" s="2592"/>
      <c r="E6" s="2592"/>
    </row>
    <row r="8" spans="1:5" x14ac:dyDescent="0.2">
      <c r="A8" s="1029" t="s">
        <v>1232</v>
      </c>
    </row>
    <row r="10" spans="1:5" x14ac:dyDescent="0.2">
      <c r="A10" s="1030" t="s">
        <v>1231</v>
      </c>
      <c r="B10" s="1031" t="s">
        <v>1230</v>
      </c>
      <c r="C10" s="1031"/>
      <c r="D10" s="1032">
        <f>SUM('Acct Summary 7-8'!C7:K7)</f>
        <v>3597522</v>
      </c>
    </row>
    <row r="11" spans="1:5" ht="18" customHeight="1" x14ac:dyDescent="0.2">
      <c r="A11" s="1030" t="s">
        <v>1229</v>
      </c>
      <c r="B11" s="1031"/>
      <c r="C11" s="1031"/>
    </row>
    <row r="12" spans="1:5" x14ac:dyDescent="0.2">
      <c r="A12" s="1030" t="s">
        <v>1228</v>
      </c>
      <c r="B12" s="1031" t="s">
        <v>1227</v>
      </c>
      <c r="C12" s="1031"/>
      <c r="D12" s="1033">
        <f>SUM('Revenues 9-14'!C112:D112,'Revenues 9-14'!F112:G112)</f>
        <v>0</v>
      </c>
    </row>
    <row r="13" spans="1:5" x14ac:dyDescent="0.2">
      <c r="A13" s="1030" t="s">
        <v>1226</v>
      </c>
      <c r="B13" s="1031"/>
      <c r="C13" s="1031"/>
    </row>
    <row r="14" spans="1:5" x14ac:dyDescent="0.2">
      <c r="A14" s="1030" t="s">
        <v>2001</v>
      </c>
      <c r="B14" s="1031"/>
      <c r="C14" s="1031"/>
      <c r="D14" s="1033">
        <f>'ICR Computation 30'!E11</f>
        <v>136844</v>
      </c>
    </row>
    <row r="15" spans="1:5" x14ac:dyDescent="0.2">
      <c r="A15" s="1030"/>
      <c r="B15" s="1031"/>
      <c r="C15" s="1031"/>
    </row>
    <row r="16" spans="1:5" x14ac:dyDescent="0.2">
      <c r="A16" s="1030" t="s">
        <v>1812</v>
      </c>
      <c r="B16" s="1031"/>
      <c r="C16" s="1031"/>
    </row>
    <row r="17" spans="1:4" x14ac:dyDescent="0.2">
      <c r="A17" s="1030" t="s">
        <v>1961</v>
      </c>
      <c r="B17" s="1031" t="s">
        <v>1225</v>
      </c>
      <c r="C17" s="1031"/>
      <c r="D17" s="1033">
        <f>-SUM('Revenues 9-14'!C264:D264,'Revenues 9-14'!F264:G264)</f>
        <v>-382403</v>
      </c>
    </row>
    <row r="19" spans="1:4" ht="13.5" thickBot="1" x14ac:dyDescent="0.25">
      <c r="A19" s="1034" t="s">
        <v>1224</v>
      </c>
      <c r="D19" s="1035">
        <f>SUM(D10:D17)</f>
        <v>3351963</v>
      </c>
    </row>
    <row r="20" spans="1:4" ht="21.75" customHeight="1" thickTop="1" x14ac:dyDescent="0.2"/>
    <row r="21" spans="1:4" x14ac:dyDescent="0.2">
      <c r="A21" s="1029" t="s">
        <v>1223</v>
      </c>
    </row>
    <row r="22" spans="1:4" ht="8.25" customHeight="1" x14ac:dyDescent="0.2"/>
    <row r="23" spans="1:4" x14ac:dyDescent="0.2">
      <c r="A23" s="1036" t="s">
        <v>1217</v>
      </c>
    </row>
    <row r="24" spans="1:4" x14ac:dyDescent="0.2">
      <c r="A24" s="2594" t="s">
        <v>2071</v>
      </c>
      <c r="B24" s="2594"/>
      <c r="D24" s="1037">
        <v>2</v>
      </c>
    </row>
    <row r="25" spans="1:4" x14ac:dyDescent="0.2">
      <c r="A25" s="2591"/>
      <c r="B25" s="2591"/>
      <c r="D25" s="1037"/>
    </row>
    <row r="26" spans="1:4" x14ac:dyDescent="0.2">
      <c r="A26" s="2591"/>
      <c r="B26" s="2591"/>
      <c r="D26" s="1037"/>
    </row>
    <row r="27" spans="1:4" x14ac:dyDescent="0.2">
      <c r="A27" s="2591"/>
      <c r="B27" s="2591"/>
      <c r="D27" s="1037"/>
    </row>
    <row r="28" spans="1:4" x14ac:dyDescent="0.2">
      <c r="A28" s="2591"/>
      <c r="B28" s="2591"/>
      <c r="D28" s="1037"/>
    </row>
    <row r="29" spans="1:4" x14ac:dyDescent="0.2">
      <c r="A29" s="2591"/>
      <c r="B29" s="2591"/>
      <c r="D29" s="1037"/>
    </row>
    <row r="30" spans="1:4" x14ac:dyDescent="0.2">
      <c r="A30" s="2591"/>
      <c r="B30" s="2591"/>
      <c r="D30" s="1037"/>
    </row>
    <row r="32" spans="1:4" x14ac:dyDescent="0.2">
      <c r="A32" s="1029" t="s">
        <v>1222</v>
      </c>
      <c r="D32" s="1032">
        <f>SUM(D19:D30)</f>
        <v>3351965</v>
      </c>
    </row>
    <row r="33" spans="1:4" x14ac:dyDescent="0.2">
      <c r="D33" s="1038"/>
    </row>
    <row r="34" spans="1:4" x14ac:dyDescent="0.2">
      <c r="A34" s="295" t="s">
        <v>1221</v>
      </c>
    </row>
    <row r="35" spans="1:4" x14ac:dyDescent="0.2">
      <c r="A35" s="295" t="s">
        <v>1220</v>
      </c>
      <c r="B35" s="1027" t="s">
        <v>1219</v>
      </c>
      <c r="D35" s="1039">
        <f>' SEFA (3)'!F28</f>
        <v>3351965</v>
      </c>
    </row>
    <row r="37" spans="1:4" x14ac:dyDescent="0.2">
      <c r="A37" s="1029" t="s">
        <v>1218</v>
      </c>
    </row>
    <row r="39" spans="1:4" ht="13.35" customHeight="1" x14ac:dyDescent="0.2">
      <c r="A39" s="1036" t="s">
        <v>1217</v>
      </c>
    </row>
    <row r="40" spans="1:4" x14ac:dyDescent="0.2">
      <c r="A40" s="2591"/>
      <c r="B40" s="2591"/>
      <c r="D40" s="1037"/>
    </row>
    <row r="41" spans="1:4" x14ac:dyDescent="0.2">
      <c r="A41" s="2591"/>
      <c r="B41" s="2591"/>
      <c r="D41" s="1040"/>
    </row>
    <row r="42" spans="1:4" x14ac:dyDescent="0.2">
      <c r="A42" s="2591"/>
      <c r="B42" s="2591"/>
      <c r="D42" s="1040"/>
    </row>
    <row r="43" spans="1:4" x14ac:dyDescent="0.2">
      <c r="A43" s="2591"/>
      <c r="B43" s="2591"/>
      <c r="D43" s="1040"/>
    </row>
    <row r="44" spans="1:4" x14ac:dyDescent="0.2">
      <c r="A44" s="2591"/>
      <c r="B44" s="2591"/>
      <c r="D44" s="1040"/>
    </row>
    <row r="45" spans="1:4" x14ac:dyDescent="0.2">
      <c r="A45" s="2591"/>
      <c r="B45" s="2591"/>
      <c r="D45" s="1040"/>
    </row>
    <row r="47" spans="1:4" x14ac:dyDescent="0.2">
      <c r="B47" s="1041" t="s">
        <v>1216</v>
      </c>
      <c r="C47" s="1041"/>
      <c r="D47" s="1042">
        <f>SUM(D35:D45)</f>
        <v>3351965</v>
      </c>
    </row>
    <row r="49" spans="2:4" x14ac:dyDescent="0.2">
      <c r="B49" s="1041" t="s">
        <v>1215</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6"/>
  <sheetViews>
    <sheetView showGridLines="0" topLeftCell="A10" zoomScale="90" zoomScaleNormal="90" workbookViewId="0">
      <selection activeCell="B1" sqref="B1:M1"/>
    </sheetView>
  </sheetViews>
  <sheetFormatPr defaultColWidth="33.5703125" defaultRowHeight="12.75" x14ac:dyDescent="0.2"/>
  <cols>
    <col min="1" max="1" width="0.140625" style="295" customWidth="1"/>
    <col min="2" max="2" width="39.85546875" style="295" customWidth="1"/>
    <col min="3" max="3" width="8.7109375" style="1120" customWidth="1"/>
    <col min="4" max="4" width="12.7109375" style="1121" customWidth="1"/>
    <col min="5" max="5" width="14" style="295" bestFit="1" customWidth="1"/>
    <col min="6" max="6" width="14.28515625" style="295" bestFit="1" customWidth="1"/>
    <col min="7" max="7" width="14" style="1027" bestFit="1" customWidth="1"/>
    <col min="8" max="8" width="15.42578125" style="1027" bestFit="1" customWidth="1"/>
    <col min="9" max="9" width="14.28515625" style="1027" bestFit="1" customWidth="1"/>
    <col min="10" max="10" width="15.42578125" style="1027" bestFit="1"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74" t="str">
        <f>'Single Audit Cover'!A7</f>
        <v xml:space="preserve">  McHenry CCSD 15</v>
      </c>
      <c r="C1" s="2596"/>
      <c r="D1" s="2596"/>
      <c r="E1" s="2596"/>
      <c r="F1" s="2596"/>
      <c r="G1" s="2596"/>
      <c r="H1" s="2596"/>
      <c r="I1" s="2596"/>
      <c r="J1" s="2596"/>
      <c r="K1" s="2596"/>
      <c r="L1" s="2596"/>
      <c r="M1" s="2596"/>
    </row>
    <row r="2" spans="2:14" ht="15" x14ac:dyDescent="0.2">
      <c r="B2" s="2597">
        <f>'Single Audit Cover'!E7</f>
        <v>44063015004</v>
      </c>
      <c r="C2" s="2597"/>
      <c r="D2" s="2597"/>
      <c r="E2" s="2597"/>
      <c r="F2" s="2597"/>
      <c r="G2" s="2597"/>
      <c r="H2" s="2597"/>
      <c r="I2" s="2597"/>
      <c r="J2" s="2597"/>
      <c r="K2" s="2597"/>
      <c r="L2" s="2597"/>
      <c r="M2" s="2597"/>
      <c r="N2" s="1071"/>
    </row>
    <row r="3" spans="2:14" ht="15" x14ac:dyDescent="0.2">
      <c r="B3" s="2598" t="s">
        <v>1208</v>
      </c>
      <c r="C3" s="2598"/>
      <c r="D3" s="2598"/>
      <c r="E3" s="2598"/>
      <c r="F3" s="2598"/>
      <c r="G3" s="2598"/>
      <c r="H3" s="2598"/>
      <c r="I3" s="2598"/>
      <c r="J3" s="2598"/>
      <c r="K3" s="2598"/>
      <c r="L3" s="2598"/>
      <c r="M3" s="2598"/>
      <c r="N3" s="1071"/>
    </row>
    <row r="4" spans="2:14" ht="15" x14ac:dyDescent="0.2">
      <c r="B4" s="2599" t="str">
        <f>'Single Audit Cover'!A4</f>
        <v>Year Ending June 30, 2020</v>
      </c>
      <c r="C4" s="2599"/>
      <c r="D4" s="2599"/>
      <c r="E4" s="2599"/>
      <c r="F4" s="2599"/>
      <c r="G4" s="2599"/>
      <c r="H4" s="2599"/>
      <c r="I4" s="2599"/>
      <c r="J4" s="2599"/>
      <c r="K4" s="2599"/>
      <c r="L4" s="2599"/>
      <c r="M4" s="2599"/>
      <c r="N4" s="1071"/>
    </row>
    <row r="5" spans="2:14" x14ac:dyDescent="0.2">
      <c r="H5" s="1901"/>
      <c r="J5" s="1901"/>
    </row>
    <row r="6" spans="2:14" x14ac:dyDescent="0.2">
      <c r="B6" s="1072"/>
      <c r="C6" s="1073"/>
      <c r="D6" s="1074" t="s">
        <v>1254</v>
      </c>
      <c r="E6" s="1075" t="s">
        <v>524</v>
      </c>
      <c r="F6" s="1076"/>
      <c r="G6" s="1077" t="s">
        <v>1708</v>
      </c>
      <c r="H6" s="1075"/>
      <c r="I6" s="1075"/>
      <c r="J6" s="1902"/>
      <c r="K6" s="1078"/>
      <c r="L6" s="1079"/>
      <c r="M6" s="1080"/>
    </row>
    <row r="7" spans="2:14" x14ac:dyDescent="0.2">
      <c r="B7" s="1081" t="s">
        <v>1564</v>
      </c>
      <c r="C7" s="1082"/>
      <c r="D7" s="1083"/>
      <c r="E7" s="1084"/>
      <c r="F7" s="1085"/>
      <c r="G7" s="1084"/>
      <c r="H7" s="1086" t="s">
        <v>1251</v>
      </c>
      <c r="I7" s="1084"/>
      <c r="J7" s="1087" t="s">
        <v>1251</v>
      </c>
      <c r="K7" s="1088"/>
      <c r="L7" s="1089" t="s">
        <v>1249</v>
      </c>
      <c r="M7" s="1090"/>
    </row>
    <row r="8" spans="2:14" x14ac:dyDescent="0.2">
      <c r="B8" s="1372"/>
      <c r="C8" s="1082" t="s">
        <v>1253</v>
      </c>
      <c r="D8" s="1083" t="s">
        <v>1252</v>
      </c>
      <c r="E8" s="1091" t="s">
        <v>1251</v>
      </c>
      <c r="F8" s="1092" t="s">
        <v>1251</v>
      </c>
      <c r="G8" s="1093" t="s">
        <v>1251</v>
      </c>
      <c r="H8" s="1808" t="str">
        <f>"7/1/"&amp;MID('AFR20'!$E$2,3,2)-2&amp;"-6/30/"&amp;MID('AFR20'!$E$2,3,2)-1</f>
        <v>7/1/18-6/30/19</v>
      </c>
      <c r="I8" s="1088" t="s">
        <v>1251</v>
      </c>
      <c r="J8" s="1809" t="str">
        <f>"7/1/"&amp;MID('AFR20'!$E$2,3,2)-1&amp;"-6/30/"&amp;MID('AFR20'!$E$2,3,2)</f>
        <v>7/1/19-6/30/20</v>
      </c>
      <c r="K8" s="1088" t="s">
        <v>1250</v>
      </c>
      <c r="L8" s="1089" t="s">
        <v>1246</v>
      </c>
      <c r="M8" s="1090" t="s">
        <v>30</v>
      </c>
    </row>
    <row r="9" spans="2:14" ht="14.25" x14ac:dyDescent="0.2">
      <c r="B9" s="1094" t="s">
        <v>1248</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1565</v>
      </c>
      <c r="I9" s="1900" t="str">
        <f>"7/1/"&amp;MID('AFR20'!$E$2,3,2)-1&amp;"-6/30/"&amp;MID('AFR20'!$E$2,3,2)</f>
        <v>7/1/19-6/30/20</v>
      </c>
      <c r="J9" s="1087" t="s">
        <v>1565</v>
      </c>
      <c r="K9" s="1088" t="s">
        <v>1247</v>
      </c>
      <c r="L9" s="1095" t="s">
        <v>1566</v>
      </c>
      <c r="M9" s="1090"/>
    </row>
    <row r="10" spans="2:14" ht="11.85" customHeight="1" x14ac:dyDescent="0.2">
      <c r="B10" s="1094" t="s">
        <v>1245</v>
      </c>
      <c r="C10" s="1096" t="s">
        <v>1244</v>
      </c>
      <c r="D10" s="1097" t="s">
        <v>1243</v>
      </c>
      <c r="E10" s="1098" t="s">
        <v>1242</v>
      </c>
      <c r="F10" s="1099" t="s">
        <v>1241</v>
      </c>
      <c r="G10" s="1100" t="s">
        <v>1240</v>
      </c>
      <c r="H10" s="1101" t="s">
        <v>1255</v>
      </c>
      <c r="I10" s="1102" t="s">
        <v>1239</v>
      </c>
      <c r="J10" s="1103" t="s">
        <v>1255</v>
      </c>
      <c r="K10" s="1104" t="s">
        <v>1238</v>
      </c>
      <c r="L10" s="1104" t="s">
        <v>1237</v>
      </c>
      <c r="M10" s="1105" t="s">
        <v>1236</v>
      </c>
    </row>
    <row r="11" spans="2:14" ht="20.100000000000001" customHeight="1" x14ac:dyDescent="0.2">
      <c r="B11" s="1927" t="s">
        <v>2072</v>
      </c>
      <c r="C11" s="1810"/>
      <c r="D11" s="1811"/>
      <c r="E11" s="1812"/>
      <c r="F11" s="1812"/>
      <c r="G11" s="1926"/>
      <c r="H11" s="1926"/>
      <c r="I11" s="1926"/>
      <c r="J11" s="1812"/>
      <c r="K11" s="1812"/>
      <c r="L11" s="1812"/>
      <c r="M11" s="1812"/>
    </row>
    <row r="12" spans="2:14" ht="20.100000000000001" customHeight="1" x14ac:dyDescent="0.2">
      <c r="B12" s="1106" t="s">
        <v>2088</v>
      </c>
      <c r="C12" s="1810"/>
      <c r="D12" s="1811"/>
      <c r="E12" s="1812"/>
      <c r="F12" s="1812"/>
      <c r="G12" s="1926"/>
      <c r="H12" s="1926"/>
      <c r="I12" s="1926"/>
      <c r="J12" s="1812"/>
      <c r="K12" s="1812"/>
      <c r="L12" s="1812"/>
      <c r="M12" s="1812"/>
    </row>
    <row r="13" spans="2:14" ht="20.100000000000001" customHeight="1" x14ac:dyDescent="0.2">
      <c r="B13" s="1106" t="s">
        <v>2089</v>
      </c>
      <c r="C13" s="1810"/>
      <c r="D13" s="1811"/>
      <c r="E13" s="1812"/>
      <c r="F13" s="1812"/>
      <c r="G13" s="1926"/>
      <c r="H13" s="1926"/>
      <c r="I13" s="1926"/>
      <c r="J13" s="1812"/>
      <c r="K13" s="1812"/>
      <c r="L13" s="1812"/>
      <c r="M13" s="1812"/>
    </row>
    <row r="14" spans="2:14" ht="13.5" customHeight="1" x14ac:dyDescent="0.2">
      <c r="B14" s="1106" t="s">
        <v>2090</v>
      </c>
      <c r="C14" s="1810">
        <v>10.555</v>
      </c>
      <c r="D14" s="1811" t="s">
        <v>2034</v>
      </c>
      <c r="E14" s="1812"/>
      <c r="F14" s="1812">
        <v>63461</v>
      </c>
      <c r="G14" s="1926"/>
      <c r="H14" s="1926"/>
      <c r="I14" s="1926">
        <v>63461</v>
      </c>
      <c r="J14" s="1812"/>
      <c r="K14" s="1812"/>
      <c r="L14" s="1812">
        <v>63461</v>
      </c>
      <c r="M14" s="1812" t="s">
        <v>2079</v>
      </c>
    </row>
    <row r="15" spans="2:14" ht="10.5" customHeight="1" x14ac:dyDescent="0.2">
      <c r="B15" s="1927"/>
      <c r="C15" s="1810"/>
      <c r="D15" s="1811"/>
      <c r="E15" s="1812"/>
      <c r="F15" s="1812"/>
      <c r="G15" s="1926"/>
      <c r="H15" s="1926"/>
      <c r="I15" s="1926"/>
      <c r="J15" s="1812"/>
      <c r="K15" s="1812"/>
      <c r="L15" s="1812"/>
      <c r="M15" s="1812"/>
    </row>
    <row r="16" spans="2:14" ht="20.100000000000001" customHeight="1" x14ac:dyDescent="0.2">
      <c r="B16" s="1106" t="s">
        <v>2030</v>
      </c>
      <c r="C16" s="1810"/>
      <c r="D16" s="1811"/>
      <c r="E16" s="1812"/>
      <c r="F16" s="1812"/>
      <c r="G16" s="1926"/>
      <c r="H16" s="1926"/>
      <c r="I16" s="1926"/>
      <c r="J16" s="1812"/>
      <c r="K16" s="1812"/>
      <c r="L16" s="1812"/>
      <c r="M16" s="1812"/>
    </row>
    <row r="17" spans="2:14" ht="20.100000000000001" customHeight="1" x14ac:dyDescent="0.2">
      <c r="B17" s="1106" t="s">
        <v>2031</v>
      </c>
      <c r="C17" s="1813"/>
      <c r="D17" s="1814"/>
      <c r="E17" s="1815"/>
      <c r="F17" s="1815"/>
      <c r="G17" s="1924"/>
      <c r="H17" s="1924"/>
      <c r="I17" s="1924"/>
      <c r="J17" s="1815"/>
      <c r="K17" s="1815"/>
      <c r="L17" s="1812"/>
      <c r="M17" s="1815"/>
    </row>
    <row r="18" spans="2:14" ht="13.5" customHeight="1" x14ac:dyDescent="0.2">
      <c r="B18" s="1106" t="s">
        <v>2073</v>
      </c>
      <c r="C18" s="1813">
        <v>10.555</v>
      </c>
      <c r="D18" s="1814" t="s">
        <v>2034</v>
      </c>
      <c r="E18" s="1815"/>
      <c r="F18" s="1924">
        <v>73384</v>
      </c>
      <c r="G18" s="1924"/>
      <c r="H18" s="1924"/>
      <c r="I18" s="1924">
        <f>F18</f>
        <v>73384</v>
      </c>
      <c r="J18" s="1815"/>
      <c r="K18" s="1815"/>
      <c r="L18" s="1812">
        <f t="shared" ref="L18:L29" si="0">+G18+I18+K18</f>
        <v>73384</v>
      </c>
      <c r="M18" s="1815" t="s">
        <v>2079</v>
      </c>
    </row>
    <row r="19" spans="2:14" ht="13.5" customHeight="1" x14ac:dyDescent="0.2">
      <c r="B19" s="1106" t="s">
        <v>2203</v>
      </c>
      <c r="C19" s="1813">
        <v>10.555</v>
      </c>
      <c r="D19" s="1814" t="s">
        <v>2035</v>
      </c>
      <c r="E19" s="1815">
        <v>569921</v>
      </c>
      <c r="F19" s="1924">
        <f>699156-E19</f>
        <v>129235</v>
      </c>
      <c r="G19" s="1924">
        <v>576696</v>
      </c>
      <c r="H19" s="1924"/>
      <c r="I19" s="1924">
        <f>699156-G19</f>
        <v>122460</v>
      </c>
      <c r="J19" s="1815"/>
      <c r="K19" s="1815"/>
      <c r="L19" s="1812">
        <f t="shared" si="0"/>
        <v>699156</v>
      </c>
      <c r="M19" s="1815" t="s">
        <v>2079</v>
      </c>
    </row>
    <row r="20" spans="2:14" ht="13.5" customHeight="1" x14ac:dyDescent="0.2">
      <c r="B20" s="1106" t="s">
        <v>2204</v>
      </c>
      <c r="C20" s="1813">
        <v>10.555</v>
      </c>
      <c r="D20" s="1814" t="s">
        <v>2036</v>
      </c>
      <c r="E20" s="1815"/>
      <c r="F20" s="1924">
        <v>451560</v>
      </c>
      <c r="G20" s="1924"/>
      <c r="H20" s="1924"/>
      <c r="I20" s="1924">
        <f>F20</f>
        <v>451560</v>
      </c>
      <c r="J20" s="1815"/>
      <c r="K20" s="1815"/>
      <c r="L20" s="1812">
        <f t="shared" si="0"/>
        <v>451560</v>
      </c>
      <c r="M20" s="1815" t="s">
        <v>2079</v>
      </c>
    </row>
    <row r="21" spans="2:14" s="1029" customFormat="1" ht="20.100000000000001" customHeight="1" x14ac:dyDescent="0.2">
      <c r="B21" s="1927" t="s">
        <v>2091</v>
      </c>
      <c r="C21" s="1928"/>
      <c r="D21" s="1929"/>
      <c r="E21" s="1930">
        <f>+E19</f>
        <v>569921</v>
      </c>
      <c r="F21" s="1931">
        <f>+F20+F19+F18+F14</f>
        <v>717640</v>
      </c>
      <c r="G21" s="1931">
        <f>+G19</f>
        <v>576696</v>
      </c>
      <c r="H21" s="1931"/>
      <c r="I21" s="1931">
        <f>+I20+I19+I18+I14</f>
        <v>710865</v>
      </c>
      <c r="J21" s="1930"/>
      <c r="K21" s="1930"/>
      <c r="L21" s="1932">
        <f>+L20+L19+L18+L15+L14</f>
        <v>1287561</v>
      </c>
      <c r="M21" s="1930"/>
    </row>
    <row r="22" spans="2:14" ht="13.5" customHeight="1" x14ac:dyDescent="0.2">
      <c r="B22" s="1106"/>
      <c r="C22" s="1813"/>
      <c r="D22" s="1814"/>
      <c r="E22" s="1815"/>
      <c r="F22" s="1924"/>
      <c r="G22" s="1924"/>
      <c r="H22" s="1924"/>
      <c r="I22" s="1924"/>
      <c r="J22" s="1815"/>
      <c r="K22" s="1815"/>
      <c r="L22" s="1812"/>
      <c r="M22" s="1815"/>
    </row>
    <row r="23" spans="2:14" ht="13.5" customHeight="1" x14ac:dyDescent="0.2">
      <c r="B23" s="1106" t="s">
        <v>2074</v>
      </c>
      <c r="C23" s="1813">
        <v>10.553000000000001</v>
      </c>
      <c r="D23" s="1814" t="s">
        <v>2037</v>
      </c>
      <c r="E23" s="1815">
        <v>80787</v>
      </c>
      <c r="F23" s="1924">
        <f>92119-E23</f>
        <v>11332</v>
      </c>
      <c r="G23" s="1924">
        <v>81723</v>
      </c>
      <c r="H23" s="1924"/>
      <c r="I23" s="1924">
        <f>92119-G23</f>
        <v>10396</v>
      </c>
      <c r="J23" s="1815"/>
      <c r="K23" s="1815"/>
      <c r="L23" s="1812">
        <f t="shared" si="0"/>
        <v>92119</v>
      </c>
      <c r="M23" s="1815" t="s">
        <v>2079</v>
      </c>
    </row>
    <row r="24" spans="2:14" ht="13.5" customHeight="1" x14ac:dyDescent="0.2">
      <c r="B24" s="1106" t="s">
        <v>2074</v>
      </c>
      <c r="C24" s="1813">
        <v>10.553000000000001</v>
      </c>
      <c r="D24" s="1814" t="s">
        <v>2038</v>
      </c>
      <c r="E24" s="1815"/>
      <c r="F24" s="1924">
        <v>72526</v>
      </c>
      <c r="G24" s="1924"/>
      <c r="H24" s="1924"/>
      <c r="I24" s="1924">
        <f>F24</f>
        <v>72526</v>
      </c>
      <c r="J24" s="1815"/>
      <c r="K24" s="1815"/>
      <c r="L24" s="1812">
        <f t="shared" si="0"/>
        <v>72526</v>
      </c>
      <c r="M24" s="1815" t="s">
        <v>2079</v>
      </c>
    </row>
    <row r="25" spans="2:14" s="1029" customFormat="1" ht="20.100000000000001" customHeight="1" x14ac:dyDescent="0.2">
      <c r="B25" s="1927" t="s">
        <v>2092</v>
      </c>
      <c r="C25" s="1928"/>
      <c r="D25" s="1929"/>
      <c r="E25" s="1930">
        <f>E23</f>
        <v>80787</v>
      </c>
      <c r="F25" s="1931">
        <f>+F24+F23</f>
        <v>83858</v>
      </c>
      <c r="G25" s="1931">
        <f>+G23</f>
        <v>81723</v>
      </c>
      <c r="H25" s="1931"/>
      <c r="I25" s="1931">
        <f>+I24+I23</f>
        <v>82922</v>
      </c>
      <c r="J25" s="1930"/>
      <c r="K25" s="1930"/>
      <c r="L25" s="1932">
        <f>+L24+L23</f>
        <v>164645</v>
      </c>
      <c r="M25" s="1930"/>
    </row>
    <row r="26" spans="2:14" ht="20.100000000000001" customHeight="1" x14ac:dyDescent="0.2">
      <c r="B26" s="1106" t="s">
        <v>2100</v>
      </c>
      <c r="C26" s="1813">
        <v>10.558999999999999</v>
      </c>
      <c r="D26" s="1814" t="s">
        <v>2070</v>
      </c>
      <c r="E26" s="1815"/>
      <c r="F26" s="1924">
        <v>157150</v>
      </c>
      <c r="G26" s="1924"/>
      <c r="H26" s="1924"/>
      <c r="I26" s="1924">
        <v>207163</v>
      </c>
      <c r="J26" s="1815"/>
      <c r="K26" s="1815"/>
      <c r="L26" s="1812">
        <f t="shared" si="0"/>
        <v>207163</v>
      </c>
      <c r="M26" s="1815" t="s">
        <v>2079</v>
      </c>
    </row>
    <row r="27" spans="2:14" ht="20.100000000000001" customHeight="1" x14ac:dyDescent="0.2">
      <c r="B27" s="1106"/>
      <c r="C27" s="1813"/>
      <c r="D27" s="1814"/>
      <c r="E27" s="1815"/>
      <c r="F27" s="1815"/>
      <c r="G27" s="1924"/>
      <c r="H27" s="1924"/>
      <c r="I27" s="1924"/>
      <c r="J27" s="1815"/>
      <c r="K27" s="1815"/>
      <c r="L27" s="1812"/>
      <c r="M27" s="1815"/>
    </row>
    <row r="28" spans="2:14" s="1029" customFormat="1" ht="20.100000000000001" customHeight="1" x14ac:dyDescent="0.2">
      <c r="B28" s="1927" t="s">
        <v>2032</v>
      </c>
      <c r="C28" s="1928"/>
      <c r="D28" s="1929"/>
      <c r="E28" s="1930">
        <f>E23+E19</f>
        <v>650708</v>
      </c>
      <c r="F28" s="1930">
        <f>+F26+F25+F21</f>
        <v>958648</v>
      </c>
      <c r="G28" s="1931">
        <f>+G25+G21</f>
        <v>658419</v>
      </c>
      <c r="H28" s="1931"/>
      <c r="I28" s="1931">
        <f>+I26+I25+I21</f>
        <v>1000950</v>
      </c>
      <c r="J28" s="1930"/>
      <c r="K28" s="1930"/>
      <c r="L28" s="1932">
        <f>+L26+L25+L21</f>
        <v>1659369</v>
      </c>
      <c r="M28" s="1930"/>
    </row>
    <row r="29" spans="2:14" s="1029" customFormat="1" ht="20.100000000000001" customHeight="1" x14ac:dyDescent="0.2">
      <c r="B29" s="1927" t="s">
        <v>2033</v>
      </c>
      <c r="C29" s="1928"/>
      <c r="D29" s="1929"/>
      <c r="E29" s="1930">
        <f>+E28</f>
        <v>650708</v>
      </c>
      <c r="F29" s="1930">
        <f>+F28</f>
        <v>958648</v>
      </c>
      <c r="G29" s="1931">
        <f>+G28</f>
        <v>658419</v>
      </c>
      <c r="H29" s="1931"/>
      <c r="I29" s="1931">
        <f>+I28</f>
        <v>1000950</v>
      </c>
      <c r="J29" s="1930"/>
      <c r="K29" s="1930"/>
      <c r="L29" s="1932">
        <f t="shared" si="0"/>
        <v>1659369</v>
      </c>
      <c r="M29" s="1930"/>
    </row>
    <row r="30" spans="2:14" ht="20.100000000000001" customHeight="1" x14ac:dyDescent="0.2">
      <c r="B30" s="1106"/>
      <c r="C30" s="1813"/>
      <c r="D30" s="1814"/>
      <c r="E30" s="1815"/>
      <c r="F30" s="1815"/>
      <c r="G30" s="1924"/>
      <c r="H30" s="1924"/>
      <c r="I30" s="1924"/>
      <c r="J30" s="1815"/>
      <c r="K30" s="1815"/>
      <c r="L30" s="1812"/>
      <c r="M30" s="1815"/>
    </row>
    <row r="31" spans="2:14" ht="20.100000000000001" customHeight="1" x14ac:dyDescent="0.2">
      <c r="B31" s="1106"/>
      <c r="C31" s="1813"/>
      <c r="D31" s="1814"/>
      <c r="E31" s="1815"/>
      <c r="F31" s="1815"/>
      <c r="G31" s="1815"/>
      <c r="H31" s="1815"/>
      <c r="I31" s="1815"/>
      <c r="J31" s="1815"/>
      <c r="K31" s="1815"/>
      <c r="L31" s="1812"/>
      <c r="M31" s="1815"/>
      <c r="N31" s="1107"/>
    </row>
    <row r="32" spans="2:14" ht="12.75" customHeight="1" x14ac:dyDescent="0.2">
      <c r="B32" s="1108"/>
      <c r="C32" s="1109"/>
      <c r="D32" s="1110"/>
      <c r="E32" s="1111"/>
      <c r="F32" s="1111"/>
      <c r="G32" s="1111"/>
      <c r="H32" s="1111"/>
      <c r="I32" s="1111"/>
      <c r="J32" s="1111"/>
      <c r="K32" s="1111"/>
      <c r="L32" s="1111"/>
      <c r="M32" s="1111"/>
      <c r="N32" s="1107"/>
    </row>
    <row r="33" spans="2:14" x14ac:dyDescent="0.2">
      <c r="B33" s="1026"/>
      <c r="C33" s="1112"/>
      <c r="D33" s="1113"/>
      <c r="E33" s="1026"/>
      <c r="F33" s="1026"/>
      <c r="G33" s="1019"/>
      <c r="H33" s="1019"/>
      <c r="I33" s="1019"/>
      <c r="J33" s="1019"/>
      <c r="K33" s="1019"/>
      <c r="L33" s="1019"/>
      <c r="M33" s="1026"/>
      <c r="N33" s="1107"/>
    </row>
    <row r="34" spans="2:14" ht="13.5" customHeight="1" x14ac:dyDescent="0.2">
      <c r="B34" s="1051" t="s">
        <v>1711</v>
      </c>
      <c r="C34" s="1112"/>
      <c r="D34" s="1113"/>
      <c r="E34" s="1026"/>
      <c r="F34" s="1026"/>
      <c r="G34" s="1019"/>
      <c r="H34" s="1019"/>
      <c r="I34" s="1019"/>
      <c r="J34" s="1019"/>
      <c r="K34" s="1019"/>
      <c r="L34" s="1019"/>
      <c r="M34" s="1026"/>
      <c r="N34" s="1107"/>
    </row>
    <row r="35" spans="2:14" ht="8.25" customHeight="1" x14ac:dyDescent="0.2">
      <c r="B35" s="1051"/>
      <c r="C35" s="1112"/>
      <c r="D35" s="1113"/>
      <c r="E35" s="1026"/>
      <c r="F35" s="1026"/>
      <c r="G35" s="1019"/>
      <c r="H35" s="1019"/>
      <c r="I35" s="1019"/>
      <c r="J35" s="1019"/>
      <c r="K35" s="1019"/>
      <c r="L35" s="1019"/>
      <c r="M35" s="1026"/>
      <c r="N35" s="1107"/>
    </row>
    <row r="36" spans="2:14" x14ac:dyDescent="0.2">
      <c r="B36" s="1114" t="s">
        <v>1809</v>
      </c>
      <c r="C36" s="1115"/>
      <c r="D36" s="1116"/>
      <c r="E36" s="1117"/>
      <c r="F36" s="1117"/>
      <c r="G36" s="1117"/>
      <c r="H36" s="1117"/>
      <c r="I36" s="295"/>
      <c r="J36" s="295"/>
    </row>
    <row r="37" spans="2:14" x14ac:dyDescent="0.2">
      <c r="B37" s="1046"/>
      <c r="C37" s="1118"/>
      <c r="D37" s="1119"/>
      <c r="E37" s="1047"/>
      <c r="F37" s="1047"/>
      <c r="G37" s="295"/>
      <c r="H37" s="295"/>
      <c r="I37" s="295"/>
      <c r="J37" s="295"/>
    </row>
    <row r="38" spans="2:14" ht="13.5" customHeight="1" x14ac:dyDescent="0.2">
      <c r="B38" s="1045" t="s">
        <v>1235</v>
      </c>
      <c r="G38" s="295"/>
      <c r="H38" s="295"/>
      <c r="I38" s="295"/>
      <c r="J38" s="295"/>
    </row>
    <row r="39" spans="2:14" ht="13.5" customHeight="1" x14ac:dyDescent="0.2">
      <c r="B39" s="1122"/>
      <c r="C39" s="1123"/>
      <c r="D39" s="1124"/>
      <c r="E39" s="1066"/>
      <c r="F39" s="1066"/>
      <c r="G39" s="1066"/>
      <c r="H39" s="1066"/>
      <c r="I39" s="1066"/>
      <c r="J39" s="1066"/>
      <c r="K39" s="1125"/>
      <c r="L39" s="1125"/>
      <c r="M39" s="1066"/>
    </row>
    <row r="40" spans="2:14" ht="9.6" customHeight="1" x14ac:dyDescent="0.2">
      <c r="B40" s="1126"/>
      <c r="G40" s="295"/>
      <c r="H40" s="295"/>
      <c r="I40" s="295"/>
      <c r="J40" s="295"/>
    </row>
    <row r="41" spans="2:14" ht="11.25" customHeight="1" x14ac:dyDescent="0.2">
      <c r="B41" s="1127" t="s">
        <v>1712</v>
      </c>
      <c r="C41" s="1128"/>
      <c r="D41" s="1128"/>
      <c r="E41" s="1128"/>
      <c r="F41" s="1128"/>
      <c r="G41" s="1128"/>
      <c r="H41" s="1128"/>
      <c r="I41" s="1129"/>
      <c r="J41" s="1129"/>
      <c r="K41" s="1129"/>
      <c r="L41" s="1129"/>
      <c r="M41" s="1129"/>
    </row>
    <row r="42" spans="2:14" ht="11.25" customHeight="1" x14ac:dyDescent="0.2">
      <c r="B42" s="1130" t="s">
        <v>1567</v>
      </c>
      <c r="C42" s="1129"/>
      <c r="D42" s="1129"/>
      <c r="E42" s="1129"/>
      <c r="F42" s="1129"/>
      <c r="G42" s="1129"/>
      <c r="H42" s="1129"/>
      <c r="I42" s="1129"/>
      <c r="J42" s="1129"/>
      <c r="K42" s="1129"/>
      <c r="L42" s="1129"/>
      <c r="M42" s="1129"/>
    </row>
    <row r="43" spans="2:14" ht="3.95" customHeight="1" x14ac:dyDescent="0.2">
      <c r="B43" s="1130"/>
      <c r="C43" s="1129"/>
      <c r="D43" s="1129"/>
      <c r="E43" s="1129"/>
      <c r="F43" s="1129"/>
      <c r="G43" s="1129"/>
      <c r="H43" s="1129"/>
      <c r="I43" s="1129"/>
      <c r="J43" s="1129"/>
      <c r="K43" s="1129"/>
      <c r="L43" s="1129"/>
      <c r="M43" s="1129"/>
    </row>
    <row r="44" spans="2:14" ht="11.25" customHeight="1" x14ac:dyDescent="0.2">
      <c r="B44" s="1127" t="s">
        <v>1713</v>
      </c>
      <c r="C44" s="1129"/>
      <c r="D44" s="1129"/>
      <c r="E44" s="1129"/>
      <c r="F44" s="1129"/>
      <c r="G44" s="1129"/>
      <c r="H44" s="1129"/>
      <c r="I44" s="1129"/>
      <c r="J44" s="1129"/>
      <c r="K44" s="1129"/>
      <c r="L44" s="1129"/>
      <c r="M44" s="1129"/>
    </row>
    <row r="45" spans="2:14" ht="11.25" customHeight="1" x14ac:dyDescent="0.2">
      <c r="B45" s="1069" t="s">
        <v>1568</v>
      </c>
      <c r="C45" s="1131"/>
      <c r="D45" s="1132"/>
      <c r="E45" s="1069"/>
      <c r="F45" s="1069"/>
      <c r="G45" s="1069"/>
      <c r="H45" s="1069"/>
      <c r="I45" s="1069"/>
      <c r="J45" s="1069"/>
      <c r="K45" s="1133"/>
      <c r="L45" s="1133"/>
      <c r="M45" s="1069"/>
    </row>
    <row r="46" spans="2:14" ht="3.95" customHeight="1" x14ac:dyDescent="0.2">
      <c r="B46" s="1069"/>
      <c r="C46" s="1131"/>
      <c r="D46" s="1132"/>
      <c r="E46" s="1069"/>
      <c r="F46" s="1069"/>
      <c r="G46" s="1069"/>
      <c r="H46" s="1069"/>
      <c r="I46" s="1069"/>
      <c r="J46" s="1069"/>
      <c r="K46" s="1133"/>
      <c r="L46" s="1133"/>
      <c r="M46" s="1069"/>
    </row>
    <row r="47" spans="2:14" ht="11.25" customHeight="1" x14ac:dyDescent="0.2">
      <c r="B47" s="1134" t="s">
        <v>1714</v>
      </c>
      <c r="C47" s="1131"/>
      <c r="D47" s="1132"/>
      <c r="E47" s="1069"/>
      <c r="F47" s="1069"/>
      <c r="G47" s="1069"/>
      <c r="H47" s="1069"/>
      <c r="I47" s="1069"/>
      <c r="J47" s="1069"/>
      <c r="K47" s="1133"/>
      <c r="L47" s="1133"/>
      <c r="M47" s="1069"/>
    </row>
    <row r="48" spans="2:14" ht="3.95" customHeight="1" x14ac:dyDescent="0.2">
      <c r="B48" s="1134"/>
      <c r="C48" s="1131"/>
      <c r="D48" s="1132"/>
      <c r="E48" s="1069"/>
      <c r="F48" s="1069"/>
      <c r="G48" s="1069"/>
      <c r="H48" s="1069"/>
      <c r="I48" s="1069"/>
      <c r="J48" s="1069"/>
      <c r="K48" s="1133"/>
      <c r="L48" s="1133"/>
      <c r="M48" s="1069"/>
    </row>
    <row r="49" spans="2:13" ht="11.25" customHeight="1" x14ac:dyDescent="0.2">
      <c r="B49" s="1135" t="s">
        <v>1715</v>
      </c>
      <c r="C49" s="1131"/>
      <c r="D49" s="1132"/>
      <c r="E49" s="1069"/>
      <c r="F49" s="1069"/>
      <c r="G49" s="1069"/>
      <c r="H49" s="1069"/>
      <c r="I49" s="1069"/>
      <c r="J49" s="1069"/>
      <c r="K49" s="1133"/>
      <c r="L49" s="1133"/>
      <c r="M49" s="1069"/>
    </row>
    <row r="50" spans="2:13" ht="11.25" customHeight="1" x14ac:dyDescent="0.2">
      <c r="B50" s="1069" t="s">
        <v>1569</v>
      </c>
      <c r="G50" s="295"/>
      <c r="H50" s="295"/>
      <c r="I50" s="295"/>
      <c r="J50" s="295"/>
    </row>
    <row r="51" spans="2:13" ht="11.1" customHeight="1" x14ac:dyDescent="0.2">
      <c r="B51" s="1069"/>
      <c r="G51" s="295"/>
      <c r="H51" s="295"/>
      <c r="I51" s="295"/>
      <c r="J51" s="295"/>
    </row>
    <row r="52" spans="2:13" ht="11.1" customHeight="1" x14ac:dyDescent="0.2">
      <c r="B52" s="1069"/>
      <c r="G52" s="295"/>
      <c r="H52" s="295"/>
      <c r="I52" s="295"/>
      <c r="J52" s="295"/>
    </row>
    <row r="53" spans="2:13" ht="13.5" customHeight="1" x14ac:dyDescent="0.2">
      <c r="M53" s="1136"/>
    </row>
    <row r="54" spans="2:13" ht="13.5" customHeight="1" x14ac:dyDescent="0.2">
      <c r="M54" s="1136"/>
    </row>
    <row r="55" spans="2:13" ht="13.5" customHeight="1" x14ac:dyDescent="0.2">
      <c r="M55" s="1136"/>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6" bottom="0.3" header="0.41" footer="0.25"/>
  <pageSetup scale="78"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D00D-37EF-4D01-927E-2880A06E555D}">
  <sheetPr>
    <tabColor rgb="FF92D050"/>
    <pageSetUpPr fitToPage="1"/>
  </sheetPr>
  <dimension ref="B1:N156"/>
  <sheetViews>
    <sheetView showGridLines="0" topLeftCell="A7" zoomScale="90" zoomScaleNormal="90" zoomScaleSheetLayoutView="85" workbookViewId="0">
      <selection activeCell="E24" sqref="E24"/>
    </sheetView>
  </sheetViews>
  <sheetFormatPr defaultColWidth="33.5703125" defaultRowHeight="12.75" x14ac:dyDescent="0.2"/>
  <cols>
    <col min="1" max="1" width="0.140625" style="295" customWidth="1"/>
    <col min="2" max="2" width="43.570312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74" t="str">
        <f>'Single Audit Cover'!A7</f>
        <v xml:space="preserve">  McHenry CCSD 15</v>
      </c>
      <c r="C1" s="2596"/>
      <c r="D1" s="2596"/>
      <c r="E1" s="2596"/>
      <c r="F1" s="2596"/>
      <c r="G1" s="2596"/>
      <c r="H1" s="2596"/>
      <c r="I1" s="2596"/>
      <c r="J1" s="2596"/>
      <c r="K1" s="2596"/>
      <c r="L1" s="2596"/>
      <c r="M1" s="2596"/>
    </row>
    <row r="2" spans="2:14" ht="15" x14ac:dyDescent="0.2">
      <c r="B2" s="2597">
        <f>'Single Audit Cover'!E7</f>
        <v>44063015004</v>
      </c>
      <c r="C2" s="2597"/>
      <c r="D2" s="2597"/>
      <c r="E2" s="2597"/>
      <c r="F2" s="2597"/>
      <c r="G2" s="2597"/>
      <c r="H2" s="2597"/>
      <c r="I2" s="2597"/>
      <c r="J2" s="2597"/>
      <c r="K2" s="2597"/>
      <c r="L2" s="2597"/>
      <c r="M2" s="2597"/>
      <c r="N2" s="1071"/>
    </row>
    <row r="3" spans="2:14" ht="15" x14ac:dyDescent="0.2">
      <c r="B3" s="2598" t="s">
        <v>1208</v>
      </c>
      <c r="C3" s="2598"/>
      <c r="D3" s="2598"/>
      <c r="E3" s="2598"/>
      <c r="F3" s="2598"/>
      <c r="G3" s="2598"/>
      <c r="H3" s="2598"/>
      <c r="I3" s="2598"/>
      <c r="J3" s="2598"/>
      <c r="K3" s="2598"/>
      <c r="L3" s="2598"/>
      <c r="M3" s="2598"/>
      <c r="N3" s="1071"/>
    </row>
    <row r="4" spans="2:14" ht="15" x14ac:dyDescent="0.2">
      <c r="B4" s="2599" t="str">
        <f>'Single Audit Cover'!A4</f>
        <v>Year Ending June 30, 2020</v>
      </c>
      <c r="C4" s="2599"/>
      <c r="D4" s="2599"/>
      <c r="E4" s="2599"/>
      <c r="F4" s="2599"/>
      <c r="G4" s="2599"/>
      <c r="H4" s="2599"/>
      <c r="I4" s="2599"/>
      <c r="J4" s="2599"/>
      <c r="K4" s="2599"/>
      <c r="L4" s="2599"/>
      <c r="M4" s="2599"/>
      <c r="N4" s="1071"/>
    </row>
    <row r="5" spans="2:14" x14ac:dyDescent="0.2">
      <c r="H5" s="1901"/>
      <c r="J5" s="1901"/>
    </row>
    <row r="6" spans="2:14" x14ac:dyDescent="0.2">
      <c r="B6" s="1072"/>
      <c r="C6" s="1073"/>
      <c r="D6" s="1074" t="s">
        <v>1254</v>
      </c>
      <c r="E6" s="1075" t="s">
        <v>524</v>
      </c>
      <c r="F6" s="1076"/>
      <c r="G6" s="1077" t="s">
        <v>1708</v>
      </c>
      <c r="H6" s="1075"/>
      <c r="I6" s="1075"/>
      <c r="J6" s="1902"/>
      <c r="K6" s="1078"/>
      <c r="L6" s="1079"/>
      <c r="M6" s="1080"/>
    </row>
    <row r="7" spans="2:14" x14ac:dyDescent="0.2">
      <c r="B7" s="1081" t="s">
        <v>1564</v>
      </c>
      <c r="C7" s="1082"/>
      <c r="D7" s="1083"/>
      <c r="E7" s="1084"/>
      <c r="F7" s="1085"/>
      <c r="G7" s="1084"/>
      <c r="H7" s="1086" t="s">
        <v>1251</v>
      </c>
      <c r="I7" s="1084"/>
      <c r="J7" s="1087" t="s">
        <v>1251</v>
      </c>
      <c r="K7" s="1088"/>
      <c r="L7" s="1089" t="s">
        <v>1249</v>
      </c>
      <c r="M7" s="1090"/>
    </row>
    <row r="8" spans="2:14" x14ac:dyDescent="0.2">
      <c r="B8" s="1372"/>
      <c r="C8" s="1082" t="s">
        <v>1253</v>
      </c>
      <c r="D8" s="1083" t="s">
        <v>1252</v>
      </c>
      <c r="E8" s="1091" t="s">
        <v>1251</v>
      </c>
      <c r="F8" s="1092" t="s">
        <v>1251</v>
      </c>
      <c r="G8" s="1093" t="s">
        <v>1251</v>
      </c>
      <c r="H8" s="1808" t="str">
        <f>"7/1/"&amp;MID('AFR20'!$E$2,3,2)-2&amp;"-6/30/"&amp;MID('AFR20'!$E$2,3,2)-1</f>
        <v>7/1/18-6/30/19</v>
      </c>
      <c r="I8" s="1088" t="s">
        <v>1251</v>
      </c>
      <c r="J8" s="1809" t="str">
        <f>"7/1/"&amp;MID('AFR20'!$E$2,3,2)-1&amp;"-6/30/"&amp;MID('AFR20'!$E$2,3,2)</f>
        <v>7/1/19-6/30/20</v>
      </c>
      <c r="K8" s="1088" t="s">
        <v>1250</v>
      </c>
      <c r="L8" s="1089" t="s">
        <v>1246</v>
      </c>
      <c r="M8" s="1090" t="s">
        <v>30</v>
      </c>
    </row>
    <row r="9" spans="2:14" ht="14.25" x14ac:dyDescent="0.2">
      <c r="B9" s="1094" t="s">
        <v>1248</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1565</v>
      </c>
      <c r="I9" s="1900" t="str">
        <f>"7/1/"&amp;MID('AFR20'!$E$2,3,2)-1&amp;"-6/30/"&amp;MID('AFR20'!$E$2,3,2)</f>
        <v>7/1/19-6/30/20</v>
      </c>
      <c r="J9" s="1087" t="s">
        <v>1565</v>
      </c>
      <c r="K9" s="1088" t="s">
        <v>1247</v>
      </c>
      <c r="L9" s="1095" t="s">
        <v>1566</v>
      </c>
      <c r="M9" s="1090"/>
    </row>
    <row r="10" spans="2:14" ht="11.85" customHeight="1" x14ac:dyDescent="0.2">
      <c r="B10" s="1094" t="s">
        <v>1245</v>
      </c>
      <c r="C10" s="1096" t="s">
        <v>1244</v>
      </c>
      <c r="D10" s="1097" t="s">
        <v>1243</v>
      </c>
      <c r="E10" s="1098" t="s">
        <v>1242</v>
      </c>
      <c r="F10" s="1099" t="s">
        <v>1241</v>
      </c>
      <c r="G10" s="1100" t="s">
        <v>1240</v>
      </c>
      <c r="H10" s="1101" t="s">
        <v>1255</v>
      </c>
      <c r="I10" s="1102" t="s">
        <v>1239</v>
      </c>
      <c r="J10" s="1103" t="s">
        <v>1255</v>
      </c>
      <c r="K10" s="1104" t="s">
        <v>1238</v>
      </c>
      <c r="L10" s="1104" t="s">
        <v>1237</v>
      </c>
      <c r="M10" s="1105" t="s">
        <v>1236</v>
      </c>
    </row>
    <row r="11" spans="2:14" ht="20.100000000000001" customHeight="1" x14ac:dyDescent="0.2">
      <c r="B11" s="1927" t="s">
        <v>2076</v>
      </c>
      <c r="C11" s="1810"/>
      <c r="D11" s="1811"/>
      <c r="E11" s="1812"/>
      <c r="F11" s="1812"/>
      <c r="G11" s="1812"/>
      <c r="H11" s="1812"/>
      <c r="I11" s="1812"/>
      <c r="J11" s="1812"/>
      <c r="K11" s="1812"/>
      <c r="L11" s="1812"/>
      <c r="M11" s="1812"/>
    </row>
    <row r="12" spans="2:14" ht="20.100000000000001" customHeight="1" x14ac:dyDescent="0.2">
      <c r="B12" s="1106" t="s">
        <v>2039</v>
      </c>
      <c r="C12" s="1810"/>
      <c r="D12" s="1811"/>
      <c r="E12" s="1812"/>
      <c r="F12" s="1812"/>
      <c r="G12" s="1812"/>
      <c r="H12" s="1812"/>
      <c r="I12" s="1812"/>
      <c r="J12" s="1812"/>
      <c r="K12" s="1812"/>
      <c r="L12" s="1812"/>
      <c r="M12" s="1812"/>
    </row>
    <row r="13" spans="2:14" ht="20.100000000000001" customHeight="1" x14ac:dyDescent="0.2">
      <c r="B13" s="1106" t="s">
        <v>2040</v>
      </c>
      <c r="C13" s="1813"/>
      <c r="D13" s="1814"/>
      <c r="E13" s="1815"/>
      <c r="F13" s="1924"/>
      <c r="G13" s="1924"/>
      <c r="H13" s="1924"/>
      <c r="I13" s="1924"/>
      <c r="J13" s="1815"/>
      <c r="K13" s="1815"/>
      <c r="L13" s="1812"/>
      <c r="M13" s="1815"/>
    </row>
    <row r="14" spans="2:14" ht="13.5" customHeight="1" x14ac:dyDescent="0.2">
      <c r="B14" s="1106" t="s">
        <v>2041</v>
      </c>
      <c r="C14" s="1813">
        <v>84.027000000000001</v>
      </c>
      <c r="D14" s="1814" t="s">
        <v>2044</v>
      </c>
      <c r="E14" s="1815">
        <v>55697</v>
      </c>
      <c r="F14" s="1924">
        <f>121529-E14</f>
        <v>65832</v>
      </c>
      <c r="G14" s="1924">
        <v>55697</v>
      </c>
      <c r="H14" s="1924"/>
      <c r="I14" s="1924">
        <v>65832</v>
      </c>
      <c r="J14" s="1815"/>
      <c r="K14" s="1815"/>
      <c r="L14" s="1812">
        <f t="shared" ref="L14:L31" si="0">+G14+I14+K14</f>
        <v>121529</v>
      </c>
      <c r="M14" s="1815" t="s">
        <v>2079</v>
      </c>
    </row>
    <row r="15" spans="2:14" ht="13.5" customHeight="1" x14ac:dyDescent="0.2">
      <c r="B15" s="1106" t="s">
        <v>2041</v>
      </c>
      <c r="C15" s="1813">
        <v>84.027000000000001</v>
      </c>
      <c r="D15" s="1814" t="s">
        <v>2045</v>
      </c>
      <c r="E15" s="1815"/>
      <c r="F15" s="1924">
        <v>160215</v>
      </c>
      <c r="G15" s="1924"/>
      <c r="H15" s="1924"/>
      <c r="I15" s="1924">
        <v>184987</v>
      </c>
      <c r="J15" s="1815"/>
      <c r="K15" s="1815"/>
      <c r="L15" s="1812">
        <f t="shared" si="0"/>
        <v>184987</v>
      </c>
      <c r="M15" s="1815" t="s">
        <v>2079</v>
      </c>
    </row>
    <row r="16" spans="2:14" ht="13.5" customHeight="1" x14ac:dyDescent="0.2">
      <c r="B16" s="1106" t="s">
        <v>2052</v>
      </c>
      <c r="C16" s="1813">
        <v>84.027000000000001</v>
      </c>
      <c r="D16" s="1814" t="s">
        <v>2053</v>
      </c>
      <c r="E16" s="1815"/>
      <c r="F16" s="1924">
        <v>29581</v>
      </c>
      <c r="G16" s="1924"/>
      <c r="H16" s="1924"/>
      <c r="I16" s="1924">
        <f>F16</f>
        <v>29581</v>
      </c>
      <c r="J16" s="1815"/>
      <c r="K16" s="1815"/>
      <c r="L16" s="1812">
        <f t="shared" si="0"/>
        <v>29581</v>
      </c>
      <c r="M16" s="1815" t="s">
        <v>2079</v>
      </c>
    </row>
    <row r="17" spans="2:14" ht="13.5" customHeight="1" x14ac:dyDescent="0.2">
      <c r="B17" s="1106" t="s">
        <v>2054</v>
      </c>
      <c r="C17" s="1813"/>
      <c r="D17" s="1814"/>
      <c r="E17" s="1815"/>
      <c r="F17" s="1924"/>
      <c r="G17" s="1924"/>
      <c r="H17" s="1924"/>
      <c r="I17" s="1924"/>
      <c r="J17" s="1815"/>
      <c r="K17" s="1815"/>
      <c r="L17" s="1812"/>
      <c r="M17" s="1815"/>
    </row>
    <row r="18" spans="2:14" ht="13.5" customHeight="1" x14ac:dyDescent="0.2">
      <c r="B18" s="1106" t="s">
        <v>2042</v>
      </c>
      <c r="C18" s="1813">
        <v>84.027000000000001</v>
      </c>
      <c r="D18" s="1814" t="s">
        <v>2046</v>
      </c>
      <c r="E18" s="1815">
        <v>834965</v>
      </c>
      <c r="F18" s="1924">
        <f>1082210-E18</f>
        <v>247245</v>
      </c>
      <c r="G18" s="1924">
        <v>1082210</v>
      </c>
      <c r="H18" s="1924"/>
      <c r="I18" s="1924"/>
      <c r="J18" s="1815"/>
      <c r="K18" s="1815"/>
      <c r="L18" s="1812">
        <f t="shared" si="0"/>
        <v>1082210</v>
      </c>
      <c r="M18" s="1815">
        <v>1119259</v>
      </c>
    </row>
    <row r="19" spans="2:14" ht="13.5" customHeight="1" x14ac:dyDescent="0.2">
      <c r="B19" s="1106" t="s">
        <v>2042</v>
      </c>
      <c r="C19" s="1813">
        <v>84.027000000000001</v>
      </c>
      <c r="D19" s="1814" t="s">
        <v>2047</v>
      </c>
      <c r="E19" s="1815"/>
      <c r="F19" s="1924">
        <v>785461</v>
      </c>
      <c r="G19" s="1924"/>
      <c r="H19" s="1924"/>
      <c r="I19" s="1924">
        <v>1034474</v>
      </c>
      <c r="J19" s="1815"/>
      <c r="K19" s="1815"/>
      <c r="L19" s="1812">
        <f t="shared" si="0"/>
        <v>1034474</v>
      </c>
      <c r="M19" s="1815">
        <v>1145897</v>
      </c>
    </row>
    <row r="20" spans="2:14" s="1029" customFormat="1" ht="19.5" customHeight="1" x14ac:dyDescent="0.2">
      <c r="B20" s="1927" t="s">
        <v>2095</v>
      </c>
      <c r="C20" s="1928"/>
      <c r="D20" s="1929"/>
      <c r="E20" s="1930">
        <f>+E18+E14</f>
        <v>890662</v>
      </c>
      <c r="F20" s="1931">
        <f>+F19+F18+F16+F15+F14</f>
        <v>1288334</v>
      </c>
      <c r="G20" s="1931">
        <f>+G18+G14</f>
        <v>1137907</v>
      </c>
      <c r="H20" s="1931"/>
      <c r="I20" s="1931">
        <f>+I19+I16+I15+I14</f>
        <v>1314874</v>
      </c>
      <c r="J20" s="1930"/>
      <c r="K20" s="1930"/>
      <c r="L20" s="1932">
        <f>+L19+L18+L16+L15+L14</f>
        <v>2452781</v>
      </c>
      <c r="M20" s="1930"/>
    </row>
    <row r="21" spans="2:14" ht="13.5" customHeight="1" x14ac:dyDescent="0.2">
      <c r="B21" s="1106" t="s">
        <v>2043</v>
      </c>
      <c r="C21" s="1813">
        <v>84.173000000000002</v>
      </c>
      <c r="D21" s="1814" t="s">
        <v>2048</v>
      </c>
      <c r="E21" s="1815">
        <v>49266</v>
      </c>
      <c r="F21" s="1924">
        <f>54316-E21</f>
        <v>5050</v>
      </c>
      <c r="G21" s="1924">
        <v>54316</v>
      </c>
      <c r="H21" s="1924"/>
      <c r="I21" s="1924"/>
      <c r="J21" s="1815"/>
      <c r="K21" s="1815"/>
      <c r="L21" s="1812">
        <f t="shared" si="0"/>
        <v>54316</v>
      </c>
      <c r="M21" s="1815">
        <v>65655</v>
      </c>
    </row>
    <row r="22" spans="2:14" ht="13.5" customHeight="1" x14ac:dyDescent="0.2">
      <c r="B22" s="1106" t="s">
        <v>2043</v>
      </c>
      <c r="C22" s="1813">
        <v>84.173000000000002</v>
      </c>
      <c r="D22" s="1814" t="s">
        <v>2049</v>
      </c>
      <c r="E22" s="1815"/>
      <c r="F22" s="1924">
        <v>41432</v>
      </c>
      <c r="G22" s="1924"/>
      <c r="H22" s="1924"/>
      <c r="I22" s="1924">
        <v>53390</v>
      </c>
      <c r="J22" s="1815"/>
      <c r="K22" s="1815"/>
      <c r="L22" s="1812">
        <f t="shared" si="0"/>
        <v>53390</v>
      </c>
      <c r="M22" s="1815">
        <v>68578</v>
      </c>
    </row>
    <row r="23" spans="2:14" s="1029" customFormat="1" ht="19.5" customHeight="1" x14ac:dyDescent="0.2">
      <c r="B23" s="1927" t="s">
        <v>2096</v>
      </c>
      <c r="C23" s="1928"/>
      <c r="D23" s="1929"/>
      <c r="E23" s="1930">
        <f>+E21</f>
        <v>49266</v>
      </c>
      <c r="F23" s="1931">
        <f>+F22+F21</f>
        <v>46482</v>
      </c>
      <c r="G23" s="1931">
        <f>+G21</f>
        <v>54316</v>
      </c>
      <c r="H23" s="1931"/>
      <c r="I23" s="1931">
        <f>+I22</f>
        <v>53390</v>
      </c>
      <c r="J23" s="1930"/>
      <c r="K23" s="1930"/>
      <c r="L23" s="1932">
        <f>+L22+L21</f>
        <v>107706</v>
      </c>
      <c r="M23" s="1930">
        <f>+M22+M21</f>
        <v>134233</v>
      </c>
    </row>
    <row r="24" spans="2:14" s="1029" customFormat="1" ht="20.100000000000001" customHeight="1" x14ac:dyDescent="0.2">
      <c r="B24" s="1927" t="s">
        <v>2094</v>
      </c>
      <c r="C24" s="1928"/>
      <c r="D24" s="1929"/>
      <c r="E24" s="1930">
        <f>+E23+E20</f>
        <v>939928</v>
      </c>
      <c r="F24" s="1931">
        <f>+F23+F20</f>
        <v>1334816</v>
      </c>
      <c r="G24" s="1931">
        <f>+G23+G20</f>
        <v>1192223</v>
      </c>
      <c r="H24" s="1931"/>
      <c r="I24" s="1931">
        <f>+I23+I20</f>
        <v>1368264</v>
      </c>
      <c r="J24" s="1930"/>
      <c r="K24" s="1930"/>
      <c r="L24" s="1932">
        <f>+L23+L20</f>
        <v>2560487</v>
      </c>
      <c r="M24" s="1930"/>
    </row>
    <row r="25" spans="2:14" ht="20.100000000000001" customHeight="1" x14ac:dyDescent="0.2">
      <c r="B25" s="1106" t="s">
        <v>2040</v>
      </c>
      <c r="C25" s="1813"/>
      <c r="D25" s="1814"/>
      <c r="E25" s="1815"/>
      <c r="F25" s="1924"/>
      <c r="G25" s="1924"/>
      <c r="H25" s="1924"/>
      <c r="I25" s="1924"/>
      <c r="J25" s="1815"/>
      <c r="K25" s="1815"/>
      <c r="L25" s="1812"/>
      <c r="M25" s="1815"/>
    </row>
    <row r="26" spans="2:14" ht="13.5" customHeight="1" x14ac:dyDescent="0.2">
      <c r="B26" s="1106" t="s">
        <v>2075</v>
      </c>
      <c r="C26" s="1813">
        <v>84.01</v>
      </c>
      <c r="D26" s="1814" t="s">
        <v>2050</v>
      </c>
      <c r="E26" s="1815">
        <v>431675</v>
      </c>
      <c r="F26" s="1924">
        <f>754876-E26</f>
        <v>323201</v>
      </c>
      <c r="G26" s="1924">
        <v>754876</v>
      </c>
      <c r="H26" s="1924"/>
      <c r="I26" s="1924"/>
      <c r="J26" s="1815"/>
      <c r="K26" s="1815"/>
      <c r="L26" s="1812">
        <f t="shared" si="0"/>
        <v>754876</v>
      </c>
      <c r="M26" s="1815">
        <v>769431</v>
      </c>
    </row>
    <row r="27" spans="2:14" ht="13.5" customHeight="1" x14ac:dyDescent="0.2">
      <c r="B27" s="1106" t="s">
        <v>2075</v>
      </c>
      <c r="C27" s="1813">
        <v>84.01</v>
      </c>
      <c r="D27" s="1814" t="s">
        <v>2051</v>
      </c>
      <c r="E27" s="1815"/>
      <c r="F27" s="1924">
        <v>429747</v>
      </c>
      <c r="G27" s="1924"/>
      <c r="H27" s="1924"/>
      <c r="I27" s="1924">
        <v>582651</v>
      </c>
      <c r="J27" s="1815"/>
      <c r="K27" s="1815"/>
      <c r="L27" s="1812">
        <f t="shared" si="0"/>
        <v>582651</v>
      </c>
      <c r="M27" s="1815">
        <v>635850</v>
      </c>
    </row>
    <row r="28" spans="2:14" ht="13.5" customHeight="1" x14ac:dyDescent="0.2">
      <c r="B28" s="1106" t="s">
        <v>2093</v>
      </c>
      <c r="C28" s="1813">
        <v>84.01</v>
      </c>
      <c r="D28" s="1814" t="s">
        <v>2055</v>
      </c>
      <c r="E28" s="1815">
        <v>40849</v>
      </c>
      <c r="F28" s="1924">
        <v>4050</v>
      </c>
      <c r="G28" s="1924">
        <v>44899</v>
      </c>
      <c r="H28" s="1924"/>
      <c r="I28" s="1924"/>
      <c r="J28" s="1815"/>
      <c r="K28" s="1815"/>
      <c r="L28" s="1812">
        <v>44899</v>
      </c>
      <c r="M28" s="1815">
        <v>45000</v>
      </c>
    </row>
    <row r="29" spans="2:14" s="1029" customFormat="1" ht="19.5" customHeight="1" x14ac:dyDescent="0.2">
      <c r="B29" s="1927" t="s">
        <v>2097</v>
      </c>
      <c r="C29" s="1928"/>
      <c r="D29" s="1929"/>
      <c r="E29" s="1930">
        <f>+E26+E28</f>
        <v>472524</v>
      </c>
      <c r="F29" s="1931">
        <f>+F27+F26+F28</f>
        <v>756998</v>
      </c>
      <c r="G29" s="1931">
        <f>+G26+G28</f>
        <v>799775</v>
      </c>
      <c r="H29" s="1931"/>
      <c r="I29" s="1931">
        <f>+I27</f>
        <v>582651</v>
      </c>
      <c r="J29" s="1930"/>
      <c r="K29" s="1930"/>
      <c r="L29" s="1932">
        <f>+L27+L26+L28</f>
        <v>1382426</v>
      </c>
      <c r="M29" s="1930"/>
    </row>
    <row r="30" spans="2:14" ht="13.5" customHeight="1" x14ac:dyDescent="0.2">
      <c r="B30" s="1106" t="s">
        <v>2056</v>
      </c>
      <c r="C30" s="1813">
        <v>84.367000000000004</v>
      </c>
      <c r="D30" s="1814" t="s">
        <v>2057</v>
      </c>
      <c r="E30" s="1815">
        <v>61886</v>
      </c>
      <c r="F30" s="1924">
        <f>+G30-E30</f>
        <v>19265</v>
      </c>
      <c r="G30" s="1924">
        <v>81151</v>
      </c>
      <c r="H30" s="1924"/>
      <c r="I30" s="1924"/>
      <c r="J30" s="1815"/>
      <c r="K30" s="1815"/>
      <c r="L30" s="1812">
        <f t="shared" si="0"/>
        <v>81151</v>
      </c>
      <c r="M30" s="1815">
        <v>93600</v>
      </c>
    </row>
    <row r="31" spans="2:14" ht="13.5" customHeight="1" x14ac:dyDescent="0.2">
      <c r="B31" s="1106" t="s">
        <v>2056</v>
      </c>
      <c r="C31" s="1813">
        <v>84.367000000000004</v>
      </c>
      <c r="D31" s="1814" t="s">
        <v>2058</v>
      </c>
      <c r="E31" s="1815"/>
      <c r="F31" s="1924">
        <v>98646</v>
      </c>
      <c r="G31" s="1924"/>
      <c r="H31" s="1924"/>
      <c r="I31" s="1924">
        <v>110216</v>
      </c>
      <c r="J31" s="1815"/>
      <c r="K31" s="1815"/>
      <c r="L31" s="1812">
        <f t="shared" si="0"/>
        <v>110216</v>
      </c>
      <c r="M31" s="1815">
        <v>121587</v>
      </c>
      <c r="N31" s="1107"/>
    </row>
    <row r="32" spans="2:14" s="1029" customFormat="1" ht="13.5" customHeight="1" x14ac:dyDescent="0.2">
      <c r="B32" s="1927" t="s">
        <v>2098</v>
      </c>
      <c r="C32" s="1928"/>
      <c r="D32" s="1929"/>
      <c r="E32" s="1930">
        <f>+E30</f>
        <v>61886</v>
      </c>
      <c r="F32" s="1931">
        <f>+F31+F30</f>
        <v>117911</v>
      </c>
      <c r="G32" s="1931">
        <f>+G30</f>
        <v>81151</v>
      </c>
      <c r="H32" s="1931"/>
      <c r="I32" s="1931">
        <f>+I31</f>
        <v>110216</v>
      </c>
      <c r="J32" s="1930"/>
      <c r="K32" s="1930"/>
      <c r="L32" s="1932">
        <f>+L31+L30</f>
        <v>191367</v>
      </c>
      <c r="M32" s="1930"/>
      <c r="N32" s="1933"/>
    </row>
    <row r="33" spans="2:14" x14ac:dyDescent="0.2">
      <c r="B33" s="1026"/>
      <c r="C33" s="1112"/>
      <c r="D33" s="1113"/>
      <c r="E33" s="1026"/>
      <c r="F33" s="1026"/>
      <c r="G33" s="1019"/>
      <c r="H33" s="1019"/>
      <c r="I33" s="1019"/>
      <c r="J33" s="1019"/>
      <c r="K33" s="1019"/>
      <c r="L33" s="1019"/>
      <c r="M33" s="1026"/>
      <c r="N33" s="1107"/>
    </row>
    <row r="34" spans="2:14" ht="13.5" customHeight="1" x14ac:dyDescent="0.2">
      <c r="B34" s="1051" t="s">
        <v>1711</v>
      </c>
      <c r="C34" s="1112"/>
      <c r="D34" s="1113"/>
      <c r="E34" s="1026"/>
      <c r="F34" s="1026"/>
      <c r="G34" s="1019"/>
      <c r="H34" s="1019"/>
      <c r="I34" s="1019"/>
      <c r="J34" s="1019"/>
      <c r="K34" s="1019"/>
      <c r="L34" s="1019"/>
      <c r="M34" s="1026"/>
      <c r="N34" s="1107"/>
    </row>
    <row r="35" spans="2:14" ht="8.25" customHeight="1" x14ac:dyDescent="0.2">
      <c r="B35" s="1051"/>
      <c r="C35" s="1112"/>
      <c r="D35" s="1113"/>
      <c r="E35" s="1026"/>
      <c r="F35" s="1026"/>
      <c r="G35" s="1019"/>
      <c r="H35" s="1019"/>
      <c r="I35" s="1019"/>
      <c r="J35" s="1019"/>
      <c r="K35" s="1019"/>
      <c r="L35" s="1019"/>
      <c r="M35" s="1026"/>
      <c r="N35" s="1107"/>
    </row>
    <row r="36" spans="2:14" x14ac:dyDescent="0.2">
      <c r="B36" s="1114" t="s">
        <v>1809</v>
      </c>
      <c r="C36" s="1115"/>
      <c r="D36" s="1116"/>
      <c r="E36" s="1117"/>
      <c r="F36" s="1117"/>
      <c r="G36" s="1117"/>
      <c r="H36" s="1117"/>
      <c r="I36" s="295"/>
      <c r="J36" s="295"/>
    </row>
    <row r="37" spans="2:14" x14ac:dyDescent="0.2">
      <c r="B37" s="1046"/>
      <c r="C37" s="1118"/>
      <c r="D37" s="1119"/>
      <c r="E37" s="1047"/>
      <c r="F37" s="1047"/>
      <c r="G37" s="295"/>
      <c r="H37" s="295"/>
      <c r="I37" s="295"/>
      <c r="J37" s="295"/>
    </row>
    <row r="38" spans="2:14" ht="13.5" customHeight="1" x14ac:dyDescent="0.2">
      <c r="B38" s="1045" t="s">
        <v>1235</v>
      </c>
      <c r="G38" s="295"/>
      <c r="H38" s="295"/>
      <c r="I38" s="295"/>
      <c r="J38" s="295"/>
    </row>
    <row r="39" spans="2:14" ht="13.5" customHeight="1" x14ac:dyDescent="0.2">
      <c r="B39" s="1122"/>
      <c r="C39" s="1123"/>
      <c r="D39" s="1124"/>
      <c r="E39" s="1066"/>
      <c r="F39" s="1066"/>
      <c r="G39" s="1066"/>
      <c r="H39" s="1066"/>
      <c r="I39" s="1066"/>
      <c r="J39" s="1066"/>
      <c r="K39" s="1125"/>
      <c r="L39" s="1125"/>
      <c r="M39" s="1066"/>
    </row>
    <row r="40" spans="2:14" ht="9.6" customHeight="1" x14ac:dyDescent="0.2">
      <c r="B40" s="1126"/>
      <c r="G40" s="295"/>
      <c r="H40" s="295"/>
      <c r="I40" s="295"/>
      <c r="J40" s="295"/>
    </row>
    <row r="41" spans="2:14" ht="11.25" customHeight="1" x14ac:dyDescent="0.2">
      <c r="B41" s="1127" t="s">
        <v>1712</v>
      </c>
      <c r="C41" s="1128"/>
      <c r="D41" s="1128"/>
      <c r="E41" s="1128"/>
      <c r="F41" s="1128"/>
      <c r="G41" s="1128"/>
      <c r="H41" s="1128"/>
      <c r="I41" s="1129"/>
      <c r="J41" s="1129"/>
      <c r="K41" s="1129"/>
      <c r="L41" s="1129"/>
      <c r="M41" s="1129"/>
    </row>
    <row r="42" spans="2:14" ht="11.25" customHeight="1" x14ac:dyDescent="0.2">
      <c r="B42" s="1130" t="s">
        <v>1567</v>
      </c>
      <c r="C42" s="1129"/>
      <c r="D42" s="1129"/>
      <c r="E42" s="1129"/>
      <c r="F42" s="1129"/>
      <c r="G42" s="1129"/>
      <c r="H42" s="1129"/>
      <c r="I42" s="1129"/>
      <c r="J42" s="1129"/>
      <c r="K42" s="1129"/>
      <c r="L42" s="1129"/>
      <c r="M42" s="1129"/>
    </row>
    <row r="43" spans="2:14" ht="3.95" customHeight="1" x14ac:dyDescent="0.2">
      <c r="B43" s="1130"/>
      <c r="C43" s="1129"/>
      <c r="D43" s="1129"/>
      <c r="E43" s="1129"/>
      <c r="F43" s="1129"/>
      <c r="G43" s="1129"/>
      <c r="H43" s="1129"/>
      <c r="I43" s="1129"/>
      <c r="J43" s="1129"/>
      <c r="K43" s="1129"/>
      <c r="L43" s="1129"/>
      <c r="M43" s="1129"/>
    </row>
    <row r="44" spans="2:14" ht="11.25" customHeight="1" x14ac:dyDescent="0.2">
      <c r="B44" s="1127" t="s">
        <v>1713</v>
      </c>
      <c r="C44" s="1129"/>
      <c r="D44" s="1129"/>
      <c r="E44" s="1129"/>
      <c r="F44" s="1129"/>
      <c r="G44" s="1129"/>
      <c r="H44" s="1129"/>
      <c r="I44" s="1129"/>
      <c r="J44" s="1129"/>
      <c r="K44" s="1129"/>
      <c r="L44" s="1129"/>
      <c r="M44" s="1129"/>
    </row>
    <row r="45" spans="2:14" ht="11.25" customHeight="1" x14ac:dyDescent="0.2">
      <c r="B45" s="1069" t="s">
        <v>1568</v>
      </c>
      <c r="C45" s="1131"/>
      <c r="D45" s="1132"/>
      <c r="E45" s="1069"/>
      <c r="F45" s="1069"/>
      <c r="G45" s="1069"/>
      <c r="H45" s="1069"/>
      <c r="I45" s="1069"/>
      <c r="J45" s="1069"/>
      <c r="K45" s="1133"/>
      <c r="L45" s="1133"/>
      <c r="M45" s="1069"/>
    </row>
    <row r="46" spans="2:14" ht="3.95" customHeight="1" x14ac:dyDescent="0.2">
      <c r="B46" s="1069"/>
      <c r="C46" s="1131"/>
      <c r="D46" s="1132"/>
      <c r="E46" s="1069"/>
      <c r="F46" s="1069"/>
      <c r="G46" s="1069"/>
      <c r="H46" s="1069"/>
      <c r="I46" s="1069"/>
      <c r="J46" s="1069"/>
      <c r="K46" s="1133"/>
      <c r="L46" s="1133"/>
      <c r="M46" s="1069"/>
    </row>
    <row r="47" spans="2:14" ht="11.25" customHeight="1" x14ac:dyDescent="0.2">
      <c r="B47" s="1134" t="s">
        <v>1714</v>
      </c>
      <c r="C47" s="1131"/>
      <c r="D47" s="1132"/>
      <c r="E47" s="1069"/>
      <c r="F47" s="1069"/>
      <c r="G47" s="1069"/>
      <c r="H47" s="1069"/>
      <c r="I47" s="1069"/>
      <c r="J47" s="1069"/>
      <c r="K47" s="1133"/>
      <c r="L47" s="1133"/>
      <c r="M47" s="1069"/>
    </row>
    <row r="48" spans="2:14" ht="3.95" customHeight="1" x14ac:dyDescent="0.2">
      <c r="B48" s="1134"/>
      <c r="C48" s="1131"/>
      <c r="D48" s="1132"/>
      <c r="E48" s="1069"/>
      <c r="F48" s="1069"/>
      <c r="G48" s="1069"/>
      <c r="H48" s="1069"/>
      <c r="I48" s="1069"/>
      <c r="J48" s="1069"/>
      <c r="K48" s="1133"/>
      <c r="L48" s="1133"/>
      <c r="M48" s="1069"/>
    </row>
    <row r="49" spans="2:13" ht="11.25" customHeight="1" x14ac:dyDescent="0.2">
      <c r="B49" s="1135" t="s">
        <v>1715</v>
      </c>
      <c r="C49" s="1131"/>
      <c r="D49" s="1132"/>
      <c r="E49" s="1069"/>
      <c r="F49" s="1069"/>
      <c r="G49" s="1069"/>
      <c r="H49" s="1069"/>
      <c r="I49" s="1069"/>
      <c r="J49" s="1069"/>
      <c r="K49" s="1133"/>
      <c r="L49" s="1133"/>
      <c r="M49" s="1069"/>
    </row>
    <row r="50" spans="2:13" ht="11.25" customHeight="1" x14ac:dyDescent="0.2">
      <c r="B50" s="1069" t="s">
        <v>1569</v>
      </c>
      <c r="G50" s="295"/>
      <c r="H50" s="295"/>
      <c r="I50" s="295"/>
      <c r="J50" s="295"/>
    </row>
    <row r="51" spans="2:13" ht="11.1" customHeight="1" x14ac:dyDescent="0.2">
      <c r="B51" s="1069"/>
      <c r="G51" s="295"/>
      <c r="H51" s="295"/>
      <c r="I51" s="295"/>
      <c r="J51" s="295"/>
    </row>
    <row r="52" spans="2:13" ht="11.1" customHeight="1" x14ac:dyDescent="0.2">
      <c r="B52" s="1069"/>
      <c r="G52" s="295"/>
      <c r="H52" s="295"/>
      <c r="I52" s="295"/>
      <c r="J52" s="295"/>
    </row>
    <row r="53" spans="2:13" ht="13.5" customHeight="1" x14ac:dyDescent="0.2">
      <c r="M53" s="1136"/>
    </row>
    <row r="54" spans="2:13" ht="13.5" customHeight="1" x14ac:dyDescent="0.2">
      <c r="M54" s="1136"/>
    </row>
    <row r="55" spans="2:13" ht="13.5" customHeight="1" x14ac:dyDescent="0.2">
      <c r="M55" s="1136"/>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6" bottom="0.3" header="0.41" footer="0.25"/>
  <pageSetup scale="79" firstPageNumber="38" orientation="landscape"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D244-490C-4747-A4F2-AEDF16F29E1D}">
  <sheetPr>
    <tabColor rgb="FF92D050"/>
    <pageSetUpPr fitToPage="1"/>
  </sheetPr>
  <dimension ref="B1:N155"/>
  <sheetViews>
    <sheetView showGridLines="0" topLeftCell="A13" zoomScale="90" zoomScaleNormal="90" workbookViewId="0">
      <selection activeCell="B29" sqref="B29"/>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74" t="str">
        <f>'Single Audit Cover'!A7</f>
        <v xml:space="preserve">  McHenry CCSD 15</v>
      </c>
      <c r="C1" s="2596"/>
      <c r="D1" s="2596"/>
      <c r="E1" s="2596"/>
      <c r="F1" s="2596"/>
      <c r="G1" s="2596"/>
      <c r="H1" s="2596"/>
      <c r="I1" s="2596"/>
      <c r="J1" s="2596"/>
      <c r="K1" s="2596"/>
      <c r="L1" s="2596"/>
      <c r="M1" s="2596"/>
    </row>
    <row r="2" spans="2:14" ht="15" x14ac:dyDescent="0.2">
      <c r="B2" s="2597">
        <f>'Single Audit Cover'!E7</f>
        <v>44063015004</v>
      </c>
      <c r="C2" s="2597"/>
      <c r="D2" s="2597"/>
      <c r="E2" s="2597"/>
      <c r="F2" s="2597"/>
      <c r="G2" s="2597"/>
      <c r="H2" s="2597"/>
      <c r="I2" s="2597"/>
      <c r="J2" s="2597"/>
      <c r="K2" s="2597"/>
      <c r="L2" s="2597"/>
      <c r="M2" s="2597"/>
      <c r="N2" s="1071"/>
    </row>
    <row r="3" spans="2:14" ht="15" x14ac:dyDescent="0.2">
      <c r="B3" s="2598" t="s">
        <v>1208</v>
      </c>
      <c r="C3" s="2598"/>
      <c r="D3" s="2598"/>
      <c r="E3" s="2598"/>
      <c r="F3" s="2598"/>
      <c r="G3" s="2598"/>
      <c r="H3" s="2598"/>
      <c r="I3" s="2598"/>
      <c r="J3" s="2598"/>
      <c r="K3" s="2598"/>
      <c r="L3" s="2598"/>
      <c r="M3" s="2598"/>
      <c r="N3" s="1071"/>
    </row>
    <row r="4" spans="2:14" ht="15" x14ac:dyDescent="0.2">
      <c r="B4" s="2599" t="str">
        <f>'Single Audit Cover'!A4</f>
        <v>Year Ending June 30, 2020</v>
      </c>
      <c r="C4" s="2599"/>
      <c r="D4" s="2599"/>
      <c r="E4" s="2599"/>
      <c r="F4" s="2599"/>
      <c r="G4" s="2599"/>
      <c r="H4" s="2599"/>
      <c r="I4" s="2599"/>
      <c r="J4" s="2599"/>
      <c r="K4" s="2599"/>
      <c r="L4" s="2599"/>
      <c r="M4" s="2599"/>
      <c r="N4" s="1071"/>
    </row>
    <row r="5" spans="2:14" x14ac:dyDescent="0.2">
      <c r="H5" s="1901"/>
      <c r="J5" s="1901"/>
    </row>
    <row r="6" spans="2:14" x14ac:dyDescent="0.2">
      <c r="B6" s="1072"/>
      <c r="C6" s="1073"/>
      <c r="D6" s="1074" t="s">
        <v>1254</v>
      </c>
      <c r="E6" s="1075" t="s">
        <v>524</v>
      </c>
      <c r="F6" s="1076"/>
      <c r="G6" s="1077" t="s">
        <v>1708</v>
      </c>
      <c r="H6" s="1075"/>
      <c r="I6" s="1075"/>
      <c r="J6" s="1902"/>
      <c r="K6" s="1078"/>
      <c r="L6" s="1079"/>
      <c r="M6" s="1080"/>
    </row>
    <row r="7" spans="2:14" x14ac:dyDescent="0.2">
      <c r="B7" s="1081" t="s">
        <v>1564</v>
      </c>
      <c r="C7" s="1082"/>
      <c r="D7" s="1083"/>
      <c r="E7" s="1084"/>
      <c r="F7" s="1085"/>
      <c r="G7" s="1084"/>
      <c r="H7" s="1086" t="s">
        <v>1251</v>
      </c>
      <c r="I7" s="1084"/>
      <c r="J7" s="1087" t="s">
        <v>1251</v>
      </c>
      <c r="K7" s="1088"/>
      <c r="L7" s="1089" t="s">
        <v>1249</v>
      </c>
      <c r="M7" s="1090"/>
    </row>
    <row r="8" spans="2:14" x14ac:dyDescent="0.2">
      <c r="B8" s="1372"/>
      <c r="C8" s="1082" t="s">
        <v>1253</v>
      </c>
      <c r="D8" s="1083" t="s">
        <v>1252</v>
      </c>
      <c r="E8" s="1091" t="s">
        <v>1251</v>
      </c>
      <c r="F8" s="1092" t="s">
        <v>1251</v>
      </c>
      <c r="G8" s="1093" t="s">
        <v>1251</v>
      </c>
      <c r="H8" s="1808" t="str">
        <f>"7/1/"&amp;MID('AFR20'!$E$2,3,2)-2&amp;"-6/30/"&amp;MID('AFR20'!$E$2,3,2)-1</f>
        <v>7/1/18-6/30/19</v>
      </c>
      <c r="I8" s="1088" t="s">
        <v>1251</v>
      </c>
      <c r="J8" s="1809" t="str">
        <f>"7/1/"&amp;MID('AFR20'!$E$2,3,2)-1&amp;"-6/30/"&amp;MID('AFR20'!$E$2,3,2)</f>
        <v>7/1/19-6/30/20</v>
      </c>
      <c r="K8" s="1088" t="s">
        <v>1250</v>
      </c>
      <c r="L8" s="1089" t="s">
        <v>1246</v>
      </c>
      <c r="M8" s="1090" t="s">
        <v>30</v>
      </c>
    </row>
    <row r="9" spans="2:14" ht="14.25" x14ac:dyDescent="0.2">
      <c r="B9" s="1094" t="s">
        <v>1248</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1565</v>
      </c>
      <c r="I9" s="1900" t="str">
        <f>"7/1/"&amp;MID('AFR20'!$E$2,3,2)-1&amp;"-6/30/"&amp;MID('AFR20'!$E$2,3,2)</f>
        <v>7/1/19-6/30/20</v>
      </c>
      <c r="J9" s="1087" t="s">
        <v>1565</v>
      </c>
      <c r="K9" s="1088" t="s">
        <v>1247</v>
      </c>
      <c r="L9" s="1095" t="s">
        <v>1566</v>
      </c>
      <c r="M9" s="1090"/>
    </row>
    <row r="10" spans="2:14" ht="11.85" customHeight="1" x14ac:dyDescent="0.2">
      <c r="B10" s="1094" t="s">
        <v>1245</v>
      </c>
      <c r="C10" s="1096" t="s">
        <v>1244</v>
      </c>
      <c r="D10" s="1097" t="s">
        <v>1243</v>
      </c>
      <c r="E10" s="1098" t="s">
        <v>1242</v>
      </c>
      <c r="F10" s="1099" t="s">
        <v>1241</v>
      </c>
      <c r="G10" s="1100" t="s">
        <v>1240</v>
      </c>
      <c r="H10" s="1101" t="s">
        <v>1255</v>
      </c>
      <c r="I10" s="1102" t="s">
        <v>1239</v>
      </c>
      <c r="J10" s="1103" t="s">
        <v>1255</v>
      </c>
      <c r="K10" s="1104" t="s">
        <v>1238</v>
      </c>
      <c r="L10" s="1104" t="s">
        <v>1237</v>
      </c>
      <c r="M10" s="1105" t="s">
        <v>1236</v>
      </c>
    </row>
    <row r="11" spans="2:14" ht="20.100000000000001" customHeight="1" x14ac:dyDescent="0.2">
      <c r="B11" s="1106" t="s">
        <v>2039</v>
      </c>
      <c r="C11" s="1810"/>
      <c r="D11" s="1811"/>
      <c r="E11" s="1812"/>
      <c r="F11" s="1812"/>
      <c r="G11" s="1812"/>
      <c r="H11" s="1812"/>
      <c r="I11" s="1812"/>
      <c r="J11" s="1812"/>
      <c r="K11" s="1812"/>
      <c r="L11" s="1812"/>
      <c r="M11" s="1812"/>
    </row>
    <row r="12" spans="2:14" ht="20.100000000000001" customHeight="1" x14ac:dyDescent="0.2">
      <c r="B12" s="1106" t="s">
        <v>2040</v>
      </c>
      <c r="C12" s="1813"/>
      <c r="D12" s="1925"/>
      <c r="E12" s="1924"/>
      <c r="F12" s="1924"/>
      <c r="G12" s="1924"/>
      <c r="H12" s="1924"/>
      <c r="I12" s="1924"/>
      <c r="J12" s="1815"/>
      <c r="K12" s="1815"/>
      <c r="L12" s="1812"/>
      <c r="M12" s="1815"/>
    </row>
    <row r="13" spans="2:14" ht="13.5" customHeight="1" x14ac:dyDescent="0.2">
      <c r="B13" s="1106" t="s">
        <v>2059</v>
      </c>
      <c r="C13" s="1813">
        <v>84.364999999999995</v>
      </c>
      <c r="D13" s="1925" t="s">
        <v>2061</v>
      </c>
      <c r="E13" s="1924">
        <v>41435</v>
      </c>
      <c r="F13" s="1924">
        <f>58173-E13</f>
        <v>16738</v>
      </c>
      <c r="G13" s="1924">
        <v>45961</v>
      </c>
      <c r="H13" s="1924"/>
      <c r="I13" s="1924">
        <f>58173-G13</f>
        <v>12212</v>
      </c>
      <c r="J13" s="1815"/>
      <c r="K13" s="1815"/>
      <c r="L13" s="1812">
        <f t="shared" ref="L13:L28" si="0">+G13+I13+K13</f>
        <v>58173</v>
      </c>
      <c r="M13" s="1815">
        <v>65173</v>
      </c>
    </row>
    <row r="14" spans="2:14" ht="13.5" customHeight="1" x14ac:dyDescent="0.2">
      <c r="B14" s="1106" t="s">
        <v>2059</v>
      </c>
      <c r="C14" s="1813">
        <v>84.364999999999995</v>
      </c>
      <c r="D14" s="1925" t="s">
        <v>2062</v>
      </c>
      <c r="E14" s="1924"/>
      <c r="F14" s="1924">
        <v>40108</v>
      </c>
      <c r="G14" s="1924"/>
      <c r="H14" s="1924"/>
      <c r="I14" s="1924">
        <v>63554</v>
      </c>
      <c r="J14" s="1815"/>
      <c r="K14" s="1815"/>
      <c r="L14" s="1812">
        <f t="shared" si="0"/>
        <v>63554</v>
      </c>
      <c r="M14" s="1815">
        <v>69300</v>
      </c>
    </row>
    <row r="15" spans="2:14" s="1029" customFormat="1" ht="20.100000000000001" customHeight="1" x14ac:dyDescent="0.2">
      <c r="B15" s="1927" t="s">
        <v>2099</v>
      </c>
      <c r="C15" s="1928"/>
      <c r="D15" s="1934"/>
      <c r="E15" s="1931">
        <f>+E13</f>
        <v>41435</v>
      </c>
      <c r="F15" s="1931">
        <f>+F14+F13</f>
        <v>56846</v>
      </c>
      <c r="G15" s="1931">
        <f>+G13</f>
        <v>45961</v>
      </c>
      <c r="H15" s="1931"/>
      <c r="I15" s="1931">
        <f>+I14+I13</f>
        <v>75766</v>
      </c>
      <c r="J15" s="1930"/>
      <c r="K15" s="1930"/>
      <c r="L15" s="1932">
        <f>+L14+L13</f>
        <v>121727</v>
      </c>
      <c r="M15" s="1930"/>
    </row>
    <row r="16" spans="2:14" s="1029" customFormat="1" ht="20.100000000000001" customHeight="1" x14ac:dyDescent="0.2">
      <c r="B16" s="1927" t="s">
        <v>2060</v>
      </c>
      <c r="C16" s="1928"/>
      <c r="D16" s="1934"/>
      <c r="E16" s="1931">
        <f>E15+' SEFA (2)'!E32+' SEFA (2)'!E29+' SEFA (2)'!E24</f>
        <v>1515773</v>
      </c>
      <c r="F16" s="1931">
        <f>+F15+' SEFA (2)'!F32+' SEFA (2)'!F29+' SEFA (2)'!F24</f>
        <v>2266571</v>
      </c>
      <c r="G16" s="1931">
        <f>+G15+' SEFA (2)'!G32+' SEFA (2)'!G29+' SEFA (2)'!G24</f>
        <v>2119110</v>
      </c>
      <c r="H16" s="1931"/>
      <c r="I16" s="1931">
        <f>+I15+' SEFA (2)'!I32+' SEFA (2)'!I29+' SEFA (2)'!I24</f>
        <v>2136897</v>
      </c>
      <c r="J16" s="1930"/>
      <c r="K16" s="1930"/>
      <c r="L16" s="1932">
        <f>+L15+' SEFA (2)'!L32+' SEFA (2)'!L29+' SEFA (2)'!L24</f>
        <v>4256007</v>
      </c>
      <c r="M16" s="1930"/>
    </row>
    <row r="17" spans="2:14" ht="20.100000000000001" customHeight="1" x14ac:dyDescent="0.2">
      <c r="B17" s="1106"/>
      <c r="C17" s="1813"/>
      <c r="D17" s="1925"/>
      <c r="E17" s="1924"/>
      <c r="F17" s="1924"/>
      <c r="G17" s="1924"/>
      <c r="H17" s="1924"/>
      <c r="I17" s="1924"/>
      <c r="J17" s="1815"/>
      <c r="K17" s="1815"/>
      <c r="L17" s="1812"/>
      <c r="M17" s="1815"/>
    </row>
    <row r="18" spans="2:14" ht="20.100000000000001" customHeight="1" x14ac:dyDescent="0.2">
      <c r="B18" s="1927" t="s">
        <v>2077</v>
      </c>
      <c r="C18" s="1813"/>
      <c r="D18" s="1925"/>
      <c r="E18" s="1924"/>
      <c r="F18" s="1924"/>
      <c r="G18" s="1924"/>
      <c r="H18" s="1924"/>
      <c r="I18" s="1924"/>
      <c r="J18" s="1815"/>
      <c r="K18" s="1815"/>
      <c r="L18" s="1812"/>
      <c r="M18" s="1815"/>
    </row>
    <row r="19" spans="2:14" ht="20.100000000000001" customHeight="1" x14ac:dyDescent="0.2">
      <c r="B19" s="1106" t="s">
        <v>2063</v>
      </c>
      <c r="C19" s="1813"/>
      <c r="D19" s="1925"/>
      <c r="E19" s="1924"/>
      <c r="F19" s="1924"/>
      <c r="G19" s="1924"/>
      <c r="H19" s="1924"/>
      <c r="I19" s="1924"/>
      <c r="J19" s="1815"/>
      <c r="K19" s="1815"/>
      <c r="L19" s="1812"/>
      <c r="M19" s="1815"/>
    </row>
    <row r="20" spans="2:14" ht="20.100000000000001" customHeight="1" x14ac:dyDescent="0.2">
      <c r="B20" s="1106" t="s">
        <v>2064</v>
      </c>
      <c r="C20" s="1813"/>
      <c r="D20" s="1925"/>
      <c r="E20" s="1924"/>
      <c r="F20" s="1924"/>
      <c r="G20" s="1924"/>
      <c r="H20" s="1924"/>
      <c r="I20" s="1924"/>
      <c r="J20" s="1815"/>
      <c r="K20" s="1815"/>
      <c r="L20" s="1812"/>
      <c r="M20" s="1815"/>
    </row>
    <row r="21" spans="2:14" ht="20.100000000000001" customHeight="1" x14ac:dyDescent="0.2">
      <c r="B21" s="1106" t="s">
        <v>2065</v>
      </c>
      <c r="C21" s="1813"/>
      <c r="D21" s="1925"/>
      <c r="E21" s="1924"/>
      <c r="F21" s="1924"/>
      <c r="G21" s="1924"/>
      <c r="H21" s="1924"/>
      <c r="I21" s="1924"/>
      <c r="J21" s="1815"/>
      <c r="K21" s="1815"/>
      <c r="L21" s="1812"/>
      <c r="M21" s="1815"/>
    </row>
    <row r="22" spans="2:14" ht="13.5" customHeight="1" x14ac:dyDescent="0.2">
      <c r="B22" s="1106" t="s">
        <v>2066</v>
      </c>
      <c r="C22" s="1813">
        <v>93.778000000000006</v>
      </c>
      <c r="D22" s="1925" t="s">
        <v>2067</v>
      </c>
      <c r="E22" s="1924">
        <v>84168</v>
      </c>
      <c r="F22" s="1924">
        <v>34586</v>
      </c>
      <c r="G22" s="1924">
        <v>84168</v>
      </c>
      <c r="H22" s="1924"/>
      <c r="I22" s="1924">
        <f>F22</f>
        <v>34586</v>
      </c>
      <c r="J22" s="1815"/>
      <c r="K22" s="1815"/>
      <c r="L22" s="1812">
        <f t="shared" si="0"/>
        <v>118754</v>
      </c>
      <c r="M22" s="1815" t="s">
        <v>2079</v>
      </c>
    </row>
    <row r="23" spans="2:14" ht="13.5" customHeight="1" x14ac:dyDescent="0.2">
      <c r="B23" s="1106" t="s">
        <v>2066</v>
      </c>
      <c r="C23" s="1813">
        <v>93.778000000000006</v>
      </c>
      <c r="D23" s="1925" t="s">
        <v>2068</v>
      </c>
      <c r="E23" s="1924"/>
      <c r="F23" s="1924">
        <v>92160</v>
      </c>
      <c r="G23" s="1924"/>
      <c r="H23" s="1924"/>
      <c r="I23" s="1924">
        <v>160838</v>
      </c>
      <c r="J23" s="1815"/>
      <c r="K23" s="1815"/>
      <c r="L23" s="1812">
        <f t="shared" si="0"/>
        <v>160838</v>
      </c>
      <c r="M23" s="1815" t="s">
        <v>2079</v>
      </c>
    </row>
    <row r="24" spans="2:14" s="1029" customFormat="1" ht="20.100000000000001" customHeight="1" x14ac:dyDescent="0.2">
      <c r="B24" s="1927" t="s">
        <v>2207</v>
      </c>
      <c r="C24" s="1928"/>
      <c r="D24" s="1934"/>
      <c r="E24" s="1931">
        <f>+E22</f>
        <v>84168</v>
      </c>
      <c r="F24" s="1931">
        <f>+F23+F22</f>
        <v>126746</v>
      </c>
      <c r="G24" s="1931">
        <f>+G22</f>
        <v>84168</v>
      </c>
      <c r="H24" s="1931"/>
      <c r="I24" s="1931">
        <f>+I23+I22</f>
        <v>195424</v>
      </c>
      <c r="J24" s="1930"/>
      <c r="K24" s="1930"/>
      <c r="L24" s="1932">
        <f>+L23+L22</f>
        <v>279592</v>
      </c>
      <c r="M24" s="1930"/>
    </row>
    <row r="25" spans="2:14" s="1029" customFormat="1" ht="20.100000000000001" customHeight="1" x14ac:dyDescent="0.2">
      <c r="B25" s="1927" t="s">
        <v>2078</v>
      </c>
      <c r="C25" s="1928"/>
      <c r="D25" s="1934"/>
      <c r="E25" s="1931">
        <f>E26</f>
        <v>84168</v>
      </c>
      <c r="F25" s="1931">
        <f>F26</f>
        <v>126746</v>
      </c>
      <c r="G25" s="1931">
        <f>G26</f>
        <v>84168</v>
      </c>
      <c r="H25" s="1931"/>
      <c r="I25" s="1931">
        <f>I26</f>
        <v>195424</v>
      </c>
      <c r="J25" s="1930"/>
      <c r="K25" s="1930"/>
      <c r="L25" s="1932">
        <f>L26</f>
        <v>279592</v>
      </c>
      <c r="M25" s="1930"/>
    </row>
    <row r="26" spans="2:14" s="1029" customFormat="1" ht="20.100000000000001" customHeight="1" x14ac:dyDescent="0.2">
      <c r="B26" s="1927" t="s">
        <v>2069</v>
      </c>
      <c r="C26" s="1928"/>
      <c r="D26" s="1934"/>
      <c r="E26" s="1931">
        <f>+E22</f>
        <v>84168</v>
      </c>
      <c r="F26" s="1931">
        <f>F23+F22</f>
        <v>126746</v>
      </c>
      <c r="G26" s="1931">
        <f>+G22</f>
        <v>84168</v>
      </c>
      <c r="H26" s="1931"/>
      <c r="I26" s="1931">
        <f>+I23+I22</f>
        <v>195424</v>
      </c>
      <c r="J26" s="1930"/>
      <c r="K26" s="1930"/>
      <c r="L26" s="1932">
        <f t="shared" si="0"/>
        <v>279592</v>
      </c>
      <c r="M26" s="1930"/>
    </row>
    <row r="27" spans="2:14" ht="20.100000000000001" customHeight="1" x14ac:dyDescent="0.2">
      <c r="B27" s="1106"/>
      <c r="C27" s="1813"/>
      <c r="D27" s="1925"/>
      <c r="E27" s="1924"/>
      <c r="F27" s="1924"/>
      <c r="G27" s="1924"/>
      <c r="H27" s="1924"/>
      <c r="I27" s="1924"/>
      <c r="J27" s="1815"/>
      <c r="K27" s="1815"/>
      <c r="L27" s="1812"/>
      <c r="M27" s="1815"/>
    </row>
    <row r="28" spans="2:14" s="1029" customFormat="1" ht="20.100000000000001" customHeight="1" x14ac:dyDescent="0.2">
      <c r="B28" s="1927" t="s">
        <v>2213</v>
      </c>
      <c r="C28" s="1928"/>
      <c r="D28" s="1934"/>
      <c r="E28" s="1931">
        <f>+E26+E16+' SEFA'!E29</f>
        <v>2250649</v>
      </c>
      <c r="F28" s="1931">
        <f>+F26+F16+' SEFA'!F29</f>
        <v>3351965</v>
      </c>
      <c r="G28" s="1931">
        <f>+G26+G16+' SEFA'!G29</f>
        <v>2861697</v>
      </c>
      <c r="H28" s="1931"/>
      <c r="I28" s="1931">
        <f>+I26+I16+' SEFA'!I29</f>
        <v>3333271</v>
      </c>
      <c r="J28" s="1930"/>
      <c r="K28" s="1930"/>
      <c r="L28" s="1932">
        <f t="shared" si="0"/>
        <v>6194968</v>
      </c>
      <c r="M28" s="1930"/>
    </row>
    <row r="29" spans="2:14" ht="20.100000000000001" customHeight="1" x14ac:dyDescent="0.2">
      <c r="B29" s="1106" t="s">
        <v>2080</v>
      </c>
      <c r="C29" s="1813"/>
      <c r="D29" s="1925"/>
      <c r="E29" s="1924"/>
      <c r="F29" s="1924"/>
      <c r="G29" s="1924"/>
      <c r="H29" s="1924"/>
      <c r="I29" s="1924"/>
      <c r="J29" s="1815"/>
      <c r="K29" s="1815"/>
      <c r="L29" s="1812"/>
      <c r="M29" s="1815"/>
    </row>
    <row r="30" spans="2:14" ht="20.100000000000001" customHeight="1" x14ac:dyDescent="0.2">
      <c r="B30" s="1106" t="s">
        <v>2081</v>
      </c>
      <c r="C30" s="1813"/>
      <c r="D30" s="1814"/>
      <c r="E30" s="1815"/>
      <c r="F30" s="1815"/>
      <c r="G30" s="1815"/>
      <c r="H30" s="1815"/>
      <c r="I30" s="1815"/>
      <c r="J30" s="1815"/>
      <c r="K30" s="1815"/>
      <c r="L30" s="1812"/>
      <c r="M30" s="1815"/>
      <c r="N30" s="1107"/>
    </row>
    <row r="31" spans="2:14" ht="12.75" customHeight="1" x14ac:dyDescent="0.2">
      <c r="B31" s="1108"/>
      <c r="C31" s="1109"/>
      <c r="D31" s="1110"/>
      <c r="E31" s="1111"/>
      <c r="F31" s="1111"/>
      <c r="G31" s="1111"/>
      <c r="H31" s="1111"/>
      <c r="I31" s="1111"/>
      <c r="J31" s="1111"/>
      <c r="K31" s="1111"/>
      <c r="L31" s="1111"/>
      <c r="M31" s="1111"/>
      <c r="N31" s="1107"/>
    </row>
    <row r="32" spans="2:14" x14ac:dyDescent="0.2">
      <c r="B32" s="1026"/>
      <c r="C32" s="1112"/>
      <c r="D32" s="1113"/>
      <c r="E32" s="1026"/>
      <c r="F32" s="1026"/>
      <c r="G32" s="1019"/>
      <c r="H32" s="1019"/>
      <c r="I32" s="1019"/>
      <c r="J32" s="1019"/>
      <c r="K32" s="1019"/>
      <c r="L32" s="1019"/>
      <c r="M32" s="1026"/>
      <c r="N32" s="1107"/>
    </row>
    <row r="33" spans="2:14" ht="13.5" customHeight="1" x14ac:dyDescent="0.2">
      <c r="B33" s="1051" t="s">
        <v>1711</v>
      </c>
      <c r="C33" s="1112"/>
      <c r="D33" s="1113"/>
      <c r="E33" s="1026"/>
      <c r="F33" s="1026"/>
      <c r="G33" s="1019"/>
      <c r="H33" s="1019"/>
      <c r="I33" s="1019"/>
      <c r="J33" s="1019"/>
      <c r="K33" s="1019"/>
      <c r="L33" s="1019"/>
      <c r="M33" s="1026"/>
      <c r="N33" s="1107"/>
    </row>
    <row r="34" spans="2:14" ht="8.25" customHeight="1" x14ac:dyDescent="0.2">
      <c r="B34" s="1051"/>
      <c r="C34" s="1112"/>
      <c r="D34" s="1113"/>
      <c r="E34" s="1026"/>
      <c r="F34" s="1026"/>
      <c r="G34" s="1019"/>
      <c r="H34" s="1019"/>
      <c r="I34" s="1019"/>
      <c r="J34" s="1019"/>
      <c r="K34" s="1019"/>
      <c r="L34" s="1019"/>
      <c r="M34" s="1026"/>
      <c r="N34" s="1107"/>
    </row>
    <row r="35" spans="2:14" x14ac:dyDescent="0.2">
      <c r="B35" s="1114" t="s">
        <v>1809</v>
      </c>
      <c r="C35" s="1115"/>
      <c r="D35" s="1116"/>
      <c r="E35" s="1117"/>
      <c r="F35" s="1117"/>
      <c r="G35" s="1117"/>
      <c r="H35" s="1117"/>
      <c r="I35" s="295"/>
      <c r="J35" s="295"/>
    </row>
    <row r="36" spans="2:14" x14ac:dyDescent="0.2">
      <c r="B36" s="1046"/>
      <c r="C36" s="1118"/>
      <c r="D36" s="1119"/>
      <c r="E36" s="1047"/>
      <c r="F36" s="1047"/>
      <c r="G36" s="295"/>
      <c r="H36" s="295"/>
      <c r="I36" s="295"/>
      <c r="J36" s="295"/>
    </row>
    <row r="37" spans="2:14" ht="13.5" customHeight="1" x14ac:dyDescent="0.2">
      <c r="B37" s="1045" t="s">
        <v>1235</v>
      </c>
      <c r="G37" s="295"/>
      <c r="H37" s="295"/>
      <c r="I37" s="295"/>
      <c r="J37" s="295"/>
    </row>
    <row r="38" spans="2:14" ht="13.5" customHeight="1" x14ac:dyDescent="0.2">
      <c r="B38" s="1122"/>
      <c r="C38" s="1123"/>
      <c r="D38" s="1124"/>
      <c r="E38" s="1066"/>
      <c r="F38" s="1066"/>
      <c r="G38" s="1066"/>
      <c r="H38" s="1066"/>
      <c r="I38" s="1066"/>
      <c r="J38" s="1066"/>
      <c r="K38" s="1125"/>
      <c r="L38" s="1125"/>
      <c r="M38" s="1066"/>
    </row>
    <row r="39" spans="2:14" ht="9.6" customHeight="1" x14ac:dyDescent="0.2">
      <c r="B39" s="1126"/>
      <c r="G39" s="295"/>
      <c r="H39" s="295"/>
      <c r="I39" s="295"/>
      <c r="J39" s="295"/>
    </row>
    <row r="40" spans="2:14" ht="11.25" customHeight="1" x14ac:dyDescent="0.2">
      <c r="B40" s="1127" t="s">
        <v>1712</v>
      </c>
      <c r="C40" s="1128"/>
      <c r="D40" s="1128"/>
      <c r="E40" s="1128"/>
      <c r="F40" s="1128"/>
      <c r="G40" s="1128"/>
      <c r="H40" s="1128"/>
      <c r="I40" s="1129"/>
      <c r="J40" s="1129"/>
      <c r="K40" s="1129"/>
      <c r="L40" s="1129"/>
      <c r="M40" s="1129"/>
    </row>
    <row r="41" spans="2:14" ht="11.25" customHeight="1" x14ac:dyDescent="0.2">
      <c r="B41" s="1130" t="s">
        <v>1567</v>
      </c>
      <c r="C41" s="1129"/>
      <c r="D41" s="1129"/>
      <c r="E41" s="1129"/>
      <c r="F41" s="1129"/>
      <c r="G41" s="1129"/>
      <c r="H41" s="1129"/>
      <c r="I41" s="1129"/>
      <c r="J41" s="1129"/>
      <c r="K41" s="1129"/>
      <c r="L41" s="1129"/>
      <c r="M41" s="1129"/>
    </row>
    <row r="42" spans="2:14" ht="3.95" customHeight="1" x14ac:dyDescent="0.2">
      <c r="B42" s="1130"/>
      <c r="C42" s="1129"/>
      <c r="D42" s="1129"/>
      <c r="E42" s="1129"/>
      <c r="F42" s="1129"/>
      <c r="G42" s="1129"/>
      <c r="H42" s="1129"/>
      <c r="I42" s="1129"/>
      <c r="J42" s="1129"/>
      <c r="K42" s="1129"/>
      <c r="L42" s="1129"/>
      <c r="M42" s="1129"/>
    </row>
    <row r="43" spans="2:14" ht="11.25" customHeight="1" x14ac:dyDescent="0.2">
      <c r="B43" s="1127" t="s">
        <v>1713</v>
      </c>
      <c r="C43" s="1129"/>
      <c r="D43" s="1129"/>
      <c r="E43" s="1129"/>
      <c r="F43" s="1129"/>
      <c r="G43" s="1129"/>
      <c r="H43" s="1129"/>
      <c r="I43" s="1129"/>
      <c r="J43" s="1129"/>
      <c r="K43" s="1129"/>
      <c r="L43" s="1129"/>
      <c r="M43" s="1129"/>
    </row>
    <row r="44" spans="2:14" ht="11.25" customHeight="1" x14ac:dyDescent="0.2">
      <c r="B44" s="1069" t="s">
        <v>1568</v>
      </c>
      <c r="C44" s="1131"/>
      <c r="D44" s="1132"/>
      <c r="E44" s="1069"/>
      <c r="F44" s="1069"/>
      <c r="G44" s="1069"/>
      <c r="H44" s="1069"/>
      <c r="I44" s="1069"/>
      <c r="J44" s="1069"/>
      <c r="K44" s="1133"/>
      <c r="L44" s="1133"/>
      <c r="M44" s="1069"/>
    </row>
    <row r="45" spans="2:14" ht="3.95" customHeight="1" x14ac:dyDescent="0.2">
      <c r="B45" s="1069"/>
      <c r="C45" s="1131"/>
      <c r="D45" s="1132"/>
      <c r="E45" s="1069"/>
      <c r="F45" s="1069"/>
      <c r="G45" s="1069"/>
      <c r="H45" s="1069"/>
      <c r="I45" s="1069"/>
      <c r="J45" s="1069"/>
      <c r="K45" s="1133"/>
      <c r="L45" s="1133"/>
      <c r="M45" s="1069"/>
    </row>
    <row r="46" spans="2:14" ht="11.25" customHeight="1" x14ac:dyDescent="0.2">
      <c r="B46" s="1134" t="s">
        <v>1714</v>
      </c>
      <c r="C46" s="1131"/>
      <c r="D46" s="1132"/>
      <c r="E46" s="1069"/>
      <c r="F46" s="1069"/>
      <c r="G46" s="1069"/>
      <c r="H46" s="1069"/>
      <c r="I46" s="1069"/>
      <c r="J46" s="1069"/>
      <c r="K46" s="1133"/>
      <c r="L46" s="1133"/>
      <c r="M46" s="1069"/>
    </row>
    <row r="47" spans="2:14" ht="3.95" customHeight="1" x14ac:dyDescent="0.2">
      <c r="B47" s="1134"/>
      <c r="C47" s="1131"/>
      <c r="D47" s="1132"/>
      <c r="E47" s="1069"/>
      <c r="F47" s="1069"/>
      <c r="G47" s="1069"/>
      <c r="H47" s="1069"/>
      <c r="I47" s="1069"/>
      <c r="J47" s="1069"/>
      <c r="K47" s="1133"/>
      <c r="L47" s="1133"/>
      <c r="M47" s="1069"/>
    </row>
    <row r="48" spans="2:14" ht="11.25" customHeight="1" x14ac:dyDescent="0.2">
      <c r="B48" s="1135" t="s">
        <v>1715</v>
      </c>
      <c r="C48" s="1131"/>
      <c r="D48" s="1132"/>
      <c r="E48" s="1069"/>
      <c r="F48" s="1069"/>
      <c r="G48" s="1069"/>
      <c r="H48" s="1069"/>
      <c r="I48" s="1069"/>
      <c r="J48" s="1069"/>
      <c r="K48" s="1133"/>
      <c r="L48" s="1133"/>
      <c r="M48" s="1069"/>
    </row>
    <row r="49" spans="2:13" ht="11.25" customHeight="1" x14ac:dyDescent="0.2">
      <c r="B49" s="1069" t="s">
        <v>1569</v>
      </c>
      <c r="G49" s="295"/>
      <c r="H49" s="295"/>
      <c r="I49" s="295"/>
      <c r="J49" s="295"/>
    </row>
    <row r="50" spans="2:13" ht="11.1" customHeight="1" x14ac:dyDescent="0.2">
      <c r="B50" s="1069"/>
      <c r="G50" s="295"/>
      <c r="H50" s="295"/>
      <c r="I50" s="295"/>
      <c r="J50" s="295"/>
    </row>
    <row r="51" spans="2:13" ht="11.1" customHeight="1" x14ac:dyDescent="0.2">
      <c r="B51" s="1069"/>
      <c r="G51" s="295"/>
      <c r="H51" s="295"/>
      <c r="I51" s="295"/>
      <c r="J51" s="295"/>
    </row>
    <row r="52" spans="2:13" ht="13.5" customHeight="1" x14ac:dyDescent="0.2">
      <c r="M52" s="1136"/>
    </row>
    <row r="53" spans="2:13" ht="13.5" customHeight="1" x14ac:dyDescent="0.2">
      <c r="M53" s="1136"/>
    </row>
    <row r="54" spans="2:13" ht="13.5" customHeight="1" x14ac:dyDescent="0.2">
      <c r="M54" s="1136"/>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6" bottom="0.3" header="0.41" footer="0.25"/>
  <pageSetup scale="79" firstPageNumber="38" orientation="landscape" useFirstPageNumber="1" r:id="rId1"/>
  <headerFooter alignWithMargins="0">
    <oddHeader>&amp;L&amp;8Page 43&amp;R&amp;8Page 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13" zoomScaleNormal="100" workbookViewId="0">
      <selection activeCell="C35" sqref="C35"/>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09" t="str">
        <f>'Single Audit Cover'!A7</f>
        <v xml:space="preserve">  McHenry CCSD 15</v>
      </c>
      <c r="B1" s="2609"/>
      <c r="C1" s="2609"/>
      <c r="D1" s="2609"/>
      <c r="E1" s="2609"/>
      <c r="F1" s="2609"/>
    </row>
    <row r="2" spans="1:7" ht="13.5" customHeight="1" x14ac:dyDescent="0.2">
      <c r="A2" s="2597">
        <f>'Single Audit Cover'!E7</f>
        <v>44063015004</v>
      </c>
      <c r="B2" s="2597"/>
      <c r="C2" s="2597"/>
      <c r="D2" s="2597"/>
      <c r="E2" s="2597"/>
      <c r="F2" s="2597"/>
      <c r="G2" s="1044"/>
    </row>
    <row r="3" spans="1:7" ht="15.75" customHeight="1" x14ac:dyDescent="0.2">
      <c r="A3" s="2610" t="s">
        <v>1260</v>
      </c>
      <c r="B3" s="2610"/>
      <c r="C3" s="2610"/>
      <c r="D3" s="2610"/>
      <c r="E3" s="2610"/>
      <c r="F3" s="2610"/>
    </row>
    <row r="4" spans="1:7" ht="13.5" customHeight="1" x14ac:dyDescent="0.2">
      <c r="A4" s="2611" t="str">
        <f>'Single Audit Cover'!A4</f>
        <v>Year Ending June 30, 2020</v>
      </c>
      <c r="B4" s="2611"/>
      <c r="C4" s="2611"/>
      <c r="D4" s="2611"/>
      <c r="E4" s="2611"/>
      <c r="F4" s="2611"/>
    </row>
    <row r="5" spans="1:7" ht="8.25" customHeight="1" x14ac:dyDescent="0.2">
      <c r="C5" s="295"/>
      <c r="D5" s="295"/>
    </row>
    <row r="6" spans="1:7" ht="13.5" customHeight="1" x14ac:dyDescent="0.2">
      <c r="A6" s="1045" t="s">
        <v>1705</v>
      </c>
      <c r="C6" s="295"/>
      <c r="D6" s="295"/>
    </row>
    <row r="7" spans="1:7" ht="60.95" customHeight="1" x14ac:dyDescent="0.2">
      <c r="A7" s="2608" t="s">
        <v>2082</v>
      </c>
      <c r="B7" s="2608"/>
      <c r="C7" s="2608"/>
      <c r="D7" s="2608"/>
      <c r="E7" s="2608"/>
      <c r="F7" s="2608"/>
    </row>
    <row r="8" spans="1:7" ht="12" customHeight="1" x14ac:dyDescent="0.2">
      <c r="A8" s="1045"/>
      <c r="B8" s="1051"/>
      <c r="C8" s="1051"/>
      <c r="D8" s="1051"/>
    </row>
    <row r="9" spans="1:7" ht="15" customHeight="1" x14ac:dyDescent="0.2">
      <c r="A9" s="1046" t="s">
        <v>1706</v>
      </c>
      <c r="B9" s="1049"/>
      <c r="C9" s="1049"/>
      <c r="D9" s="1049"/>
      <c r="E9" s="1047"/>
      <c r="F9" s="1047"/>
      <c r="G9" s="1047"/>
    </row>
    <row r="10" spans="1:7" ht="15" customHeight="1" x14ac:dyDescent="0.2">
      <c r="A10" s="1048" t="s">
        <v>1530</v>
      </c>
      <c r="B10" s="1049"/>
      <c r="C10" s="1050"/>
      <c r="D10" s="1049" t="s">
        <v>1531</v>
      </c>
      <c r="E10" s="1050" t="s">
        <v>2027</v>
      </c>
      <c r="F10" s="1049" t="s">
        <v>99</v>
      </c>
      <c r="G10" s="1047"/>
    </row>
    <row r="11" spans="1:7" ht="12" customHeight="1" x14ac:dyDescent="0.2">
      <c r="A11" s="1048"/>
      <c r="B11" s="1049"/>
      <c r="C11" s="1518"/>
      <c r="D11" s="1049"/>
      <c r="E11" s="1518"/>
      <c r="F11" s="1049"/>
      <c r="G11" s="1047"/>
    </row>
    <row r="12" spans="1:7" x14ac:dyDescent="0.2">
      <c r="A12" s="1045" t="s">
        <v>1570</v>
      </c>
      <c r="C12" s="1029"/>
      <c r="D12" s="1029"/>
    </row>
    <row r="13" spans="1:7" ht="25.5" customHeight="1" x14ac:dyDescent="0.2">
      <c r="A13" s="2608" t="s">
        <v>2084</v>
      </c>
      <c r="B13" s="2608"/>
      <c r="C13" s="2608"/>
      <c r="D13" s="2608"/>
      <c r="E13" s="2608"/>
      <c r="F13" s="2608"/>
    </row>
    <row r="14" spans="1:7" ht="9.75" customHeight="1" x14ac:dyDescent="0.2">
      <c r="C14" s="1029"/>
      <c r="D14" s="1029"/>
    </row>
    <row r="15" spans="1:7" ht="13.5" customHeight="1" x14ac:dyDescent="0.2">
      <c r="C15" s="1469" t="s">
        <v>1259</v>
      </c>
      <c r="D15" s="2606" t="s">
        <v>1258</v>
      </c>
      <c r="E15" s="2606"/>
      <c r="F15" s="2606"/>
    </row>
    <row r="16" spans="1:7" ht="13.5" customHeight="1" x14ac:dyDescent="0.2">
      <c r="A16" s="1051"/>
      <c r="B16" s="1045" t="s">
        <v>1257</v>
      </c>
      <c r="C16" s="1469" t="s">
        <v>1256</v>
      </c>
      <c r="D16" s="2607" t="s">
        <v>1571</v>
      </c>
      <c r="E16" s="2607"/>
      <c r="F16" s="2607"/>
    </row>
    <row r="17" spans="1:6" ht="20.45" customHeight="1" x14ac:dyDescent="0.2">
      <c r="A17" s="1052"/>
      <c r="B17" s="1053" t="s">
        <v>2083</v>
      </c>
      <c r="C17" s="1054"/>
      <c r="D17" s="2601"/>
      <c r="E17" s="2601"/>
      <c r="F17" s="2601"/>
    </row>
    <row r="18" spans="1:6" ht="20.65" customHeight="1" x14ac:dyDescent="0.2">
      <c r="A18" s="1052"/>
      <c r="B18" s="1053"/>
      <c r="C18" s="1054"/>
      <c r="D18" s="2601"/>
      <c r="E18" s="2601"/>
      <c r="F18" s="2601"/>
    </row>
    <row r="19" spans="1:6" ht="20.65" customHeight="1" x14ac:dyDescent="0.2">
      <c r="A19" s="1052"/>
      <c r="B19" s="1053"/>
      <c r="C19" s="1054"/>
      <c r="D19" s="2601"/>
      <c r="E19" s="2601"/>
      <c r="F19" s="2601"/>
    </row>
    <row r="20" spans="1:6" ht="20.65" customHeight="1" x14ac:dyDescent="0.2">
      <c r="A20" s="1052"/>
      <c r="B20" s="1053"/>
      <c r="C20" s="1054"/>
      <c r="D20" s="2601"/>
      <c r="E20" s="2601"/>
      <c r="F20" s="2601"/>
    </row>
    <row r="21" spans="1:6" ht="20.65" customHeight="1" x14ac:dyDescent="0.2">
      <c r="A21" s="1052"/>
      <c r="B21" s="1053"/>
      <c r="C21" s="1054"/>
      <c r="D21" s="2601"/>
      <c r="E21" s="2601"/>
      <c r="F21" s="2601"/>
    </row>
    <row r="22" spans="1:6" ht="20.65" customHeight="1" x14ac:dyDescent="0.2">
      <c r="A22" s="1052"/>
      <c r="B22" s="1053"/>
      <c r="C22" s="1054"/>
      <c r="D22" s="2601"/>
      <c r="E22" s="2601"/>
      <c r="F22" s="2601"/>
    </row>
    <row r="23" spans="1:6" ht="20.65" customHeight="1" x14ac:dyDescent="0.2">
      <c r="A23" s="1052"/>
      <c r="B23" s="1053"/>
      <c r="C23" s="1054"/>
      <c r="D23" s="2601"/>
      <c r="E23" s="2601"/>
      <c r="F23" s="2601"/>
    </row>
    <row r="24" spans="1:6" ht="20.65" customHeight="1" x14ac:dyDescent="0.2">
      <c r="A24" s="1052"/>
      <c r="B24" s="1053"/>
      <c r="C24" s="1054"/>
      <c r="D24" s="2601"/>
      <c r="E24" s="2601"/>
      <c r="F24" s="2601"/>
    </row>
    <row r="25" spans="1:6" ht="20.65" customHeight="1" x14ac:dyDescent="0.2">
      <c r="A25" s="1052"/>
      <c r="B25" s="1053"/>
      <c r="C25" s="1054"/>
      <c r="D25" s="2601"/>
      <c r="E25" s="2601"/>
      <c r="F25" s="2601"/>
    </row>
    <row r="26" spans="1:6" ht="20.65" customHeight="1" x14ac:dyDescent="0.2">
      <c r="A26" s="1052"/>
      <c r="B26" s="1053"/>
      <c r="C26" s="1054"/>
      <c r="D26" s="2601"/>
      <c r="E26" s="2601"/>
      <c r="F26" s="2601"/>
    </row>
    <row r="27" spans="1:6" ht="20.65" customHeight="1" x14ac:dyDescent="0.2">
      <c r="A27" s="1052"/>
      <c r="B27" s="1053"/>
      <c r="C27" s="1054"/>
      <c r="D27" s="2601"/>
      <c r="E27" s="2601"/>
      <c r="F27" s="2601"/>
    </row>
    <row r="28" spans="1:6" ht="20.65" customHeight="1" x14ac:dyDescent="0.2">
      <c r="A28" s="1052"/>
      <c r="B28" s="1053"/>
      <c r="C28" s="1054"/>
      <c r="D28" s="2601"/>
      <c r="E28" s="2601"/>
      <c r="F28" s="2601"/>
    </row>
    <row r="29" spans="1:6" ht="20.65" customHeight="1" x14ac:dyDescent="0.2">
      <c r="A29" s="1052"/>
      <c r="B29" s="1053"/>
      <c r="C29" s="1054"/>
      <c r="D29" s="2601"/>
      <c r="E29" s="2601"/>
      <c r="F29" s="2601"/>
    </row>
    <row r="30" spans="1:6" ht="12" customHeight="1" x14ac:dyDescent="0.2">
      <c r="A30" s="306"/>
      <c r="B30" s="306"/>
      <c r="C30" s="1226"/>
      <c r="D30" s="1519"/>
      <c r="E30" s="1055"/>
    </row>
    <row r="31" spans="1:6" ht="12" customHeight="1" x14ac:dyDescent="0.2">
      <c r="A31" s="1056" t="s">
        <v>1532</v>
      </c>
      <c r="B31" s="306"/>
      <c r="C31" s="1226"/>
      <c r="D31" s="1519"/>
      <c r="E31" s="1055"/>
    </row>
    <row r="32" spans="1:6" ht="30" customHeight="1" x14ac:dyDescent="0.2">
      <c r="A32" s="2602" t="s">
        <v>2085</v>
      </c>
      <c r="B32" s="2602"/>
      <c r="C32" s="2602"/>
      <c r="D32" s="2602"/>
      <c r="E32" s="2602"/>
      <c r="F32" s="2602"/>
    </row>
    <row r="33" spans="1:6" ht="13.5" customHeight="1" x14ac:dyDescent="0.2">
      <c r="A33" s="306" t="s">
        <v>1417</v>
      </c>
      <c r="B33" s="306"/>
      <c r="C33" s="1057">
        <v>73384</v>
      </c>
      <c r="D33" s="1519"/>
      <c r="E33" s="1055"/>
    </row>
    <row r="34" spans="1:6" ht="13.5" customHeight="1" x14ac:dyDescent="0.2">
      <c r="A34" s="306" t="s">
        <v>1808</v>
      </c>
      <c r="B34" s="306"/>
      <c r="C34" s="1058">
        <v>63461</v>
      </c>
      <c r="D34" s="1519" t="s">
        <v>1572</v>
      </c>
      <c r="E34" s="2603">
        <f>+C33+C34</f>
        <v>136845</v>
      </c>
      <c r="F34" s="2604"/>
    </row>
    <row r="35" spans="1:6" ht="12" customHeight="1" x14ac:dyDescent="0.2">
      <c r="A35" s="306"/>
      <c r="B35" s="306"/>
      <c r="C35" s="1520"/>
      <c r="D35" s="1519"/>
      <c r="E35" s="1059"/>
      <c r="F35" s="1060"/>
    </row>
    <row r="36" spans="1:6" ht="13.5" customHeight="1" x14ac:dyDescent="0.2">
      <c r="A36" s="1056" t="s">
        <v>1533</v>
      </c>
      <c r="B36" s="306"/>
      <c r="C36" s="1226"/>
      <c r="D36" s="1519"/>
      <c r="E36" s="1055"/>
    </row>
    <row r="37" spans="1:6" ht="14.25" customHeight="1" x14ac:dyDescent="0.2">
      <c r="A37" s="306" t="s">
        <v>1467</v>
      </c>
      <c r="B37" s="306"/>
      <c r="C37" s="1521"/>
      <c r="D37" s="1519"/>
      <c r="E37" s="1055"/>
    </row>
    <row r="38" spans="1:6" ht="14.25" customHeight="1" x14ac:dyDescent="0.2">
      <c r="A38" s="306"/>
      <c r="B38" s="306" t="s">
        <v>1418</v>
      </c>
      <c r="C38" s="1061" t="s">
        <v>380</v>
      </c>
      <c r="D38" s="1519"/>
      <c r="E38" s="1055"/>
    </row>
    <row r="39" spans="1:6" ht="14.25" customHeight="1" x14ac:dyDescent="0.2">
      <c r="A39" s="306"/>
      <c r="B39" s="306" t="s">
        <v>1419</v>
      </c>
      <c r="C39" s="1061" t="s">
        <v>380</v>
      </c>
      <c r="D39" s="1519"/>
      <c r="E39" s="1055"/>
    </row>
    <row r="40" spans="1:6" ht="14.25" customHeight="1" x14ac:dyDescent="0.2">
      <c r="A40" s="306"/>
      <c r="B40" s="306" t="s">
        <v>1420</v>
      </c>
      <c r="C40" s="1061" t="s">
        <v>380</v>
      </c>
      <c r="D40" s="1519"/>
      <c r="E40" s="1055"/>
    </row>
    <row r="41" spans="1:6" ht="14.25" customHeight="1" x14ac:dyDescent="0.2">
      <c r="A41" s="306"/>
      <c r="B41" s="306" t="s">
        <v>1421</v>
      </c>
      <c r="C41" s="1061" t="s">
        <v>380</v>
      </c>
      <c r="D41" s="1519"/>
      <c r="E41" s="1055"/>
    </row>
    <row r="42" spans="1:6" ht="14.25" customHeight="1" x14ac:dyDescent="0.2">
      <c r="A42" s="306" t="s">
        <v>1422</v>
      </c>
      <c r="B42" s="306"/>
      <c r="C42" s="1517" t="s">
        <v>380</v>
      </c>
      <c r="D42" s="1519"/>
      <c r="E42" s="1055"/>
    </row>
    <row r="43" spans="1:6" ht="14.25" customHeight="1" x14ac:dyDescent="0.2">
      <c r="A43" s="306" t="s">
        <v>1423</v>
      </c>
      <c r="B43" s="306"/>
      <c r="C43" s="1062" t="s">
        <v>380</v>
      </c>
      <c r="D43" s="1519"/>
      <c r="E43" s="1055"/>
    </row>
    <row r="44" spans="1:6" ht="14.25" customHeight="1" x14ac:dyDescent="0.2">
      <c r="A44" s="306"/>
      <c r="B44" s="306"/>
      <c r="C44" s="1521" t="s">
        <v>1424</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05" t="s">
        <v>1573</v>
      </c>
      <c r="C49" s="2605"/>
      <c r="D49" s="2605"/>
      <c r="E49" s="1161"/>
    </row>
    <row r="50" spans="1:5" s="1069" customFormat="1" ht="3.75" customHeight="1" x14ac:dyDescent="0.2">
      <c r="A50" s="1068"/>
      <c r="B50" s="1468"/>
      <c r="C50" s="1468"/>
      <c r="D50" s="1468"/>
      <c r="E50" s="1161"/>
    </row>
    <row r="51" spans="1:5" s="1069" customFormat="1" ht="20.25" customHeight="1" x14ac:dyDescent="0.2">
      <c r="A51" s="1070">
        <v>6</v>
      </c>
      <c r="B51" s="2600" t="s">
        <v>1534</v>
      </c>
      <c r="C51" s="2600"/>
      <c r="D51" s="2600"/>
    </row>
    <row r="52" spans="1:5" ht="14.25" customHeight="1" x14ac:dyDescent="0.2">
      <c r="A52" s="1070"/>
      <c r="B52" s="2600"/>
      <c r="C52" s="2600"/>
      <c r="D52" s="260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86" firstPageNumber="39" orientation="portrait" useFirstPageNumber="1" r:id="rId1"/>
  <headerFooter alignWithMargins="0">
    <oddHeader>&amp;L&amp;8Page 44&amp;R&amp;8Page 44</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31" zoomScale="110" zoomScaleNormal="110" workbookViewId="0">
      <selection activeCell="E15" sqref="E15"/>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3" t="str">
        <f>'Single Audit Cover'!A7</f>
        <v xml:space="preserve">  McHenry CCSD 15</v>
      </c>
      <c r="C1" s="2624"/>
      <c r="D1" s="2624"/>
      <c r="E1" s="2624"/>
      <c r="F1" s="2624"/>
      <c r="G1" s="2624"/>
      <c r="H1" s="2624"/>
      <c r="I1" s="2624"/>
      <c r="J1" s="1171"/>
    </row>
    <row r="2" spans="2:10" s="295" customFormat="1" ht="12.75" customHeight="1" x14ac:dyDescent="0.2">
      <c r="B2" s="2625">
        <f>'Single Audit Cover'!E7</f>
        <v>44063015004</v>
      </c>
      <c r="C2" s="2626"/>
      <c r="D2" s="2626"/>
      <c r="E2" s="2626"/>
      <c r="F2" s="2626"/>
      <c r="G2" s="2626"/>
      <c r="H2" s="2626"/>
      <c r="I2" s="2626"/>
      <c r="J2" s="1171"/>
    </row>
    <row r="3" spans="2:10" s="295" customFormat="1" ht="12.75" customHeight="1" x14ac:dyDescent="0.2">
      <c r="B3" s="2627" t="s">
        <v>1274</v>
      </c>
      <c r="C3" s="2628"/>
      <c r="D3" s="2628"/>
      <c r="E3" s="2628"/>
      <c r="F3" s="2628"/>
      <c r="G3" s="2628"/>
      <c r="H3" s="2628"/>
      <c r="I3" s="2628"/>
      <c r="J3" s="1172"/>
    </row>
    <row r="4" spans="2:10" s="295" customFormat="1" ht="12.75" customHeight="1" x14ac:dyDescent="0.2">
      <c r="B4" s="2627" t="str">
        <f>'Single Audit Cover'!A4</f>
        <v>Year Ending June 30, 2020</v>
      </c>
      <c r="C4" s="2628"/>
      <c r="D4" s="2628"/>
      <c r="E4" s="2628"/>
      <c r="F4" s="2628"/>
      <c r="G4" s="2628"/>
      <c r="H4" s="2628"/>
      <c r="I4" s="2628"/>
    </row>
    <row r="5" spans="2:10" s="295" customFormat="1" ht="6.2" customHeight="1" x14ac:dyDescent="0.2">
      <c r="B5" s="1173" t="s">
        <v>1159</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27" t="s">
        <v>1273</v>
      </c>
      <c r="C7" s="2628"/>
      <c r="D7" s="2628"/>
      <c r="E7" s="2628"/>
      <c r="F7" s="2628"/>
      <c r="G7" s="2628"/>
      <c r="H7" s="2628"/>
      <c r="I7" s="2628"/>
    </row>
    <row r="8" spans="2:10" s="295" customFormat="1" ht="6.2" customHeight="1" x14ac:dyDescent="0.2">
      <c r="B8" s="1175" t="s">
        <v>1159</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1272</v>
      </c>
      <c r="C10" s="1180"/>
      <c r="D10" s="1180"/>
      <c r="E10" s="1027"/>
    </row>
    <row r="11" spans="2:10" s="295" customFormat="1" ht="13.5" customHeight="1" x14ac:dyDescent="0.2">
      <c r="B11" s="1112" t="s">
        <v>1271</v>
      </c>
      <c r="C11" s="2629" t="s">
        <v>1154</v>
      </c>
      <c r="D11" s="2629"/>
      <c r="E11" s="1181"/>
      <c r="F11" s="1181"/>
      <c r="G11" s="1181"/>
    </row>
    <row r="12" spans="2:10" s="295" customFormat="1" ht="11.45" customHeight="1" x14ac:dyDescent="0.2">
      <c r="B12" s="1120"/>
      <c r="C12" s="1182" t="s">
        <v>1425</v>
      </c>
      <c r="D12" s="1183"/>
      <c r="E12" s="1027"/>
    </row>
    <row r="13" spans="2:10" s="295" customFormat="1" ht="12.75" customHeight="1" x14ac:dyDescent="0.2">
      <c r="B13" s="1184"/>
      <c r="C13" s="1149"/>
      <c r="D13" s="1149"/>
      <c r="E13" s="1027"/>
    </row>
    <row r="14" spans="2:10" s="295" customFormat="1" ht="12.75" customHeight="1" x14ac:dyDescent="0.2">
      <c r="B14" s="1131" t="s">
        <v>1270</v>
      </c>
      <c r="C14" s="1051"/>
      <c r="E14" s="1027"/>
    </row>
    <row r="15" spans="2:10" s="295" customFormat="1" ht="13.5" customHeight="1" x14ac:dyDescent="0.2">
      <c r="B15" s="1185" t="s">
        <v>1267</v>
      </c>
      <c r="C15" s="1186"/>
      <c r="D15" s="1160"/>
      <c r="E15" s="1187"/>
      <c r="F15" s="1069" t="s">
        <v>879</v>
      </c>
      <c r="G15" s="1187" t="s">
        <v>2027</v>
      </c>
      <c r="H15" s="1069" t="s">
        <v>1265</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1266</v>
      </c>
      <c r="C17" s="1186"/>
      <c r="D17" s="1160"/>
      <c r="E17" s="1188"/>
      <c r="F17" s="1026"/>
      <c r="G17" s="1188"/>
      <c r="H17" s="1069"/>
      <c r="I17" s="1069"/>
    </row>
    <row r="18" spans="2:9" s="295" customFormat="1" ht="12.75" customHeight="1" x14ac:dyDescent="0.2">
      <c r="B18" s="1185" t="s">
        <v>1426</v>
      </c>
      <c r="C18" s="1186"/>
      <c r="D18" s="1160"/>
      <c r="E18" s="1187"/>
      <c r="F18" s="1069" t="s">
        <v>879</v>
      </c>
      <c r="G18" s="1187" t="s">
        <v>2027</v>
      </c>
      <c r="H18" s="1069" t="s">
        <v>1265</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1574</v>
      </c>
      <c r="C20" s="1186"/>
      <c r="D20" s="1160"/>
      <c r="E20" s="1187"/>
      <c r="F20" s="1069" t="s">
        <v>879</v>
      </c>
      <c r="G20" s="1187" t="s">
        <v>2027</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1269</v>
      </c>
      <c r="C22" s="1189"/>
      <c r="D22" s="1180"/>
      <c r="E22" s="1146"/>
      <c r="F22" s="1069"/>
      <c r="G22" s="300"/>
      <c r="H22" s="1069"/>
      <c r="I22" s="1069"/>
    </row>
    <row r="23" spans="2:9" s="295" customFormat="1" ht="12.75" customHeight="1" x14ac:dyDescent="0.2">
      <c r="B23" s="1131" t="s">
        <v>1268</v>
      </c>
      <c r="C23" s="1051"/>
      <c r="E23" s="1146"/>
      <c r="F23" s="1069"/>
      <c r="G23" s="300"/>
      <c r="H23" s="1069"/>
      <c r="I23" s="1069"/>
    </row>
    <row r="24" spans="2:9" s="295" customFormat="1" ht="13.5" customHeight="1" x14ac:dyDescent="0.2">
      <c r="B24" s="1185" t="s">
        <v>1267</v>
      </c>
      <c r="C24" s="1186"/>
      <c r="D24" s="1160"/>
      <c r="E24" s="1187"/>
      <c r="F24" s="1069" t="s">
        <v>879</v>
      </c>
      <c r="G24" s="1187" t="s">
        <v>2027</v>
      </c>
      <c r="H24" s="1069" t="s">
        <v>1265</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1266</v>
      </c>
      <c r="C26" s="1186"/>
      <c r="D26" s="1160"/>
      <c r="E26" s="1188"/>
      <c r="F26" s="1026"/>
      <c r="G26" s="1188"/>
      <c r="H26" s="1069"/>
      <c r="I26" s="1069"/>
    </row>
    <row r="27" spans="2:9" s="295" customFormat="1" ht="12.75" customHeight="1" x14ac:dyDescent="0.2">
      <c r="B27" s="1185" t="s">
        <v>1426</v>
      </c>
      <c r="C27" s="1186"/>
      <c r="D27" s="1160"/>
      <c r="E27" s="1187"/>
      <c r="F27" s="1069" t="s">
        <v>879</v>
      </c>
      <c r="G27" s="1187" t="s">
        <v>2027</v>
      </c>
      <c r="H27" s="1069" t="s">
        <v>1265</v>
      </c>
      <c r="I27" s="1069"/>
    </row>
    <row r="28" spans="2:9" s="295" customFormat="1" ht="12.75" customHeight="1" x14ac:dyDescent="0.2">
      <c r="B28" s="1131"/>
      <c r="C28" s="1051"/>
      <c r="E28" s="1027"/>
    </row>
    <row r="29" spans="2:9" s="295" customFormat="1" ht="12.75" customHeight="1" x14ac:dyDescent="0.2">
      <c r="B29" s="1131" t="s">
        <v>1264</v>
      </c>
      <c r="C29" s="1051"/>
      <c r="D29" s="2630" t="s">
        <v>2086</v>
      </c>
      <c r="E29" s="2630"/>
      <c r="F29" s="2630"/>
      <c r="G29" s="2630"/>
      <c r="H29" s="2630"/>
      <c r="I29" s="2630"/>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1263</v>
      </c>
      <c r="C32" s="1051"/>
      <c r="E32" s="1027"/>
    </row>
    <row r="33" spans="2:9" ht="13.5" customHeight="1" x14ac:dyDescent="0.2">
      <c r="B33" s="1131" t="s">
        <v>1535</v>
      </c>
      <c r="C33" s="1051"/>
      <c r="E33" s="1187"/>
      <c r="F33" s="1069" t="s">
        <v>879</v>
      </c>
      <c r="G33" s="1187" t="s">
        <v>2027</v>
      </c>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31" t="s">
        <v>1725</v>
      </c>
      <c r="D37" s="2632"/>
      <c r="E37" s="2632"/>
      <c r="F37" s="2633"/>
      <c r="G37" s="2631" t="s">
        <v>1575</v>
      </c>
      <c r="H37" s="2632"/>
      <c r="I37" s="2633"/>
    </row>
    <row r="38" spans="2:9" ht="16.5" customHeight="1" x14ac:dyDescent="0.2">
      <c r="B38" s="1193" t="s">
        <v>2087</v>
      </c>
      <c r="C38" s="2619" t="s">
        <v>2076</v>
      </c>
      <c r="D38" s="2620"/>
      <c r="E38" s="2620"/>
      <c r="F38" s="2621"/>
      <c r="G38" s="2634">
        <v>1368264</v>
      </c>
      <c r="H38" s="2635"/>
      <c r="I38" s="2636"/>
    </row>
    <row r="39" spans="2:9" ht="16.5" customHeight="1" x14ac:dyDescent="0.2">
      <c r="B39" s="1193"/>
      <c r="C39" s="2619"/>
      <c r="D39" s="2620"/>
      <c r="E39" s="2620"/>
      <c r="F39" s="2621"/>
      <c r="G39" s="2622"/>
      <c r="H39" s="2622"/>
      <c r="I39" s="2622"/>
    </row>
    <row r="40" spans="2:9" ht="16.5" customHeight="1" x14ac:dyDescent="0.2">
      <c r="B40" s="1193"/>
      <c r="C40" s="2619"/>
      <c r="D40" s="2620"/>
      <c r="E40" s="2620"/>
      <c r="F40" s="2621"/>
      <c r="G40" s="2622"/>
      <c r="H40" s="2622"/>
      <c r="I40" s="2622"/>
    </row>
    <row r="41" spans="2:9" ht="16.5" customHeight="1" x14ac:dyDescent="0.2">
      <c r="B41" s="1193"/>
      <c r="C41" s="2619"/>
      <c r="D41" s="2620"/>
      <c r="E41" s="2620"/>
      <c r="F41" s="2621"/>
      <c r="G41" s="2622"/>
      <c r="H41" s="2622"/>
      <c r="I41" s="2622"/>
    </row>
    <row r="42" spans="2:9" ht="16.5" customHeight="1" x14ac:dyDescent="0.2">
      <c r="B42" s="1193"/>
      <c r="C42" s="2619"/>
      <c r="D42" s="2620"/>
      <c r="E42" s="2620"/>
      <c r="F42" s="2621"/>
      <c r="G42" s="2622"/>
      <c r="H42" s="2622"/>
      <c r="I42" s="2622"/>
    </row>
    <row r="43" spans="2:9" ht="16.5" customHeight="1" x14ac:dyDescent="0.2">
      <c r="B43" s="1193"/>
      <c r="C43" s="2612" t="s">
        <v>1576</v>
      </c>
      <c r="D43" s="2613"/>
      <c r="E43" s="2613"/>
      <c r="F43" s="2614"/>
      <c r="G43" s="2615">
        <f>SUM(G38:I42)</f>
        <v>1368264</v>
      </c>
      <c r="H43" s="2615"/>
      <c r="I43" s="2615"/>
    </row>
    <row r="44" spans="2:9" ht="12.75" customHeight="1" x14ac:dyDescent="0.2"/>
    <row r="45" spans="2:9" ht="12.75" customHeight="1" x14ac:dyDescent="0.2">
      <c r="B45" s="1903" t="str">
        <f>"Total Federal Expenditures for 7/1/"&amp;MID('AFR20'!E2,3,2)-1&amp;"-6/30/"&amp;MID('AFR20'!E2,3,2)</f>
        <v>Total Federal Expenditures for 7/1/19-6/30/20</v>
      </c>
      <c r="C45" s="1904"/>
      <c r="D45" s="2616">
        <f>' SEFA (3)'!I28</f>
        <v>3333271</v>
      </c>
      <c r="E45" s="2617"/>
    </row>
    <row r="46" spans="2:9" ht="5.25" customHeight="1" x14ac:dyDescent="0.2">
      <c r="B46" s="1194"/>
      <c r="D46" s="1195"/>
      <c r="E46" s="1196"/>
    </row>
    <row r="47" spans="2:9" ht="12.75" customHeight="1" x14ac:dyDescent="0.2">
      <c r="B47" s="1069" t="s">
        <v>1577</v>
      </c>
      <c r="C47" s="1069"/>
      <c r="D47" s="1197">
        <f>+G43/D45</f>
        <v>0.41048687610458318</v>
      </c>
      <c r="E47" s="1198"/>
      <c r="F47" s="1199"/>
      <c r="I47" s="1200"/>
    </row>
    <row r="48" spans="2:9" ht="9.9499999999999993" customHeight="1" x14ac:dyDescent="0.2"/>
    <row r="49" spans="1:9" x14ac:dyDescent="0.2">
      <c r="B49" s="1131" t="s">
        <v>1262</v>
      </c>
      <c r="C49" s="1051"/>
      <c r="D49" s="1051"/>
      <c r="E49" s="2618">
        <v>750000</v>
      </c>
      <c r="F49" s="2618"/>
      <c r="G49" s="2618"/>
      <c r="H49" s="300"/>
    </row>
    <row r="51" spans="1:9" ht="13.5" customHeight="1" x14ac:dyDescent="0.2">
      <c r="B51" s="1131" t="s">
        <v>1261</v>
      </c>
      <c r="C51" s="1051"/>
      <c r="E51" s="1187"/>
      <c r="F51" s="1069" t="s">
        <v>879</v>
      </c>
      <c r="G51" s="1187" t="s">
        <v>2029</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1578</v>
      </c>
      <c r="C55" s="1207"/>
      <c r="D55" s="1207"/>
    </row>
    <row r="56" spans="1:9" s="1210" customFormat="1" ht="12.75" customHeight="1" x14ac:dyDescent="0.2">
      <c r="A56" s="1207"/>
      <c r="B56" s="1211" t="s">
        <v>1579</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1580</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D99A5-5199-4659-A742-ABBB2BFA79F5}">
  <sheetPr>
    <tabColor rgb="FF92D050"/>
  </sheetPr>
  <dimension ref="A1:M41"/>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3" t="str">
        <f>'Single Audit Cover'!A7</f>
        <v xml:space="preserve">  McHenry CCSD 15</v>
      </c>
      <c r="C1" s="2623"/>
      <c r="D1" s="2623"/>
      <c r="E1" s="2623"/>
      <c r="F1" s="2623"/>
      <c r="G1" s="2623"/>
      <c r="H1" s="2623"/>
      <c r="I1" s="2623"/>
      <c r="J1" s="2623"/>
      <c r="K1" s="2623"/>
      <c r="L1" s="1137"/>
      <c r="M1" s="1137"/>
    </row>
    <row r="2" spans="1:13" ht="12" customHeight="1" x14ac:dyDescent="0.2">
      <c r="B2" s="2625">
        <f>'Single Audit Cover'!E7</f>
        <v>44063015004</v>
      </c>
      <c r="C2" s="2625"/>
      <c r="D2" s="2625"/>
      <c r="E2" s="2625"/>
      <c r="F2" s="2625"/>
      <c r="G2" s="2625"/>
      <c r="H2" s="2625"/>
      <c r="I2" s="2625"/>
      <c r="J2" s="2625"/>
      <c r="K2" s="2625"/>
      <c r="L2" s="1138"/>
      <c r="M2" s="1139"/>
    </row>
    <row r="3" spans="1:13" ht="10.35" customHeight="1" x14ac:dyDescent="0.2">
      <c r="B3" s="2639" t="s">
        <v>1274</v>
      </c>
      <c r="C3" s="2639"/>
      <c r="D3" s="2639"/>
      <c r="E3" s="2639"/>
      <c r="F3" s="2639"/>
      <c r="G3" s="2639"/>
      <c r="H3" s="2639"/>
      <c r="I3" s="2639"/>
      <c r="J3" s="2639"/>
      <c r="K3" s="2639"/>
      <c r="L3" s="1937"/>
      <c r="M3" s="1937"/>
    </row>
    <row r="4" spans="1:13" ht="14.25" customHeight="1" x14ac:dyDescent="0.2">
      <c r="B4" s="2640" t="str">
        <f>'Single Audit Cover'!A4</f>
        <v>Year Ending June 30, 2020</v>
      </c>
      <c r="C4" s="2640"/>
      <c r="D4" s="2640"/>
      <c r="E4" s="2640"/>
      <c r="F4" s="2640"/>
      <c r="G4" s="2640"/>
      <c r="H4" s="2640"/>
      <c r="I4" s="2640"/>
      <c r="J4" s="2640"/>
      <c r="K4" s="2640"/>
      <c r="L4" s="291"/>
      <c r="M4" s="291"/>
    </row>
    <row r="5" spans="1:13" ht="7.5" customHeight="1" x14ac:dyDescent="0.2">
      <c r="B5" s="1029" t="s">
        <v>1159</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40" t="s">
        <v>1285</v>
      </c>
      <c r="C7" s="2640"/>
      <c r="D7" s="2641"/>
      <c r="E7" s="2641"/>
      <c r="F7" s="2641"/>
      <c r="G7" s="2641"/>
      <c r="H7" s="2641"/>
      <c r="I7" s="2641"/>
      <c r="J7" s="2641"/>
      <c r="K7" s="264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v>1</v>
      </c>
      <c r="E10" s="300"/>
      <c r="F10" s="1149" t="s">
        <v>1284</v>
      </c>
      <c r="G10" s="1150"/>
      <c r="H10" s="1151" t="s">
        <v>1283</v>
      </c>
      <c r="I10" s="1150" t="s">
        <v>2029</v>
      </c>
      <c r="J10" s="1152" t="s">
        <v>1282</v>
      </c>
      <c r="K10" s="300"/>
      <c r="L10" s="1144"/>
    </row>
    <row r="11" spans="1:13" ht="13.5" customHeight="1" x14ac:dyDescent="0.2">
      <c r="B11" s="300"/>
      <c r="C11" s="300"/>
      <c r="D11" s="300"/>
      <c r="E11" s="300"/>
      <c r="F11" s="300"/>
      <c r="G11" s="1146"/>
      <c r="H11" s="300"/>
      <c r="I11" s="1153" t="s">
        <v>1281</v>
      </c>
      <c r="J11" s="300"/>
      <c r="K11" s="1154">
        <v>2019</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1280</v>
      </c>
      <c r="C13" s="1155"/>
      <c r="D13" s="1156"/>
      <c r="E13" s="1156"/>
      <c r="F13" s="1156"/>
      <c r="G13" s="1157"/>
      <c r="H13" s="1156"/>
      <c r="I13" s="1157"/>
      <c r="J13" s="1156"/>
      <c r="K13" s="1156"/>
      <c r="L13" s="1158"/>
    </row>
    <row r="14" spans="1:13" ht="45.75" customHeight="1" x14ac:dyDescent="0.2">
      <c r="B14" s="2642" t="s">
        <v>2111</v>
      </c>
      <c r="C14" s="2642"/>
      <c r="D14" s="2642"/>
      <c r="E14" s="2642"/>
      <c r="F14" s="2642"/>
      <c r="G14" s="2642"/>
      <c r="H14" s="2642"/>
      <c r="I14" s="2642"/>
      <c r="J14" s="2642"/>
      <c r="K14" s="2642"/>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1279</v>
      </c>
      <c r="C16" s="1155"/>
      <c r="D16" s="1156"/>
      <c r="E16" s="1156"/>
      <c r="F16" s="1156"/>
      <c r="G16" s="1157"/>
      <c r="H16" s="1156"/>
      <c r="I16" s="1157"/>
      <c r="J16" s="1156"/>
      <c r="K16" s="1156"/>
      <c r="L16" s="1158"/>
    </row>
    <row r="17" spans="2:12" ht="45.75" customHeight="1" x14ac:dyDescent="0.2">
      <c r="B17" s="2642" t="s">
        <v>2102</v>
      </c>
      <c r="C17" s="2642"/>
      <c r="D17" s="2642"/>
      <c r="E17" s="2642"/>
      <c r="F17" s="2642"/>
      <c r="G17" s="2642"/>
      <c r="H17" s="2642"/>
      <c r="I17" s="2642"/>
      <c r="J17" s="2642"/>
      <c r="K17" s="2642"/>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43" t="s">
        <v>2103</v>
      </c>
      <c r="C20" s="2643"/>
      <c r="D20" s="2642"/>
      <c r="E20" s="2642"/>
      <c r="F20" s="2642"/>
      <c r="G20" s="2642"/>
      <c r="H20" s="2642"/>
      <c r="I20" s="2642"/>
      <c r="J20" s="2642"/>
      <c r="K20" s="2642"/>
      <c r="L20" s="1144"/>
    </row>
    <row r="21" spans="2:12" ht="4.5" customHeight="1" x14ac:dyDescent="0.2">
      <c r="B21" s="1162"/>
      <c r="C21" s="1162"/>
      <c r="L21" s="1144"/>
    </row>
    <row r="22" spans="2:12" ht="13.5" customHeight="1" x14ac:dyDescent="0.2">
      <c r="B22" s="1155" t="s">
        <v>1278</v>
      </c>
      <c r="C22" s="1155"/>
      <c r="D22" s="1142"/>
      <c r="E22" s="1142"/>
      <c r="F22" s="1142"/>
      <c r="G22" s="1143"/>
      <c r="H22" s="1142"/>
      <c r="I22" s="1143"/>
      <c r="J22" s="1142"/>
      <c r="K22" s="1142"/>
      <c r="L22" s="1144"/>
    </row>
    <row r="23" spans="2:12" ht="45" customHeight="1" x14ac:dyDescent="0.2">
      <c r="B23" s="2642" t="s">
        <v>2106</v>
      </c>
      <c r="C23" s="2642"/>
      <c r="D23" s="2642"/>
      <c r="E23" s="2642"/>
      <c r="F23" s="2642"/>
      <c r="G23" s="2642"/>
      <c r="H23" s="2642"/>
      <c r="I23" s="2642"/>
      <c r="J23" s="2642"/>
      <c r="K23" s="2642"/>
      <c r="L23" s="1144"/>
    </row>
    <row r="24" spans="2:12" ht="4.5" customHeight="1" x14ac:dyDescent="0.2">
      <c r="B24" s="1160"/>
      <c r="C24" s="1160"/>
      <c r="L24" s="1144"/>
    </row>
    <row r="25" spans="2:12" ht="13.5" customHeight="1" x14ac:dyDescent="0.2">
      <c r="B25" s="1155" t="s">
        <v>1277</v>
      </c>
      <c r="C25" s="1155"/>
      <c r="D25" s="1142"/>
      <c r="E25" s="1142"/>
      <c r="F25" s="1142"/>
      <c r="G25" s="1143"/>
      <c r="H25" s="1142"/>
      <c r="I25" s="1143"/>
      <c r="J25" s="1142"/>
      <c r="K25" s="1142"/>
      <c r="L25" s="1144"/>
    </row>
    <row r="26" spans="2:12" ht="45.75" customHeight="1" x14ac:dyDescent="0.2">
      <c r="B26" s="2642" t="s">
        <v>2110</v>
      </c>
      <c r="C26" s="2642"/>
      <c r="D26" s="2642"/>
      <c r="E26" s="2642"/>
      <c r="F26" s="2642"/>
      <c r="G26" s="2642"/>
      <c r="H26" s="2642"/>
      <c r="I26" s="2642"/>
      <c r="J26" s="2642"/>
      <c r="K26" s="2642"/>
      <c r="L26" s="1144"/>
    </row>
    <row r="27" spans="2:12" ht="4.5" customHeight="1" x14ac:dyDescent="0.2">
      <c r="B27" s="1160"/>
      <c r="C27" s="1160"/>
      <c r="L27" s="1144"/>
    </row>
    <row r="28" spans="2:12" ht="13.5" customHeight="1" x14ac:dyDescent="0.2">
      <c r="B28" s="1163" t="s">
        <v>1276</v>
      </c>
      <c r="C28" s="1163"/>
      <c r="D28" s="1142"/>
      <c r="E28" s="1142"/>
      <c r="F28" s="1142"/>
      <c r="G28" s="1143"/>
      <c r="H28" s="1142"/>
      <c r="I28" s="1143"/>
      <c r="J28" s="1142"/>
      <c r="K28" s="1142"/>
      <c r="L28" s="1144"/>
    </row>
    <row r="29" spans="2:12" ht="45.75" customHeight="1" x14ac:dyDescent="0.2">
      <c r="B29" s="2644" t="s">
        <v>2211</v>
      </c>
      <c r="C29" s="2644"/>
      <c r="D29" s="2642"/>
      <c r="E29" s="2642"/>
      <c r="F29" s="2642"/>
      <c r="G29" s="2642"/>
      <c r="H29" s="2642"/>
      <c r="I29" s="2642"/>
      <c r="J29" s="2642"/>
      <c r="K29" s="2642"/>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37" t="s">
        <v>2104</v>
      </c>
      <c r="C32" s="2637"/>
      <c r="D32" s="2638"/>
      <c r="E32" s="2638"/>
      <c r="F32" s="2638"/>
      <c r="G32" s="2638"/>
      <c r="H32" s="2638"/>
      <c r="I32" s="2638"/>
      <c r="J32" s="2638"/>
      <c r="K32" s="263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1275</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47&amp;R&amp;8Page 47</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9524E-E8FA-451C-A0BF-B7694C4D48AE}">
  <sheetPr>
    <tabColor rgb="FF92D050"/>
  </sheetPr>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3" t="str">
        <f>'Single Audit Cover'!A7</f>
        <v xml:space="preserve">  McHenry CCSD 15</v>
      </c>
      <c r="C1" s="2623"/>
      <c r="D1" s="2623"/>
      <c r="E1" s="2623"/>
      <c r="F1" s="2623"/>
      <c r="G1" s="2623"/>
      <c r="H1" s="2623"/>
      <c r="I1" s="2623"/>
      <c r="J1" s="2623"/>
      <c r="K1" s="2623"/>
      <c r="L1" s="1137"/>
      <c r="M1" s="1137"/>
    </row>
    <row r="2" spans="1:13" ht="12" customHeight="1" x14ac:dyDescent="0.2">
      <c r="B2" s="2625">
        <f>'Single Audit Cover'!E7</f>
        <v>44063015004</v>
      </c>
      <c r="C2" s="2625"/>
      <c r="D2" s="2625"/>
      <c r="E2" s="2625"/>
      <c r="F2" s="2625"/>
      <c r="G2" s="2625"/>
      <c r="H2" s="2625"/>
      <c r="I2" s="2625"/>
      <c r="J2" s="2625"/>
      <c r="K2" s="2625"/>
      <c r="L2" s="1138"/>
      <c r="M2" s="1139"/>
    </row>
    <row r="3" spans="1:13" ht="10.35" customHeight="1" x14ac:dyDescent="0.2">
      <c r="B3" s="2639" t="s">
        <v>1274</v>
      </c>
      <c r="C3" s="2639"/>
      <c r="D3" s="2639"/>
      <c r="E3" s="2639"/>
      <c r="F3" s="2639"/>
      <c r="G3" s="2639"/>
      <c r="H3" s="2639"/>
      <c r="I3" s="2639"/>
      <c r="J3" s="2639"/>
      <c r="K3" s="2639"/>
      <c r="L3" s="1937"/>
      <c r="M3" s="1937"/>
    </row>
    <row r="4" spans="1:13" ht="14.25" customHeight="1" x14ac:dyDescent="0.2">
      <c r="B4" s="2640" t="str">
        <f>'Single Audit Cover'!A4</f>
        <v>Year Ending June 30, 2020</v>
      </c>
      <c r="C4" s="2640"/>
      <c r="D4" s="2640"/>
      <c r="E4" s="2640"/>
      <c r="F4" s="2640"/>
      <c r="G4" s="2640"/>
      <c r="H4" s="2640"/>
      <c r="I4" s="2640"/>
      <c r="J4" s="2640"/>
      <c r="K4" s="2640"/>
      <c r="L4" s="291"/>
      <c r="M4" s="291"/>
    </row>
    <row r="5" spans="1:13" ht="7.5" customHeight="1" x14ac:dyDescent="0.2">
      <c r="B5" s="1029" t="s">
        <v>1159</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40" t="s">
        <v>1285</v>
      </c>
      <c r="C7" s="2640"/>
      <c r="D7" s="2641"/>
      <c r="E7" s="2641"/>
      <c r="F7" s="2641"/>
      <c r="G7" s="2641"/>
      <c r="H7" s="2641"/>
      <c r="I7" s="2641"/>
      <c r="J7" s="2641"/>
      <c r="K7" s="264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v>2</v>
      </c>
      <c r="E10" s="300"/>
      <c r="F10" s="1149" t="s">
        <v>1284</v>
      </c>
      <c r="G10" s="1150" t="s">
        <v>2027</v>
      </c>
      <c r="H10" s="1151" t="s">
        <v>1283</v>
      </c>
      <c r="I10" s="1150"/>
      <c r="J10" s="1152" t="s">
        <v>1282</v>
      </c>
      <c r="K10" s="300"/>
      <c r="L10" s="1144"/>
    </row>
    <row r="11" spans="1:13" ht="13.5" customHeight="1" x14ac:dyDescent="0.2">
      <c r="B11" s="300"/>
      <c r="C11" s="300"/>
      <c r="D11" s="300"/>
      <c r="E11" s="300"/>
      <c r="F11" s="300"/>
      <c r="G11" s="1146"/>
      <c r="H11" s="300"/>
      <c r="I11" s="1153" t="s">
        <v>1281</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1280</v>
      </c>
      <c r="C13" s="1155"/>
      <c r="D13" s="1156"/>
      <c r="E13" s="1156"/>
      <c r="F13" s="1156"/>
      <c r="G13" s="1157"/>
      <c r="H13" s="1156"/>
      <c r="I13" s="1157"/>
      <c r="J13" s="1156"/>
      <c r="K13" s="1156"/>
      <c r="L13" s="1158"/>
    </row>
    <row r="14" spans="1:13" ht="45.75" customHeight="1" x14ac:dyDescent="0.2">
      <c r="B14" s="2642" t="s">
        <v>2108</v>
      </c>
      <c r="C14" s="2642"/>
      <c r="D14" s="2642"/>
      <c r="E14" s="2642"/>
      <c r="F14" s="2642"/>
      <c r="G14" s="2642"/>
      <c r="H14" s="2642"/>
      <c r="I14" s="2642"/>
      <c r="J14" s="2642"/>
      <c r="K14" s="2642"/>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1279</v>
      </c>
      <c r="C16" s="1155"/>
      <c r="D16" s="1156"/>
      <c r="E16" s="1156"/>
      <c r="F16" s="1156"/>
      <c r="G16" s="1157"/>
      <c r="H16" s="1156"/>
      <c r="I16" s="1157"/>
      <c r="J16" s="1156"/>
      <c r="K16" s="1156"/>
      <c r="L16" s="1158"/>
    </row>
    <row r="17" spans="2:12" ht="45.75" customHeight="1" x14ac:dyDescent="0.2">
      <c r="B17" s="2642" t="s">
        <v>2105</v>
      </c>
      <c r="C17" s="2642"/>
      <c r="D17" s="2642"/>
      <c r="E17" s="2642"/>
      <c r="F17" s="2642"/>
      <c r="G17" s="2642"/>
      <c r="H17" s="2642"/>
      <c r="I17" s="2642"/>
      <c r="J17" s="2642"/>
      <c r="K17" s="2642"/>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43" t="s">
        <v>2109</v>
      </c>
      <c r="C20" s="2643"/>
      <c r="D20" s="2642"/>
      <c r="E20" s="2642"/>
      <c r="F20" s="2642"/>
      <c r="G20" s="2642"/>
      <c r="H20" s="2642"/>
      <c r="I20" s="2642"/>
      <c r="J20" s="2642"/>
      <c r="K20" s="2642"/>
      <c r="L20" s="1144"/>
    </row>
    <row r="21" spans="2:12" ht="4.5" customHeight="1" x14ac:dyDescent="0.2">
      <c r="B21" s="1162"/>
      <c r="C21" s="1162"/>
      <c r="L21" s="1144"/>
    </row>
    <row r="22" spans="2:12" ht="13.5" customHeight="1" x14ac:dyDescent="0.2">
      <c r="B22" s="1155" t="s">
        <v>1278</v>
      </c>
      <c r="C22" s="1155"/>
      <c r="D22" s="1142"/>
      <c r="E22" s="1142"/>
      <c r="F22" s="1142"/>
      <c r="G22" s="1143"/>
      <c r="H22" s="1142"/>
      <c r="I22" s="1143"/>
      <c r="J22" s="1142"/>
      <c r="K22" s="1142"/>
      <c r="L22" s="1144"/>
    </row>
    <row r="23" spans="2:12" ht="45" customHeight="1" x14ac:dyDescent="0.2">
      <c r="B23" s="2642" t="s">
        <v>2107</v>
      </c>
      <c r="C23" s="2642"/>
      <c r="D23" s="2642"/>
      <c r="E23" s="2642"/>
      <c r="F23" s="2642"/>
      <c r="G23" s="2642"/>
      <c r="H23" s="2642"/>
      <c r="I23" s="2642"/>
      <c r="J23" s="2642"/>
      <c r="K23" s="2642"/>
      <c r="L23" s="1144"/>
    </row>
    <row r="24" spans="2:12" ht="4.5" customHeight="1" x14ac:dyDescent="0.2">
      <c r="B24" s="1160"/>
      <c r="C24" s="1160"/>
      <c r="L24" s="1144"/>
    </row>
    <row r="25" spans="2:12" ht="13.5" customHeight="1" x14ac:dyDescent="0.2">
      <c r="B25" s="1155" t="s">
        <v>1277</v>
      </c>
      <c r="C25" s="1155"/>
      <c r="D25" s="1142"/>
      <c r="E25" s="1142"/>
      <c r="F25" s="1142"/>
      <c r="G25" s="1143"/>
      <c r="H25" s="1142"/>
      <c r="I25" s="1143"/>
      <c r="J25" s="1142"/>
      <c r="K25" s="1142"/>
      <c r="L25" s="1144"/>
    </row>
    <row r="26" spans="2:12" ht="45.75" customHeight="1" x14ac:dyDescent="0.2">
      <c r="B26" s="2642" t="s">
        <v>2110</v>
      </c>
      <c r="C26" s="2642"/>
      <c r="D26" s="2642"/>
      <c r="E26" s="2642"/>
      <c r="F26" s="2642"/>
      <c r="G26" s="2642"/>
      <c r="H26" s="2642"/>
      <c r="I26" s="2642"/>
      <c r="J26" s="2642"/>
      <c r="K26" s="2642"/>
      <c r="L26" s="1144"/>
    </row>
    <row r="27" spans="2:12" ht="4.5" customHeight="1" x14ac:dyDescent="0.2">
      <c r="B27" s="1160"/>
      <c r="C27" s="1160"/>
      <c r="L27" s="1144"/>
    </row>
    <row r="28" spans="2:12" ht="13.5" customHeight="1" x14ac:dyDescent="0.2">
      <c r="B28" s="1163" t="s">
        <v>1276</v>
      </c>
      <c r="C28" s="1163"/>
      <c r="D28" s="1142"/>
      <c r="E28" s="1142"/>
      <c r="F28" s="1142"/>
      <c r="G28" s="1143"/>
      <c r="H28" s="1142"/>
      <c r="I28" s="1143"/>
      <c r="J28" s="1142"/>
      <c r="K28" s="1142"/>
      <c r="L28" s="1144"/>
    </row>
    <row r="29" spans="2:12" ht="45.75" customHeight="1" x14ac:dyDescent="0.2">
      <c r="B29" s="2644" t="s">
        <v>2212</v>
      </c>
      <c r="C29" s="2644"/>
      <c r="D29" s="2642"/>
      <c r="E29" s="2642"/>
      <c r="F29" s="2642"/>
      <c r="G29" s="2642"/>
      <c r="H29" s="2642"/>
      <c r="I29" s="2642"/>
      <c r="J29" s="2642"/>
      <c r="K29" s="2642"/>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37" t="s">
        <v>2114</v>
      </c>
      <c r="C32" s="2637"/>
      <c r="D32" s="2638"/>
      <c r="E32" s="2638"/>
      <c r="F32" s="2638"/>
      <c r="G32" s="2638"/>
      <c r="H32" s="2638"/>
      <c r="I32" s="2638"/>
      <c r="J32" s="2638"/>
      <c r="K32" s="263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1275</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48&amp;R&amp;8Page 48</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B10" sqref="B1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8" t="str">
        <f>'Single Audit Cover'!A7</f>
        <v xml:space="preserve">  McHenry CCSD 15</v>
      </c>
      <c r="C1" s="2648"/>
      <c r="D1" s="2648"/>
      <c r="E1" s="2648"/>
      <c r="F1" s="2648"/>
      <c r="G1" s="2648"/>
      <c r="H1" s="2648"/>
      <c r="I1" s="2648"/>
      <c r="J1" s="2648"/>
      <c r="K1" s="2648"/>
      <c r="L1" s="1214"/>
    </row>
    <row r="2" spans="1:12" ht="12.75" customHeight="1" x14ac:dyDescent="0.2">
      <c r="B2" s="2649">
        <f>'Single Audit Cover'!E7</f>
        <v>44063015004</v>
      </c>
      <c r="C2" s="2649"/>
      <c r="D2" s="2649"/>
      <c r="E2" s="2649"/>
      <c r="F2" s="2649"/>
      <c r="G2" s="2649"/>
      <c r="H2" s="2649"/>
      <c r="I2" s="2649"/>
      <c r="J2" s="2649"/>
      <c r="K2" s="2649"/>
      <c r="L2" s="1215"/>
    </row>
    <row r="3" spans="1:12" ht="12.75" customHeight="1" x14ac:dyDescent="0.2">
      <c r="B3" s="2639" t="s">
        <v>1274</v>
      </c>
      <c r="C3" s="2639"/>
      <c r="D3" s="2639"/>
      <c r="E3" s="2639"/>
      <c r="F3" s="2639"/>
      <c r="G3" s="2639"/>
      <c r="H3" s="2639"/>
      <c r="I3" s="2639"/>
      <c r="J3" s="2639"/>
      <c r="K3" s="2639"/>
      <c r="L3" s="1140"/>
    </row>
    <row r="4" spans="1:12" ht="12.75" customHeight="1" x14ac:dyDescent="0.2">
      <c r="B4" s="2639" t="str">
        <f>'Single Audit Cover'!A4</f>
        <v>Year Ending June 30, 2020</v>
      </c>
      <c r="C4" s="2639"/>
      <c r="D4" s="2639"/>
      <c r="E4" s="2639"/>
      <c r="F4" s="2639"/>
      <c r="G4" s="2639"/>
      <c r="H4" s="2639"/>
      <c r="I4" s="2639"/>
      <c r="J4" s="2639"/>
      <c r="K4" s="2639"/>
      <c r="L4" s="1140"/>
    </row>
    <row r="5" spans="1:12" ht="5.25" customHeight="1" x14ac:dyDescent="0.2">
      <c r="B5" s="1029" t="s">
        <v>1159</v>
      </c>
      <c r="C5" s="1029"/>
      <c r="L5" s="300"/>
    </row>
    <row r="6" spans="1:12" ht="30.75" customHeight="1" x14ac:dyDescent="0.2">
      <c r="A6" s="300"/>
      <c r="B6" s="2650" t="s">
        <v>1297</v>
      </c>
      <c r="C6" s="2650"/>
      <c r="D6" s="2650"/>
      <c r="E6" s="2650"/>
      <c r="F6" s="2650"/>
      <c r="G6" s="2650"/>
      <c r="H6" s="2650"/>
      <c r="I6" s="2650"/>
      <c r="J6" s="2650"/>
      <c r="K6" s="2650"/>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5" t="str">
        <f>'AFR20'!$E$2&amp;"-"</f>
        <v>2020-</v>
      </c>
      <c r="D8" s="1216" t="s">
        <v>2079</v>
      </c>
      <c r="E8" s="300"/>
      <c r="F8" s="1147" t="s">
        <v>1284</v>
      </c>
      <c r="G8" s="1217"/>
      <c r="H8" s="1218" t="s">
        <v>1296</v>
      </c>
      <c r="I8" s="1217"/>
      <c r="J8" s="1219" t="s">
        <v>1295</v>
      </c>
      <c r="L8" s="300"/>
    </row>
    <row r="9" spans="1:12" ht="13.5" customHeight="1" x14ac:dyDescent="0.2">
      <c r="D9" s="300"/>
      <c r="E9" s="300"/>
      <c r="F9" s="300"/>
      <c r="G9" s="1146"/>
      <c r="H9" s="300"/>
      <c r="I9" s="1220" t="s">
        <v>1281</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1294</v>
      </c>
      <c r="C12" s="1147"/>
      <c r="D12" s="282"/>
      <c r="E12" s="300"/>
      <c r="F12" s="2630"/>
      <c r="G12" s="2630"/>
      <c r="H12" s="2630"/>
      <c r="I12" s="2630"/>
      <c r="J12" s="2630"/>
      <c r="K12" s="2630"/>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1293</v>
      </c>
      <c r="C14" s="1149"/>
      <c r="D14" s="2645"/>
      <c r="E14" s="2645"/>
      <c r="F14" s="2645"/>
      <c r="H14" s="1223" t="s">
        <v>1292</v>
      </c>
      <c r="I14" s="2646"/>
      <c r="J14" s="2646"/>
      <c r="K14" s="2646"/>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1291</v>
      </c>
      <c r="C16" s="1149"/>
      <c r="D16" s="2646"/>
      <c r="E16" s="2646"/>
      <c r="F16" s="2646"/>
      <c r="G16" s="2646"/>
      <c r="H16" s="2646"/>
      <c r="I16" s="2646"/>
      <c r="J16" s="2646"/>
      <c r="K16" s="2646"/>
      <c r="L16" s="300"/>
    </row>
    <row r="17" spans="2:12" ht="13.5" customHeight="1" x14ac:dyDescent="0.2">
      <c r="B17" s="1149" t="s">
        <v>1290</v>
      </c>
      <c r="C17" s="1149"/>
      <c r="D17" s="2647"/>
      <c r="E17" s="2647"/>
      <c r="F17" s="2647"/>
      <c r="G17" s="2647"/>
      <c r="H17" s="2647"/>
      <c r="I17" s="2647"/>
      <c r="J17" s="2647"/>
      <c r="K17" s="2647"/>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1289</v>
      </c>
      <c r="C19" s="1225"/>
      <c r="D19" s="306"/>
      <c r="E19" s="306"/>
      <c r="F19" s="306"/>
      <c r="G19" s="1226"/>
      <c r="H19" s="306"/>
      <c r="I19" s="1226"/>
      <c r="J19" s="300"/>
      <c r="K19" s="300"/>
      <c r="L19" s="300"/>
    </row>
    <row r="20" spans="2:12" ht="35.25" customHeight="1" x14ac:dyDescent="0.2">
      <c r="B20" s="2642"/>
      <c r="C20" s="2642"/>
      <c r="D20" s="2642"/>
      <c r="E20" s="2642"/>
      <c r="F20" s="2642"/>
      <c r="G20" s="2642"/>
      <c r="H20" s="2642"/>
      <c r="I20" s="2642"/>
      <c r="J20" s="2642"/>
      <c r="K20" s="2642"/>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42"/>
      <c r="C23" s="2642"/>
      <c r="D23" s="2642"/>
      <c r="E23" s="2642"/>
      <c r="F23" s="2642"/>
      <c r="G23" s="2642"/>
      <c r="H23" s="2642"/>
      <c r="I23" s="2642"/>
      <c r="J23" s="2642"/>
      <c r="K23" s="2642"/>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42"/>
      <c r="C26" s="2642"/>
      <c r="D26" s="2642"/>
      <c r="E26" s="2642"/>
      <c r="F26" s="2642"/>
      <c r="G26" s="2642"/>
      <c r="H26" s="2642"/>
      <c r="I26" s="2642"/>
      <c r="J26" s="2642"/>
      <c r="K26" s="2642"/>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42"/>
      <c r="C29" s="2642"/>
      <c r="D29" s="2642"/>
      <c r="E29" s="2642"/>
      <c r="F29" s="2642"/>
      <c r="G29" s="2642"/>
      <c r="H29" s="2642"/>
      <c r="I29" s="2642"/>
      <c r="J29" s="2642"/>
      <c r="K29" s="2642"/>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1288</v>
      </c>
      <c r="C31" s="1225"/>
      <c r="D31" s="300"/>
      <c r="E31" s="300"/>
      <c r="F31" s="300"/>
      <c r="G31" s="1146"/>
      <c r="H31" s="300"/>
      <c r="I31" s="1146"/>
      <c r="J31" s="300"/>
      <c r="K31" s="300"/>
      <c r="L31" s="300"/>
    </row>
    <row r="32" spans="2:12" ht="37.5" customHeight="1" x14ac:dyDescent="0.2">
      <c r="B32" s="2642"/>
      <c r="C32" s="2642"/>
      <c r="D32" s="2642"/>
      <c r="E32" s="2642"/>
      <c r="F32" s="2642"/>
      <c r="G32" s="2642"/>
      <c r="H32" s="2642"/>
      <c r="I32" s="2642"/>
      <c r="J32" s="2642"/>
      <c r="K32" s="2642"/>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1287</v>
      </c>
      <c r="C34" s="1147"/>
      <c r="D34" s="300"/>
      <c r="E34" s="300"/>
      <c r="F34" s="300"/>
      <c r="G34" s="1146"/>
      <c r="H34" s="300"/>
      <c r="I34" s="1146"/>
      <c r="J34" s="300"/>
      <c r="K34" s="300"/>
      <c r="L34" s="300"/>
    </row>
    <row r="35" spans="2:12" ht="37.5" customHeight="1" x14ac:dyDescent="0.2">
      <c r="B35" s="2642"/>
      <c r="C35" s="2642"/>
      <c r="D35" s="2642"/>
      <c r="E35" s="2642"/>
      <c r="F35" s="2642"/>
      <c r="G35" s="2642"/>
      <c r="H35" s="2642"/>
      <c r="I35" s="2642"/>
      <c r="J35" s="2642"/>
      <c r="K35" s="2642"/>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1286</v>
      </c>
      <c r="C37" s="1147"/>
      <c r="D37" s="300"/>
      <c r="E37" s="300"/>
      <c r="F37" s="300"/>
      <c r="G37" s="1146"/>
      <c r="H37" s="300"/>
      <c r="I37" s="1146"/>
      <c r="J37" s="300"/>
      <c r="K37" s="300"/>
      <c r="L37" s="300"/>
    </row>
    <row r="38" spans="2:12" ht="35.25" customHeight="1" x14ac:dyDescent="0.2">
      <c r="B38" s="2642"/>
      <c r="C38" s="2642"/>
      <c r="D38" s="2642"/>
      <c r="E38" s="2642"/>
      <c r="F38" s="2642"/>
      <c r="G38" s="2642"/>
      <c r="H38" s="2642"/>
      <c r="I38" s="2642"/>
      <c r="J38" s="2642"/>
      <c r="K38" s="2642"/>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42"/>
      <c r="C41" s="2642"/>
      <c r="D41" s="2642"/>
      <c r="E41" s="2642"/>
      <c r="F41" s="2642"/>
      <c r="G41" s="2642"/>
      <c r="H41" s="2642"/>
      <c r="I41" s="2642"/>
      <c r="J41" s="2642"/>
      <c r="K41" s="2642"/>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49&amp;R&amp;8Page 49</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23" t="str">
        <f>'Single Audit Cover'!A7</f>
        <v xml:space="preserve">  McHenry CCSD 15</v>
      </c>
      <c r="C1" s="2623"/>
      <c r="D1" s="2623"/>
      <c r="E1" s="1233"/>
    </row>
    <row r="2" spans="2:5" s="1051" customFormat="1" ht="12.75" customHeight="1" x14ac:dyDescent="0.2">
      <c r="B2" s="2625">
        <f>'Single Audit Cover'!E7</f>
        <v>44063015004</v>
      </c>
      <c r="C2" s="2625"/>
      <c r="D2" s="2625"/>
      <c r="E2" s="1234"/>
    </row>
    <row r="3" spans="2:5" ht="12.75" customHeight="1" x14ac:dyDescent="0.2">
      <c r="B3" s="2639" t="s">
        <v>1740</v>
      </c>
      <c r="C3" s="2639"/>
      <c r="D3" s="2639"/>
      <c r="E3" s="1043"/>
    </row>
    <row r="4" spans="2:5" s="1051" customFormat="1" ht="12.75" customHeight="1" x14ac:dyDescent="0.2">
      <c r="B4" s="2651" t="str">
        <f>'Single Audit Cover'!A4</f>
        <v>Year Ending June 30, 2020</v>
      </c>
      <c r="C4" s="2651"/>
      <c r="D4" s="2651"/>
      <c r="E4" s="1235"/>
    </row>
    <row r="5" spans="2:5" s="1051" customFormat="1" ht="40.15" customHeight="1" x14ac:dyDescent="0.2">
      <c r="B5" s="1236" t="s">
        <v>1741</v>
      </c>
      <c r="C5" s="306"/>
      <c r="D5" s="306"/>
      <c r="E5" s="306"/>
    </row>
    <row r="6" spans="2:5" s="1051" customFormat="1" ht="13.5" customHeight="1" x14ac:dyDescent="0.2">
      <c r="B6" s="1237" t="s">
        <v>1304</v>
      </c>
      <c r="C6" s="1237" t="s">
        <v>1303</v>
      </c>
      <c r="D6" s="1237" t="s">
        <v>1742</v>
      </c>
    </row>
    <row r="7" spans="2:5" s="1051" customFormat="1" ht="26.25" customHeight="1" x14ac:dyDescent="0.2">
      <c r="B7" s="2061" t="s">
        <v>2101</v>
      </c>
      <c r="C7" s="2060" t="s">
        <v>2209</v>
      </c>
      <c r="D7" s="1146" t="s">
        <v>2210</v>
      </c>
    </row>
    <row r="8" spans="2:5" ht="30.75" customHeight="1" x14ac:dyDescent="0.2">
      <c r="B8" s="1936" t="s">
        <v>2208</v>
      </c>
      <c r="C8" s="1935" t="s">
        <v>2102</v>
      </c>
      <c r="D8" s="1938" t="s">
        <v>2113</v>
      </c>
      <c r="E8" s="302"/>
    </row>
    <row r="9" spans="2:5" ht="13.5" customHeight="1" x14ac:dyDescent="0.2">
      <c r="B9" s="1239"/>
      <c r="C9" s="301"/>
      <c r="D9" s="1939"/>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1302</v>
      </c>
      <c r="C44" s="300"/>
    </row>
    <row r="45" spans="2:5" ht="12.2" customHeight="1" x14ac:dyDescent="0.2">
      <c r="B45" s="1247" t="s">
        <v>1743</v>
      </c>
    </row>
    <row r="46" spans="2:5" ht="12.2" customHeight="1" x14ac:dyDescent="0.2">
      <c r="B46" s="1247" t="s">
        <v>1744</v>
      </c>
    </row>
    <row r="47" spans="2:5" ht="12.2" customHeight="1" x14ac:dyDescent="0.2">
      <c r="B47" s="1248" t="s">
        <v>1301</v>
      </c>
    </row>
    <row r="48" spans="2:5" ht="12.2" customHeight="1" x14ac:dyDescent="0.2">
      <c r="B48" s="1248" t="s">
        <v>1300</v>
      </c>
    </row>
    <row r="49" spans="2:5" ht="12.2" customHeight="1" x14ac:dyDescent="0.2">
      <c r="B49" s="1248" t="s">
        <v>1299</v>
      </c>
    </row>
    <row r="50" spans="2:5" ht="12.2" customHeight="1" x14ac:dyDescent="0.2">
      <c r="B50" s="1248" t="s">
        <v>1298</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50&amp;R&amp;8Page 50</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purl.org/dc/dcmitype/"/>
    <ds:schemaRef ds:uri="d21dc803-237d-4c68-8692-8d731fd29118"/>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2020-10-15T18:46:22Z</cp:lastPrinted>
  <dcterms:created xsi:type="dcterms:W3CDTF">2003-10-29T19:06:34Z</dcterms:created>
  <dcterms:modified xsi:type="dcterms:W3CDTF">2020-10-18T20:55:08Z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2</vt:lpwstr>
  </property>
</Properties>
</file>