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66039F7-1839-4324-859C-1CECFE1BF8B7}"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B86" i="106"/>
  <c r="D86" i="106" s="1"/>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B117" i="106"/>
  <c r="D117" i="106" s="1"/>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B184" i="106"/>
  <c r="D184" i="106" s="1"/>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B834" i="106"/>
  <c r="D834" i="106" s="1"/>
  <c r="D860" i="106"/>
  <c r="D866" i="106"/>
  <c r="D868" i="106"/>
  <c r="D874" i="106"/>
  <c r="D875" i="106"/>
  <c r="D876" i="106"/>
  <c r="D877" i="106"/>
  <c r="D878" i="106"/>
  <c r="D881" i="106"/>
  <c r="D882" i="106"/>
  <c r="D883" i="106"/>
  <c r="D884" i="106"/>
  <c r="D885" i="106"/>
  <c r="B886" i="106"/>
  <c r="D886" i="106" s="1"/>
  <c r="D887" i="106"/>
  <c r="D888" i="106"/>
  <c r="D889" i="106"/>
  <c r="B892" i="106"/>
  <c r="D892" i="106" s="1"/>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B3414" i="106"/>
  <c r="D3414" i="106" s="1"/>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B5094" i="106"/>
  <c r="D5094"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91" i="106"/>
  <c r="D6091" i="106" s="1"/>
  <c r="B6099" i="106"/>
  <c r="D6099" i="106" s="1"/>
  <c r="B6100" i="106"/>
  <c r="D6100" i="106" s="1"/>
  <c r="A6103" i="106"/>
  <c r="B6103" i="106"/>
  <c r="B6108" i="106"/>
  <c r="D6108" i="106" s="1"/>
  <c r="B6122" i="106"/>
  <c r="D6122" i="106" s="1"/>
  <c r="B6133" i="106"/>
  <c r="D6133" i="106" s="1"/>
  <c r="B6134" i="106"/>
  <c r="D6134" i="106" s="1"/>
  <c r="B6137" i="106"/>
  <c r="D6137" i="106" s="1"/>
  <c r="B6142" i="106"/>
  <c r="D6142" i="106" s="1"/>
  <c r="B6143" i="106"/>
  <c r="D6143" i="106" s="1"/>
  <c r="B6146" i="106"/>
  <c r="D6146" i="106" s="1"/>
  <c r="B6160" i="106"/>
  <c r="D6160" i="106" s="1"/>
  <c r="B6161" i="106"/>
  <c r="D6161" i="106" s="1"/>
  <c r="B6170" i="106"/>
  <c r="D617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5" i="36"/>
  <c r="D39" i="36"/>
  <c r="D4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8" i="7"/>
  <c r="B1748" i="106" s="1"/>
  <c r="D1748" i="106" s="1"/>
  <c r="D7" i="118"/>
  <c r="D8" i="118"/>
  <c r="D9" i="118"/>
  <c r="H28" i="118"/>
  <c r="B2836" i="106" l="1"/>
  <c r="D2836" i="106" s="1"/>
  <c r="D22" i="37"/>
  <c r="D24" i="37"/>
  <c r="B4270" i="106" s="1"/>
  <c r="D4270" i="106" s="1"/>
  <c r="L22" i="37"/>
  <c r="H33" i="118"/>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6103" i="106"/>
  <c r="D11" i="37"/>
  <c r="H29" i="118"/>
  <c r="K28" i="118" s="1"/>
  <c r="O27" i="118" s="1"/>
  <c r="O29" i="118" s="1"/>
  <c r="N22" i="3"/>
  <c r="B283" i="106" s="1"/>
  <c r="D283" i="106" s="1"/>
  <c r="F14" i="4"/>
  <c r="B2597" i="106" s="1"/>
  <c r="D2597" i="106" s="1"/>
  <c r="B7727" i="106"/>
  <c r="D7727" i="106" s="1"/>
  <c r="D31" i="36"/>
  <c r="L15" i="11"/>
  <c r="B3459" i="106" s="1"/>
  <c r="D3459" i="106" s="1"/>
  <c r="I24" i="12"/>
  <c r="F21" i="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B273" i="106" l="1"/>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279" i="106" l="1"/>
  <c r="D279" i="106" s="1"/>
  <c r="B2916" i="106"/>
  <c r="D2916" i="106" s="1"/>
  <c r="L41" i="3"/>
  <c r="F24" i="37"/>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B4919" i="106" l="1"/>
  <c r="D4919" i="106" s="1"/>
  <c r="B6181" i="106"/>
  <c r="D6181" i="106" s="1"/>
  <c r="B7266" i="106"/>
  <c r="F118" i="34"/>
  <c r="B7852" i="106" s="1"/>
  <c r="D7852" i="106" s="1"/>
  <c r="B4915" i="106"/>
  <c r="D4915" i="106" s="1"/>
  <c r="B6338" i="106"/>
  <c r="D6338" i="106" s="1"/>
  <c r="B6645" i="106"/>
  <c r="D6645" i="106" s="1"/>
  <c r="K308" i="29"/>
  <c r="B4100" i="106" s="1"/>
  <c r="D4100" i="106" s="1"/>
  <c r="B7110" i="106"/>
  <c r="D7110" i="106" s="1"/>
  <c r="L47" i="29"/>
  <c r="B6721" i="106"/>
  <c r="D6721" i="106" s="1"/>
  <c r="B5989" i="106"/>
  <c r="D5989" i="106" s="1"/>
  <c r="F165" i="34"/>
  <c r="B7872" i="106" s="1"/>
  <c r="D7872" i="106" s="1"/>
  <c r="B4418" i="106"/>
  <c r="D4418" i="106" s="1"/>
  <c r="B6744" i="106"/>
  <c r="D6744" i="106" s="1"/>
  <c r="B6695" i="106"/>
  <c r="D6695" i="106" s="1"/>
  <c r="D73" i="36"/>
  <c r="B6290" i="106"/>
  <c r="D6290" i="106" s="1"/>
  <c r="B6668" i="106"/>
  <c r="D6668" i="106" s="1"/>
  <c r="B5082" i="106"/>
  <c r="D5082" i="106" s="1"/>
  <c r="B6327" i="106"/>
  <c r="D6327" i="106" s="1"/>
  <c r="B7158" i="106"/>
  <c r="D7158" i="106" s="1"/>
  <c r="B6958" i="106"/>
  <c r="D6958" i="106" s="1"/>
  <c r="B7150" i="106"/>
  <c r="D7150" i="106" s="1"/>
  <c r="B5708" i="106"/>
  <c r="D5708" i="106" s="1"/>
  <c r="B6336" i="106"/>
  <c r="D6336" i="106" s="1"/>
  <c r="B3583" i="106"/>
  <c r="D3583" i="106" s="1"/>
  <c r="B996" i="106"/>
  <c r="D996" i="106" s="1"/>
  <c r="B65" i="106"/>
  <c r="D65" i="106" s="1"/>
  <c r="B6846" i="106"/>
  <c r="D6846" i="106" s="1"/>
  <c r="B7059" i="106"/>
  <c r="D7059" i="106" s="1"/>
  <c r="B4886" i="106"/>
  <c r="D4886" i="106" s="1"/>
  <c r="B6859" i="106"/>
  <c r="D6859" i="106" s="1"/>
  <c r="B4793" i="106"/>
  <c r="D4793" i="106" s="1"/>
  <c r="D155" i="5"/>
  <c r="B5394" i="106" s="1"/>
  <c r="D5394" i="106" s="1"/>
  <c r="B5391" i="106"/>
  <c r="D5391" i="106" s="1"/>
  <c r="B6112" i="106"/>
  <c r="D6112" i="106" s="1"/>
  <c r="B5349" i="106"/>
  <c r="D5349" i="106" s="1"/>
  <c r="D108" i="5"/>
  <c r="B5355" i="106" s="1"/>
  <c r="D5355" i="106" s="1"/>
  <c r="B7752" i="106"/>
  <c r="D7752" i="106" s="1"/>
  <c r="G44" i="4"/>
  <c r="B7212" i="106"/>
  <c r="D7212" i="106" s="1"/>
  <c r="K339" i="29"/>
  <c r="B7213" i="106" s="1"/>
  <c r="D7213" i="106" s="1"/>
  <c r="B6219" i="106"/>
  <c r="D6219" i="106" s="1"/>
  <c r="B5625" i="106"/>
  <c r="D5625" i="106" s="1"/>
  <c r="B6810" i="106"/>
  <c r="D6810" i="106" s="1"/>
  <c r="B7685" i="106"/>
  <c r="D7685" i="106" s="1"/>
  <c r="B5798" i="106"/>
  <c r="D5798" i="106" s="1"/>
  <c r="B4378" i="106"/>
  <c r="D4378" i="106" s="1"/>
  <c r="B7149" i="106"/>
  <c r="D7149" i="106" s="1"/>
  <c r="K338" i="29"/>
  <c r="B7211" i="106" s="1"/>
  <c r="D7211" i="106" s="1"/>
  <c r="B7210" i="106"/>
  <c r="D7210" i="106" s="1"/>
  <c r="B4884" i="106"/>
  <c r="D4884" i="106" s="1"/>
  <c r="B6256" i="106"/>
  <c r="D6256" i="106" s="1"/>
  <c r="B6740" i="106"/>
  <c r="D6740" i="106" s="1"/>
  <c r="B3230" i="106"/>
  <c r="D3230" i="106" s="1"/>
  <c r="B3058" i="106"/>
  <c r="D3058" i="106" s="1"/>
  <c r="B4190" i="106"/>
  <c r="D4190" i="106" s="1"/>
  <c r="B846" i="106"/>
  <c r="D846" i="106" s="1"/>
  <c r="B104" i="106"/>
  <c r="D104" i="106" s="1"/>
  <c r="B6796" i="106"/>
  <c r="D6796" i="106" s="1"/>
  <c r="B501" i="106"/>
  <c r="D501" i="106" s="1"/>
  <c r="B4853" i="106"/>
  <c r="D4853" i="106" s="1"/>
  <c r="B3369" i="106"/>
  <c r="D3369" i="106" s="1"/>
  <c r="F150" i="34"/>
  <c r="B6769" i="106"/>
  <c r="D6769" i="106" s="1"/>
  <c r="B6909" i="106"/>
  <c r="D6909" i="106" s="1"/>
  <c r="B5619" i="106"/>
  <c r="D5619" i="106" s="1"/>
  <c r="B7122" i="106"/>
  <c r="D7122" i="106" s="1"/>
  <c r="G330" i="29"/>
  <c r="B4337" i="106"/>
  <c r="D4337" i="106" s="1"/>
  <c r="B4343" i="106"/>
  <c r="D4343" i="106" s="1"/>
  <c r="B6765" i="106"/>
  <c r="D6765" i="106" s="1"/>
  <c r="B6098" i="106"/>
  <c r="D6098" i="106" s="1"/>
  <c r="B5345" i="106"/>
  <c r="D5345" i="106" s="1"/>
  <c r="B5516" i="106"/>
  <c r="D5516" i="106" s="1"/>
  <c r="L270" i="29"/>
  <c r="B3581" i="106"/>
  <c r="D3581" i="106" s="1"/>
  <c r="B7027" i="106"/>
  <c r="D7027" i="106" s="1"/>
  <c r="J18" i="5"/>
  <c r="B6306" i="106" s="1"/>
  <c r="D6306" i="106" s="1"/>
  <c r="B6302" i="106"/>
  <c r="D6302" i="106" s="1"/>
  <c r="B3057" i="106"/>
  <c r="D3057" i="106" s="1"/>
  <c r="B4199" i="106"/>
  <c r="D4199" i="106" s="1"/>
  <c r="K134" i="29"/>
  <c r="B2986" i="106" s="1"/>
  <c r="D2986" i="106" s="1"/>
  <c r="B7193" i="106"/>
  <c r="D7193" i="106" s="1"/>
  <c r="B5877" i="106"/>
  <c r="D5877" i="106" s="1"/>
  <c r="B6694" i="106"/>
  <c r="D6694" i="106" s="1"/>
  <c r="K255" i="29"/>
  <c r="B7096" i="106" s="1"/>
  <c r="D7096" i="106" s="1"/>
  <c r="B7095" i="106"/>
  <c r="D7095" i="106" s="1"/>
  <c r="F144" i="34"/>
  <c r="B6712" i="106"/>
  <c r="D6712" i="106" s="1"/>
  <c r="B7779" i="106"/>
  <c r="D7779" i="106" s="1"/>
  <c r="K158" i="29"/>
  <c r="B7780" i="106" s="1"/>
  <c r="D7780" i="106" s="1"/>
  <c r="B6156" i="106"/>
  <c r="D6156" i="106" s="1"/>
  <c r="B5231" i="106"/>
  <c r="D5231" i="106" s="1"/>
  <c r="B5568" i="106"/>
  <c r="D5568" i="106" s="1"/>
  <c r="F20" i="34"/>
  <c r="K31" i="29"/>
  <c r="B6898" i="106"/>
  <c r="D6898" i="106" s="1"/>
  <c r="B4391" i="106"/>
  <c r="D4391" i="106" s="1"/>
  <c r="K10" i="29"/>
  <c r="B3062" i="106" s="1"/>
  <c r="D3062" i="106" s="1"/>
  <c r="B3055" i="106"/>
  <c r="D3055" i="106" s="1"/>
  <c r="K228" i="29"/>
  <c r="B3392" i="106" s="1"/>
  <c r="D3392" i="106" s="1"/>
  <c r="B3389" i="106"/>
  <c r="D3389" i="106" s="1"/>
  <c r="B6643" i="106"/>
  <c r="D6643" i="106" s="1"/>
  <c r="B7700" i="106"/>
  <c r="D7700" i="106" s="1"/>
  <c r="B6257" i="106"/>
  <c r="D6257" i="106" s="1"/>
  <c r="B6723" i="106"/>
  <c r="D6723" i="106" s="1"/>
  <c r="B6814" i="106"/>
  <c r="D6814" i="106" s="1"/>
  <c r="B1018" i="106"/>
  <c r="D1018" i="106" s="1"/>
  <c r="H47" i="29"/>
  <c r="B1021" i="106" s="1"/>
  <c r="D1021" i="106" s="1"/>
  <c r="F114" i="5"/>
  <c r="B5589" i="106"/>
  <c r="D5589" i="106" s="1"/>
  <c r="B1522" i="106"/>
  <c r="D1522" i="106" s="1"/>
  <c r="K302" i="29"/>
  <c r="B1558" i="106" s="1"/>
  <c r="D1558" i="106" s="1"/>
  <c r="L160" i="29"/>
  <c r="B2763" i="106"/>
  <c r="D2763" i="106" s="1"/>
  <c r="B4874" i="106"/>
  <c r="D4874" i="106" s="1"/>
  <c r="B3620" i="106"/>
  <c r="D3620" i="106" s="1"/>
  <c r="K351" i="29"/>
  <c r="B3671" i="106" s="1"/>
  <c r="D3671" i="106" s="1"/>
  <c r="B7706" i="106"/>
  <c r="D7706" i="106" s="1"/>
  <c r="B2880" i="106"/>
  <c r="D2880" i="106" s="1"/>
  <c r="B967" i="106"/>
  <c r="D967" i="106" s="1"/>
  <c r="G57" i="29"/>
  <c r="B969" i="106" s="1"/>
  <c r="D969" i="106" s="1"/>
  <c r="B6707" i="106"/>
  <c r="D6707" i="106" s="1"/>
  <c r="B6718" i="106"/>
  <c r="D6718" i="106" s="1"/>
  <c r="E184" i="29"/>
  <c r="B4083" i="106"/>
  <c r="D4083" i="106" s="1"/>
  <c r="B822" i="106"/>
  <c r="D822" i="106" s="1"/>
  <c r="B126" i="106"/>
  <c r="D126" i="106" s="1"/>
  <c r="B6394" i="106"/>
  <c r="D6394" i="106" s="1"/>
  <c r="B6698" i="106"/>
  <c r="D6698" i="106" s="1"/>
  <c r="H13" i="3"/>
  <c r="B203" i="106" s="1"/>
  <c r="D203" i="106" s="1"/>
  <c r="B3519" i="106"/>
  <c r="D3519" i="106" s="1"/>
  <c r="B6844" i="106"/>
  <c r="D6844" i="106" s="1"/>
  <c r="I33" i="29"/>
  <c r="B6902" i="106" s="1"/>
  <c r="D6902" i="106" s="1"/>
  <c r="B4792" i="106"/>
  <c r="D4792" i="106" s="1"/>
  <c r="F122" i="34"/>
  <c r="B7855" i="106" s="1"/>
  <c r="D7855" i="106" s="1"/>
  <c r="B2721" i="106"/>
  <c r="D2721" i="106" s="1"/>
  <c r="I47" i="29"/>
  <c r="B6924" i="106" s="1"/>
  <c r="D6924" i="106" s="1"/>
  <c r="B6918" i="106"/>
  <c r="D6918" i="106" s="1"/>
  <c r="B6980" i="106"/>
  <c r="D6980" i="106" s="1"/>
  <c r="H350" i="29"/>
  <c r="B3652" i="106"/>
  <c r="D3652" i="106" s="1"/>
  <c r="B6828" i="106"/>
  <c r="D6828" i="106" s="1"/>
  <c r="B7067" i="106"/>
  <c r="D7067" i="106" s="1"/>
  <c r="K205" i="29"/>
  <c r="B7068" i="106" s="1"/>
  <c r="D7068" i="106" s="1"/>
  <c r="F151" i="34"/>
  <c r="B6777" i="106"/>
  <c r="D6777" i="106" s="1"/>
  <c r="B6349" i="106"/>
  <c r="D6349" i="106" s="1"/>
  <c r="B5331" i="106"/>
  <c r="D5331" i="106" s="1"/>
  <c r="B5099" i="106"/>
  <c r="D5099" i="106" s="1"/>
  <c r="B3493" i="106"/>
  <c r="D3493" i="106" s="1"/>
  <c r="B7658" i="106"/>
  <c r="D7658" i="106" s="1"/>
  <c r="B6636" i="106"/>
  <c r="D6636" i="106" s="1"/>
  <c r="B7039" i="106"/>
  <c r="D7039" i="106" s="1"/>
  <c r="B5988" i="106"/>
  <c r="D5988" i="106" s="1"/>
  <c r="K18" i="5"/>
  <c r="B5992" i="106" s="1"/>
  <c r="D5992" i="106" s="1"/>
  <c r="B7190" i="106"/>
  <c r="D7190" i="106" s="1"/>
  <c r="K327" i="29"/>
  <c r="E65" i="184" s="1"/>
  <c r="N65" i="184" s="1"/>
  <c r="B6118" i="106"/>
  <c r="D6118" i="106" s="1"/>
  <c r="B6101" i="106"/>
  <c r="D6101" i="106" s="1"/>
  <c r="B6314" i="106"/>
  <c r="D6314" i="106" s="1"/>
  <c r="F91" i="34"/>
  <c r="B6968" i="106"/>
  <c r="D6968" i="106" s="1"/>
  <c r="B7008" i="106"/>
  <c r="D7008" i="106" s="1"/>
  <c r="K99" i="29"/>
  <c r="B7010" i="106" s="1"/>
  <c r="D7010" i="106" s="1"/>
  <c r="E100" i="29"/>
  <c r="B7011" i="106" s="1"/>
  <c r="D7011" i="106" s="1"/>
  <c r="B7728" i="106"/>
  <c r="D7728" i="106" s="1"/>
  <c r="B2957" i="106"/>
  <c r="D2957" i="106" s="1"/>
  <c r="B6756" i="106"/>
  <c r="D6756" i="106" s="1"/>
  <c r="K221" i="29"/>
  <c r="B1406" i="106"/>
  <c r="D1406" i="106" s="1"/>
  <c r="B432" i="106"/>
  <c r="D432" i="106" s="1"/>
  <c r="B6845" i="106"/>
  <c r="D6845" i="106" s="1"/>
  <c r="J33" i="29"/>
  <c r="B6903" i="106" s="1"/>
  <c r="D6903" i="106" s="1"/>
  <c r="B6310" i="106"/>
  <c r="D6310" i="106" s="1"/>
  <c r="B3627" i="106"/>
  <c r="D3627" i="106" s="1"/>
  <c r="K15" i="29"/>
  <c r="B719" i="106"/>
  <c r="D719" i="106" s="1"/>
  <c r="F120" i="34"/>
  <c r="B7854" i="106" s="1"/>
  <c r="D7854" i="106" s="1"/>
  <c r="B4317" i="106"/>
  <c r="D4317" i="106" s="1"/>
  <c r="E18" i="5"/>
  <c r="B5518" i="106" s="1"/>
  <c r="D5518" i="106" s="1"/>
  <c r="B5514" i="106"/>
  <c r="D5514" i="106" s="1"/>
  <c r="B6681" i="106"/>
  <c r="D6681" i="106" s="1"/>
  <c r="B7009" i="106"/>
  <c r="D7009" i="106" s="1"/>
  <c r="B6300" i="106"/>
  <c r="D6300" i="106" s="1"/>
  <c r="B838" i="106"/>
  <c r="D838" i="106" s="1"/>
  <c r="B890" i="106"/>
  <c r="D890" i="106" s="1"/>
  <c r="B7227" i="106"/>
  <c r="D7227" i="106" s="1"/>
  <c r="J350" i="29"/>
  <c r="B5242" i="106"/>
  <c r="D5242" i="106" s="1"/>
  <c r="B1221" i="106"/>
  <c r="D1221" i="106" s="1"/>
  <c r="K124" i="29"/>
  <c r="B1276" i="106" s="1"/>
  <c r="D1276" i="106" s="1"/>
  <c r="B5067" i="106"/>
  <c r="D5067" i="106" s="1"/>
  <c r="C18" i="5"/>
  <c r="B5071" i="106" s="1"/>
  <c r="D5071" i="106" s="1"/>
  <c r="B1236" i="106"/>
  <c r="D1236" i="106" s="1"/>
  <c r="B4945" i="106"/>
  <c r="D4945" i="106" s="1"/>
  <c r="B828" i="106"/>
  <c r="D828" i="106" s="1"/>
  <c r="K251" i="29"/>
  <c r="B7088" i="106" s="1"/>
  <c r="D7088" i="106" s="1"/>
  <c r="B7087" i="106"/>
  <c r="D7087" i="106" s="1"/>
  <c r="B6168" i="106"/>
  <c r="D6168" i="106" s="1"/>
  <c r="B7681" i="106"/>
  <c r="D7681" i="106" s="1"/>
  <c r="B6650" i="106"/>
  <c r="D6650" i="106" s="1"/>
  <c r="F138" i="34"/>
  <c r="B6113" i="106"/>
  <c r="D6113" i="106" s="1"/>
  <c r="B5026" i="106"/>
  <c r="D5026" i="106" s="1"/>
  <c r="B13" i="7"/>
  <c r="B6186" i="106"/>
  <c r="D6186" i="106" s="1"/>
  <c r="B5765" i="106"/>
  <c r="D5765" i="106" s="1"/>
  <c r="B912" i="106"/>
  <c r="D912" i="106" s="1"/>
  <c r="F65" i="29"/>
  <c r="B919" i="106" s="1"/>
  <c r="D919" i="106" s="1"/>
  <c r="B7682" i="106"/>
  <c r="D7682" i="106" s="1"/>
  <c r="B923" i="106"/>
  <c r="D923" i="106" s="1"/>
  <c r="B6148" i="106"/>
  <c r="D6148" i="106" s="1"/>
  <c r="B6847" i="106"/>
  <c r="D6847" i="106" s="1"/>
  <c r="B6661" i="106"/>
  <c r="D6661" i="106" s="1"/>
  <c r="B5119" i="106"/>
  <c r="D5119" i="106" s="1"/>
  <c r="B7657" i="106"/>
  <c r="D7657" i="106" s="1"/>
  <c r="K21" i="29"/>
  <c r="F40" i="34" s="1"/>
  <c r="B6878" i="106"/>
  <c r="D6878" i="106" s="1"/>
  <c r="B4353" i="106"/>
  <c r="D4353" i="106" s="1"/>
  <c r="B5757" i="106"/>
  <c r="D5757" i="106" s="1"/>
  <c r="B5818" i="106"/>
  <c r="D5818" i="106" s="1"/>
  <c r="B7250" i="106"/>
  <c r="D7250" i="106" s="1"/>
  <c r="D40" i="36"/>
  <c r="B3427" i="106"/>
  <c r="D3427" i="106" s="1"/>
  <c r="I13" i="3"/>
  <c r="B2888" i="106" s="1"/>
  <c r="D2888" i="106" s="1"/>
  <c r="B7176" i="106"/>
  <c r="D7176" i="106" s="1"/>
  <c r="B5523" i="106"/>
  <c r="D5523" i="106" s="1"/>
  <c r="B4946" i="106"/>
  <c r="D4946" i="106" s="1"/>
  <c r="B4421" i="106"/>
  <c r="D4421" i="106" s="1"/>
  <c r="B5593" i="106"/>
  <c r="D5593" i="106" s="1"/>
  <c r="F122" i="5"/>
  <c r="K108" i="5"/>
  <c r="B5999" i="106" s="1"/>
  <c r="D5999" i="106" s="1"/>
  <c r="B5996" i="106"/>
  <c r="D5996" i="106" s="1"/>
  <c r="B4811" i="106"/>
  <c r="D4811" i="106" s="1"/>
  <c r="B5673" i="106"/>
  <c r="D5673" i="106" s="1"/>
  <c r="F209" i="5"/>
  <c r="B4413" i="106" s="1"/>
  <c r="D4413" i="106" s="1"/>
  <c r="B2952" i="106"/>
  <c r="D2952" i="106" s="1"/>
  <c r="K81" i="29"/>
  <c r="B2976" i="106" s="1"/>
  <c r="D2976" i="106" s="1"/>
  <c r="B7184" i="106"/>
  <c r="D7184" i="106" s="1"/>
  <c r="B5763" i="106"/>
  <c r="D5763" i="106" s="1"/>
  <c r="G188" i="5"/>
  <c r="B5785" i="106"/>
  <c r="D5785" i="106" s="1"/>
  <c r="B3228" i="106"/>
  <c r="D3228" i="106" s="1"/>
  <c r="B6730" i="106"/>
  <c r="D6730" i="106" s="1"/>
  <c r="B1006" i="106"/>
  <c r="D1006" i="106" s="1"/>
  <c r="B6175" i="106"/>
  <c r="D6175" i="106" s="1"/>
  <c r="B6236" i="106"/>
  <c r="D6236" i="106" s="1"/>
  <c r="B6102" i="106"/>
  <c r="D6102" i="106" s="1"/>
  <c r="B930" i="106"/>
  <c r="D930" i="106" s="1"/>
  <c r="B5567" i="106"/>
  <c r="D5567" i="106" s="1"/>
  <c r="F19" i="34"/>
  <c r="B3653" i="106"/>
  <c r="D3653" i="106" s="1"/>
  <c r="I44" i="4"/>
  <c r="B3317" i="106" s="1"/>
  <c r="D3317" i="106" s="1"/>
  <c r="B2772" i="106"/>
  <c r="D2772" i="106" s="1"/>
  <c r="H293" i="29"/>
  <c r="B1449" i="106"/>
  <c r="D1449" i="106" s="1"/>
  <c r="K288" i="29"/>
  <c r="B6799" i="106"/>
  <c r="D6799" i="106" s="1"/>
  <c r="B5929" i="106"/>
  <c r="D5929" i="106" s="1"/>
  <c r="B6759" i="106"/>
  <c r="D6759" i="106" s="1"/>
  <c r="B6305" i="106"/>
  <c r="D6305" i="106" s="1"/>
  <c r="B3562" i="106"/>
  <c r="D3562" i="106" s="1"/>
  <c r="B3234" i="106"/>
  <c r="D3234" i="106" s="1"/>
  <c r="B1240" i="106"/>
  <c r="D1240" i="106" s="1"/>
  <c r="K169" i="29"/>
  <c r="B1326" i="106" s="1"/>
  <c r="D1326" i="106" s="1"/>
  <c r="B1312" i="106"/>
  <c r="D1312" i="106" s="1"/>
  <c r="B6379" i="106"/>
  <c r="D6379" i="106" s="1"/>
  <c r="B6094" i="106"/>
  <c r="D6094" i="106" s="1"/>
  <c r="B798" i="106"/>
  <c r="D798" i="106" s="1"/>
  <c r="B5153" i="106"/>
  <c r="D5153" i="106" s="1"/>
  <c r="B6644" i="106"/>
  <c r="D6644" i="106" s="1"/>
  <c r="B4771" i="106"/>
  <c r="D4771" i="106" s="1"/>
  <c r="B5354" i="106"/>
  <c r="D5354" i="106" s="1"/>
  <c r="B6159" i="106"/>
  <c r="D6159" i="106" s="1"/>
  <c r="B3059" i="106"/>
  <c r="D3059" i="106" s="1"/>
  <c r="B7801" i="106"/>
  <c r="D7801" i="106" s="1"/>
  <c r="B1418" i="106"/>
  <c r="D1418" i="106" s="1"/>
  <c r="D243" i="29"/>
  <c r="B1421" i="106" s="1"/>
  <c r="D1421" i="106" s="1"/>
  <c r="K240" i="29"/>
  <c r="B5994" i="106"/>
  <c r="D5994" i="106" s="1"/>
  <c r="B1534" i="106"/>
  <c r="D1534" i="106" s="1"/>
  <c r="F204" i="5"/>
  <c r="B5677" i="106" s="1"/>
  <c r="D5677" i="106" s="1"/>
  <c r="B5664" i="106"/>
  <c r="D5664" i="106" s="1"/>
  <c r="F23" i="34"/>
  <c r="B5571" i="106"/>
  <c r="D5571" i="106" s="1"/>
  <c r="B6633" i="106"/>
  <c r="D6633" i="106" s="1"/>
  <c r="B6184" i="106"/>
  <c r="D6184" i="106" s="1"/>
  <c r="B6367" i="106"/>
  <c r="D6367" i="106" s="1"/>
  <c r="B7766" i="106"/>
  <c r="D7766" i="106" s="1"/>
  <c r="B653" i="106"/>
  <c r="D653" i="106" s="1"/>
  <c r="L310" i="29"/>
  <c r="G145" i="5"/>
  <c r="B5756" i="106" s="1"/>
  <c r="D5756" i="106" s="1"/>
  <c r="B5754" i="106"/>
  <c r="D5754" i="106" s="1"/>
  <c r="B3316" i="106"/>
  <c r="D3316" i="106" s="1"/>
  <c r="B1046" i="106"/>
  <c r="D1046" i="106" s="1"/>
  <c r="B6910" i="106"/>
  <c r="D6910" i="106" s="1"/>
  <c r="B5710" i="106"/>
  <c r="D5710" i="106" s="1"/>
  <c r="B6813" i="106"/>
  <c r="D6813" i="106" s="1"/>
  <c r="L238" i="29"/>
  <c r="B4364" i="106"/>
  <c r="D4364" i="106" s="1"/>
  <c r="E175" i="5"/>
  <c r="B4372" i="106" s="1"/>
  <c r="D4372" i="106" s="1"/>
  <c r="B6244" i="106"/>
  <c r="D6244" i="106" s="1"/>
  <c r="B5137" i="106"/>
  <c r="D5137" i="106" s="1"/>
  <c r="B7703" i="106"/>
  <c r="D7703" i="106" s="1"/>
  <c r="C198" i="5"/>
  <c r="B6401" i="106"/>
  <c r="D6401" i="106" s="1"/>
  <c r="F44" i="4"/>
  <c r="B7751" i="106"/>
  <c r="D7751" i="106" s="1"/>
  <c r="B97" i="106"/>
  <c r="D97" i="106" s="1"/>
  <c r="D13" i="3"/>
  <c r="B109" i="106" s="1"/>
  <c r="D109" i="106" s="1"/>
  <c r="B7143" i="106"/>
  <c r="D7143" i="106" s="1"/>
  <c r="B4079" i="106"/>
  <c r="D4079" i="106" s="1"/>
  <c r="B6669" i="106"/>
  <c r="D6669" i="106" s="1"/>
  <c r="B4336" i="106"/>
  <c r="D4336" i="106" s="1"/>
  <c r="B1039" i="106"/>
  <c r="D1039" i="106" s="1"/>
  <c r="B620" i="106"/>
  <c r="D620" i="106" s="1"/>
  <c r="B2757" i="106"/>
  <c r="D2757" i="106" s="1"/>
  <c r="D72" i="36"/>
  <c r="C303" i="29"/>
  <c r="B1519" i="106"/>
  <c r="D1519" i="106" s="1"/>
  <c r="K301" i="29"/>
  <c r="B4315" i="106"/>
  <c r="D4315" i="106" s="1"/>
  <c r="B4889" i="106"/>
  <c r="D4889" i="106" s="1"/>
  <c r="B1032" i="106"/>
  <c r="D1032" i="106" s="1"/>
  <c r="B6127" i="106"/>
  <c r="D6127" i="106" s="1"/>
  <c r="E34" i="3"/>
  <c r="B139" i="106" s="1"/>
  <c r="D139" i="106" s="1"/>
  <c r="F330" i="29"/>
  <c r="B7121" i="106"/>
  <c r="D7121" i="106" s="1"/>
  <c r="B5247" i="106"/>
  <c r="D5247" i="106" s="1"/>
  <c r="C204" i="5"/>
  <c r="B5260" i="106" s="1"/>
  <c r="D5260" i="106" s="1"/>
  <c r="B7085" i="106"/>
  <c r="D7085" i="106" s="1"/>
  <c r="K250" i="29"/>
  <c r="B7086" i="106" s="1"/>
  <c r="D7086" i="106" s="1"/>
  <c r="K247" i="29"/>
  <c r="B2726" i="106" s="1"/>
  <c r="D2726" i="106" s="1"/>
  <c r="B2725" i="106"/>
  <c r="D2725" i="106" s="1"/>
  <c r="B3366" i="106"/>
  <c r="D3366" i="106" s="1"/>
  <c r="K8" i="29"/>
  <c r="B3380" i="106" s="1"/>
  <c r="D3380" i="106" s="1"/>
  <c r="B5511" i="106"/>
  <c r="D5511" i="106" s="1"/>
  <c r="B4882" i="106"/>
  <c r="D4882" i="106" s="1"/>
  <c r="B4341" i="106"/>
  <c r="D4341" i="106" s="1"/>
  <c r="B7179" i="106"/>
  <c r="D7179" i="106" s="1"/>
  <c r="B1036" i="106"/>
  <c r="D1036" i="106" s="1"/>
  <c r="H72" i="29"/>
  <c r="B1043" i="106" s="1"/>
  <c r="D1043" i="106" s="1"/>
  <c r="B7690" i="106"/>
  <c r="D7690" i="106" s="1"/>
  <c r="B7232" i="106"/>
  <c r="D7232" i="106" s="1"/>
  <c r="B6935" i="106"/>
  <c r="D6935" i="106" s="1"/>
  <c r="K80" i="29"/>
  <c r="B2975" i="106" s="1"/>
  <c r="D2975" i="106" s="1"/>
  <c r="B2951" i="106"/>
  <c r="D2951" i="106" s="1"/>
  <c r="B6093" i="106"/>
  <c r="D6093" i="106" s="1"/>
  <c r="B1445" i="106"/>
  <c r="D1445" i="106" s="1"/>
  <c r="K278" i="29"/>
  <c r="B1509" i="106" s="1"/>
  <c r="D1509" i="106" s="1"/>
  <c r="B6734" i="106"/>
  <c r="D6734" i="106" s="1"/>
  <c r="B6913" i="106"/>
  <c r="D6913" i="106" s="1"/>
  <c r="B7768" i="106"/>
  <c r="D7768" i="106" s="1"/>
  <c r="B7044" i="106"/>
  <c r="D7044" i="106" s="1"/>
  <c r="B5116" i="106"/>
  <c r="D5116" i="106" s="1"/>
  <c r="B1440" i="106"/>
  <c r="D1440" i="106" s="1"/>
  <c r="K275" i="29"/>
  <c r="B1504" i="106" s="1"/>
  <c r="D1504" i="106" s="1"/>
  <c r="B2829" i="106"/>
  <c r="D2829" i="106" s="1"/>
  <c r="B6174" i="106"/>
  <c r="D6174" i="106" s="1"/>
  <c r="B7686" i="106"/>
  <c r="D7686" i="106" s="1"/>
  <c r="H57" i="29"/>
  <c r="B1027" i="106" s="1"/>
  <c r="D1027" i="106" s="1"/>
  <c r="B1025" i="106"/>
  <c r="D1025" i="106" s="1"/>
  <c r="B7256" i="106"/>
  <c r="D7256" i="106" s="1"/>
  <c r="B729" i="106"/>
  <c r="D729" i="106" s="1"/>
  <c r="K45" i="29"/>
  <c r="B1117" i="106" s="1"/>
  <c r="D1117" i="106" s="1"/>
  <c r="B6121" i="106"/>
  <c r="D6121" i="106" s="1"/>
  <c r="B6872" i="106"/>
  <c r="D6872" i="106" s="1"/>
  <c r="B4314" i="106"/>
  <c r="D4314" i="106" s="1"/>
  <c r="B5520" i="106"/>
  <c r="D5520" i="106" s="1"/>
  <c r="F98" i="34"/>
  <c r="B5106" i="106"/>
  <c r="D5106" i="106" s="1"/>
  <c r="K202" i="29"/>
  <c r="B2842" i="106" s="1"/>
  <c r="D2842" i="106" s="1"/>
  <c r="B2832" i="106"/>
  <c r="D2832" i="106" s="1"/>
  <c r="B6393" i="106"/>
  <c r="D6393" i="106" s="1"/>
  <c r="B10" i="7"/>
  <c r="B5916" i="106"/>
  <c r="D5916" i="106" s="1"/>
  <c r="I12" i="5"/>
  <c r="B4409" i="106"/>
  <c r="D4409" i="106" s="1"/>
  <c r="B1044" i="106"/>
  <c r="D1044" i="106" s="1"/>
  <c r="B7674" i="106"/>
  <c r="D7674" i="106" s="1"/>
  <c r="B1038" i="106"/>
  <c r="D1038" i="106" s="1"/>
  <c r="B4075" i="106"/>
  <c r="D4075" i="106" s="1"/>
  <c r="B6983" i="106"/>
  <c r="D6983" i="106" s="1"/>
  <c r="K86" i="29"/>
  <c r="B6984" i="106" s="1"/>
  <c r="D6984" i="106" s="1"/>
  <c r="B6678" i="106"/>
  <c r="D6678" i="106" s="1"/>
  <c r="B6639" i="106"/>
  <c r="D6639" i="106" s="1"/>
  <c r="B3549" i="106"/>
  <c r="D3549" i="106" s="1"/>
  <c r="B5135" i="106"/>
  <c r="D5135" i="106" s="1"/>
  <c r="B7183" i="106"/>
  <c r="D7183" i="106" s="1"/>
  <c r="B7156" i="106"/>
  <c r="D7156" i="106" s="1"/>
  <c r="B3083" i="106"/>
  <c r="D3083" i="106" s="1"/>
  <c r="B5875" i="106"/>
  <c r="D5875" i="106" s="1"/>
  <c r="B7808" i="106"/>
  <c r="D7808" i="106" s="1"/>
  <c r="B1227" i="106"/>
  <c r="D1227" i="106" s="1"/>
  <c r="D127" i="29"/>
  <c r="B1231" i="106" s="1"/>
  <c r="D1231" i="106" s="1"/>
  <c r="L334" i="29"/>
  <c r="B6774" i="106"/>
  <c r="D6774" i="106" s="1"/>
  <c r="K219" i="29"/>
  <c r="B3065" i="106" s="1"/>
  <c r="D3065" i="106" s="1"/>
  <c r="B3064" i="106"/>
  <c r="D3064" i="106" s="1"/>
  <c r="B7803" i="106"/>
  <c r="D7803" i="106" s="1"/>
  <c r="B5057" i="106"/>
  <c r="D5057" i="106" s="1"/>
  <c r="E76" i="4"/>
  <c r="B3276" i="106" s="1"/>
  <c r="D3276" i="106" s="1"/>
  <c r="B2817" i="106"/>
  <c r="D2817" i="106" s="1"/>
  <c r="B7806" i="106"/>
  <c r="D7806" i="106" s="1"/>
  <c r="B7129" i="106"/>
  <c r="D7129" i="106" s="1"/>
  <c r="H160" i="29"/>
  <c r="B7053" i="106" s="1"/>
  <c r="D7053" i="106" s="1"/>
  <c r="K157" i="29"/>
  <c r="B7777" i="106"/>
  <c r="D7777" i="106" s="1"/>
  <c r="B7259" i="106"/>
  <c r="D7259" i="106" s="1"/>
  <c r="B6380" i="106"/>
  <c r="D6380" i="106" s="1"/>
  <c r="G155" i="5"/>
  <c r="B4357" i="106" s="1"/>
  <c r="D4357" i="106" s="1"/>
  <c r="B7662" i="106"/>
  <c r="D7662" i="106" s="1"/>
  <c r="B961" i="106"/>
  <c r="D961" i="106" s="1"/>
  <c r="B6911" i="106"/>
  <c r="D6911" i="106" s="1"/>
  <c r="B3625" i="106"/>
  <c r="D3625" i="106" s="1"/>
  <c r="B6751" i="106"/>
  <c r="D6751" i="106" s="1"/>
  <c r="B6812" i="106"/>
  <c r="D6812" i="106" s="1"/>
  <c r="B3236" i="106"/>
  <c r="D3236" i="106" s="1"/>
  <c r="K307" i="29"/>
  <c r="B4099" i="106" s="1"/>
  <c r="D4099" i="106" s="1"/>
  <c r="B7108" i="106"/>
  <c r="D7108" i="106" s="1"/>
  <c r="B6772" i="106"/>
  <c r="D6772" i="106" s="1"/>
  <c r="K7" i="12"/>
  <c r="B6339" i="106"/>
  <c r="D6339" i="106" s="1"/>
  <c r="B6117" i="106"/>
  <c r="D6117" i="106" s="1"/>
  <c r="K75" i="29"/>
  <c r="E39" i="108" s="1"/>
  <c r="B756" i="106"/>
  <c r="D756" i="106" s="1"/>
  <c r="K169" i="5"/>
  <c r="B5000" i="106" s="1"/>
  <c r="D5000" i="106" s="1"/>
  <c r="B6374" i="106"/>
  <c r="D6374" i="106" s="1"/>
  <c r="B5115" i="106"/>
  <c r="D5115" i="106" s="1"/>
  <c r="F103" i="34"/>
  <c r="B7840" i="106" s="1"/>
  <c r="D7840" i="106" s="1"/>
  <c r="B6875" i="106"/>
  <c r="D6875" i="106" s="1"/>
  <c r="B5692" i="106"/>
  <c r="D5692" i="106" s="1"/>
  <c r="B6725" i="106"/>
  <c r="D6725" i="106" s="1"/>
  <c r="B4074" i="106"/>
  <c r="D4074" i="106" s="1"/>
  <c r="K120" i="29"/>
  <c r="B4080" i="106" s="1"/>
  <c r="D4080" i="106" s="1"/>
  <c r="B5069" i="106"/>
  <c r="D5069" i="106" s="1"/>
  <c r="B6757" i="106"/>
  <c r="D6757" i="106" s="1"/>
  <c r="B7109" i="106"/>
  <c r="D7109" i="106" s="1"/>
  <c r="F28" i="34"/>
  <c r="B6315" i="106"/>
  <c r="D6315" i="106" s="1"/>
  <c r="K227" i="29"/>
  <c r="B1466" i="106" s="1"/>
  <c r="D1466" i="106" s="1"/>
  <c r="B1402" i="106"/>
  <c r="D1402" i="106" s="1"/>
  <c r="B6628" i="106"/>
  <c r="D6628" i="106" s="1"/>
  <c r="B5110" i="106"/>
  <c r="D5110" i="106" s="1"/>
  <c r="F100" i="34"/>
  <c r="B6293" i="106"/>
  <c r="D6293" i="106" s="1"/>
  <c r="B5085" i="106"/>
  <c r="D5085" i="106" s="1"/>
  <c r="B7004" i="106"/>
  <c r="D7004" i="106" s="1"/>
  <c r="K97" i="29"/>
  <c r="B7005" i="106" s="1"/>
  <c r="D7005" i="106" s="1"/>
  <c r="I67" i="5"/>
  <c r="B5926" i="106" s="1"/>
  <c r="D5926" i="106" s="1"/>
  <c r="B5924" i="106"/>
  <c r="D5924" i="106" s="1"/>
  <c r="J175" i="5"/>
  <c r="B6398" i="106"/>
  <c r="D6398" i="106" s="1"/>
  <c r="B6888" i="106"/>
  <c r="D6888" i="106" s="1"/>
  <c r="K26" i="29"/>
  <c r="B7249" i="106"/>
  <c r="D7249" i="106" s="1"/>
  <c r="B4379" i="106"/>
  <c r="D4379" i="106" s="1"/>
  <c r="B4417" i="106"/>
  <c r="D4417" i="106" s="1"/>
  <c r="B7195" i="106"/>
  <c r="D7195" i="106" s="1"/>
  <c r="B2718" i="106"/>
  <c r="D2718" i="106" s="1"/>
  <c r="K51" i="29"/>
  <c r="B981" i="106"/>
  <c r="D981" i="106" s="1"/>
  <c r="B7165" i="106"/>
  <c r="D7165" i="106" s="1"/>
  <c r="B1344" i="106"/>
  <c r="D1344" i="106" s="1"/>
  <c r="B6868" i="106"/>
  <c r="D6868" i="106" s="1"/>
  <c r="B4332" i="106"/>
  <c r="D4332" i="106" s="1"/>
  <c r="B3085" i="106"/>
  <c r="D3085" i="106" s="1"/>
  <c r="B4330" i="106"/>
  <c r="D4330" i="106" s="1"/>
  <c r="B6104" i="106"/>
  <c r="D6104" i="106" s="1"/>
  <c r="B6830" i="106"/>
  <c r="D6830" i="106" s="1"/>
  <c r="K67" i="5"/>
  <c r="B5995" i="106" s="1"/>
  <c r="D5995" i="106" s="1"/>
  <c r="B5993" i="106"/>
  <c r="D5993" i="106" s="1"/>
  <c r="B2798" i="106"/>
  <c r="D2798" i="106" s="1"/>
  <c r="B5361" i="106"/>
  <c r="D5361" i="106" s="1"/>
  <c r="D122" i="5"/>
  <c r="B5367" i="106" s="1"/>
  <c r="D5367" i="106" s="1"/>
  <c r="B6328" i="106"/>
  <c r="D6328" i="106" s="1"/>
  <c r="B6693" i="106"/>
  <c r="D6693" i="106" s="1"/>
  <c r="B782" i="106"/>
  <c r="D782" i="106" s="1"/>
  <c r="B1341" i="106"/>
  <c r="D1341" i="106" s="1"/>
  <c r="B7140" i="106"/>
  <c r="D7140" i="106" s="1"/>
  <c r="B5885" i="106"/>
  <c r="D5885" i="106" s="1"/>
  <c r="B6785" i="106"/>
  <c r="D6785" i="106" s="1"/>
  <c r="B6784" i="106"/>
  <c r="D6784" i="106" s="1"/>
  <c r="B3078" i="106"/>
  <c r="D3078" i="106" s="1"/>
  <c r="B6821" i="106"/>
  <c r="D6821" i="106" s="1"/>
  <c r="K29" i="29"/>
  <c r="B6894" i="106"/>
  <c r="D6894" i="106" s="1"/>
  <c r="B6106" i="106"/>
  <c r="D6106" i="106" s="1"/>
  <c r="B3060" i="106"/>
  <c r="D3060" i="106" s="1"/>
  <c r="B6700" i="106"/>
  <c r="D6700" i="106" s="1"/>
  <c r="B7265" i="106"/>
  <c r="B4947" i="106"/>
  <c r="D4947" i="106" s="1"/>
  <c r="B787" i="106"/>
  <c r="D787" i="106" s="1"/>
  <c r="B6141" i="106"/>
  <c r="D6141" i="106" s="1"/>
  <c r="B7035" i="106"/>
  <c r="D7035" i="106" s="1"/>
  <c r="B6781" i="106"/>
  <c r="D6781" i="106" s="1"/>
  <c r="F101" i="34"/>
  <c r="B5111" i="106"/>
  <c r="D5111" i="106" s="1"/>
  <c r="B5336" i="106"/>
  <c r="D5336" i="106" s="1"/>
  <c r="B2824" i="106"/>
  <c r="D2824" i="106" s="1"/>
  <c r="K195" i="29"/>
  <c r="B2839" i="106" s="1"/>
  <c r="D2839" i="106" s="1"/>
  <c r="B6407" i="106"/>
  <c r="D6407" i="106" s="1"/>
  <c r="B899" i="106"/>
  <c r="D899" i="106" s="1"/>
  <c r="B980" i="106"/>
  <c r="D980" i="106" s="1"/>
  <c r="B5093" i="106"/>
  <c r="D5093" i="106" s="1"/>
  <c r="F132" i="34"/>
  <c r="B7864" i="106" s="1"/>
  <c r="D7864" i="106" s="1"/>
  <c r="B4340" i="106"/>
  <c r="D4340" i="106" s="1"/>
  <c r="B898" i="106"/>
  <c r="D898" i="106" s="1"/>
  <c r="B7680" i="106"/>
  <c r="D7680" i="106" s="1"/>
  <c r="B7167" i="106"/>
  <c r="D7167" i="106" s="1"/>
  <c r="B5375" i="106"/>
  <c r="D5375" i="106" s="1"/>
  <c r="B7665" i="106"/>
  <c r="D7665" i="106" s="1"/>
  <c r="B973" i="106"/>
  <c r="D973" i="106" s="1"/>
  <c r="B5590" i="106"/>
  <c r="D5590" i="106" s="1"/>
  <c r="B5014" i="106"/>
  <c r="D5014" i="106" s="1"/>
  <c r="B6389" i="106"/>
  <c r="D6389" i="106" s="1"/>
  <c r="B776" i="106"/>
  <c r="D776" i="106" s="1"/>
  <c r="B3084" i="106"/>
  <c r="D3084" i="106" s="1"/>
  <c r="B6659" i="106"/>
  <c r="D6659" i="106" s="1"/>
  <c r="B6779" i="106"/>
  <c r="D6779" i="106" s="1"/>
  <c r="B5569" i="106"/>
  <c r="D5569" i="106" s="1"/>
  <c r="F21" i="34"/>
  <c r="F26" i="34"/>
  <c r="B5577" i="106"/>
  <c r="D5577" i="106" s="1"/>
  <c r="B6322" i="106"/>
  <c r="D6322" i="106" s="1"/>
  <c r="B6088" i="106"/>
  <c r="D6088" i="106" s="1"/>
  <c r="B6758" i="106"/>
  <c r="D6758" i="106" s="1"/>
  <c r="K306" i="29"/>
  <c r="B7105" i="106"/>
  <c r="D7105" i="106" s="1"/>
  <c r="E310" i="29"/>
  <c r="B7114" i="106" s="1"/>
  <c r="D7114" i="106" s="1"/>
  <c r="B6390" i="106"/>
  <c r="D6390" i="106" s="1"/>
  <c r="G13" i="3"/>
  <c r="B180" i="106" s="1"/>
  <c r="D180" i="106" s="1"/>
  <c r="B3422" i="106"/>
  <c r="D3422" i="106" s="1"/>
  <c r="D38" i="36"/>
  <c r="B6715" i="106"/>
  <c r="D6715" i="106" s="1"/>
  <c r="B6780" i="106"/>
  <c r="D6780" i="106" s="1"/>
  <c r="L147" i="29"/>
  <c r="L149" i="29"/>
  <c r="B6131" i="106"/>
  <c r="D6131" i="106" s="1"/>
  <c r="J34" i="3"/>
  <c r="B6191" i="106" s="1"/>
  <c r="D6191" i="106" s="1"/>
  <c r="B6629" i="106"/>
  <c r="D6629" i="106" s="1"/>
  <c r="B3579" i="106"/>
  <c r="D3579" i="106" s="1"/>
  <c r="B5347" i="106"/>
  <c r="D5347" i="106" s="1"/>
  <c r="F143" i="34"/>
  <c r="B6690" i="106"/>
  <c r="D6690" i="106" s="1"/>
  <c r="B4352" i="106"/>
  <c r="D4352" i="106" s="1"/>
  <c r="B6154" i="106"/>
  <c r="D6154" i="106" s="1"/>
  <c r="B863" i="106"/>
  <c r="D863" i="106" s="1"/>
  <c r="B7112" i="106"/>
  <c r="D7112" i="106" s="1"/>
  <c r="K309" i="29"/>
  <c r="B3717" i="106" s="1"/>
  <c r="D3717" i="106" s="1"/>
  <c r="B6111" i="106"/>
  <c r="D6111" i="106" s="1"/>
  <c r="F156" i="34"/>
  <c r="B6817" i="106"/>
  <c r="D6817" i="106" s="1"/>
  <c r="B7261" i="106"/>
  <c r="B904" i="106"/>
  <c r="D904" i="106" s="1"/>
  <c r="B6808" i="106"/>
  <c r="D6808" i="106" s="1"/>
  <c r="K40" i="29"/>
  <c r="B1113" i="106" s="1"/>
  <c r="D1113" i="106" s="1"/>
  <c r="B725" i="106"/>
  <c r="D725" i="106" s="1"/>
  <c r="B6672" i="106"/>
  <c r="D6672" i="106" s="1"/>
  <c r="B4920" i="106"/>
  <c r="D4920" i="106" s="1"/>
  <c r="I72" i="29"/>
  <c r="B6973" i="106" s="1"/>
  <c r="D6973" i="106" s="1"/>
  <c r="B6963" i="106"/>
  <c r="D6963" i="106" s="1"/>
  <c r="B6172" i="106"/>
  <c r="D6172" i="106" s="1"/>
  <c r="B914" i="106"/>
  <c r="D914" i="106" s="1"/>
  <c r="B7057" i="106"/>
  <c r="D7057" i="106" s="1"/>
  <c r="I184" i="29"/>
  <c r="B4878" i="106"/>
  <c r="D4878" i="106" s="1"/>
  <c r="B5882" i="106"/>
  <c r="D5882" i="106" s="1"/>
  <c r="H108" i="5"/>
  <c r="B5886" i="106" s="1"/>
  <c r="D5886" i="106" s="1"/>
  <c r="B1026" i="106"/>
  <c r="D1026" i="106" s="1"/>
  <c r="B5194" i="106"/>
  <c r="D5194" i="106" s="1"/>
  <c r="F115" i="34"/>
  <c r="B7849" i="106" s="1"/>
  <c r="D7849" i="106" s="1"/>
  <c r="B6735" i="106"/>
  <c r="D6735" i="106" s="1"/>
  <c r="B763" i="106"/>
  <c r="D763" i="106" s="1"/>
  <c r="D33" i="29"/>
  <c r="B9" i="7"/>
  <c r="B1751" i="106" s="1"/>
  <c r="D1751" i="106" s="1"/>
  <c r="H12" i="5"/>
  <c r="B5871" i="106"/>
  <c r="D5871" i="106" s="1"/>
  <c r="B6630" i="106"/>
  <c r="D6630" i="106" s="1"/>
  <c r="E53" i="29"/>
  <c r="B850" i="106" s="1"/>
  <c r="D850" i="106" s="1"/>
  <c r="B848" i="106"/>
  <c r="D848" i="106" s="1"/>
  <c r="B6153" i="106"/>
  <c r="D6153" i="106" s="1"/>
  <c r="B6749" i="106"/>
  <c r="D6749" i="106" s="1"/>
  <c r="B7148" i="106"/>
  <c r="D7148" i="106" s="1"/>
  <c r="B119" i="106"/>
  <c r="D119" i="106" s="1"/>
  <c r="F33" i="29"/>
  <c r="B894" i="106" s="1"/>
  <c r="D894" i="106" s="1"/>
  <c r="B879" i="106"/>
  <c r="D879" i="106" s="1"/>
  <c r="B6169" i="106"/>
  <c r="D6169" i="106" s="1"/>
  <c r="B4316" i="106"/>
  <c r="D4316" i="106" s="1"/>
  <c r="B5233" i="106"/>
  <c r="D5233" i="106" s="1"/>
  <c r="C188" i="5"/>
  <c r="B5081" i="106"/>
  <c r="D5081" i="106" s="1"/>
  <c r="B5359" i="106"/>
  <c r="D5359" i="106" s="1"/>
  <c r="B5586" i="106"/>
  <c r="D5586" i="106" s="1"/>
  <c r="B6085" i="106"/>
  <c r="D6085" i="106" s="1"/>
  <c r="B3485" i="106"/>
  <c r="D3485" i="106" s="1"/>
  <c r="B5384" i="106"/>
  <c r="D5384" i="106" s="1"/>
  <c r="B6123" i="106"/>
  <c r="D6123" i="106" s="1"/>
  <c r="L277" i="29"/>
  <c r="B953" i="106"/>
  <c r="D953" i="106" s="1"/>
  <c r="G42" i="29"/>
  <c r="B959" i="106" s="1"/>
  <c r="D959" i="106" s="1"/>
  <c r="B2848" i="106"/>
  <c r="D2848" i="106" s="1"/>
  <c r="B921" i="106"/>
  <c r="D921" i="106" s="1"/>
  <c r="B5734" i="106"/>
  <c r="D5734" i="106" s="1"/>
  <c r="G108" i="5"/>
  <c r="B5737" i="106" s="1"/>
  <c r="D5737" i="106" s="1"/>
  <c r="B4865" i="106"/>
  <c r="D4865" i="106" s="1"/>
  <c r="B6803" i="106"/>
  <c r="D6803" i="106" s="1"/>
  <c r="B900" i="106"/>
  <c r="D900" i="106" s="1"/>
  <c r="K182" i="29"/>
  <c r="B1377" i="106" s="1"/>
  <c r="D1377" i="106" s="1"/>
  <c r="B1335" i="106"/>
  <c r="D1335" i="106" s="1"/>
  <c r="B7673" i="106"/>
  <c r="D7673" i="106" s="1"/>
  <c r="D238" i="29"/>
  <c r="B1417" i="106" s="1"/>
  <c r="D1417" i="106" s="1"/>
  <c r="B1411" i="106"/>
  <c r="D1411" i="106" s="1"/>
  <c r="K232" i="29"/>
  <c r="B6343" i="106"/>
  <c r="D6343" i="106" s="1"/>
  <c r="B5509" i="106"/>
  <c r="D5509" i="106" s="1"/>
  <c r="B6" i="7"/>
  <c r="E12" i="5"/>
  <c r="I65" i="29"/>
  <c r="B6961" i="106" s="1"/>
  <c r="D6961" i="106" s="1"/>
  <c r="B6950" i="106"/>
  <c r="D6950" i="106" s="1"/>
  <c r="B907" i="106"/>
  <c r="D907" i="106" s="1"/>
  <c r="B6164" i="106"/>
  <c r="D6164" i="106" s="1"/>
  <c r="B6371" i="106"/>
  <c r="D6371" i="106" s="1"/>
  <c r="H169" i="5"/>
  <c r="B5899" i="106" s="1"/>
  <c r="D5899" i="106" s="1"/>
  <c r="B970" i="106"/>
  <c r="D970" i="106" s="1"/>
  <c r="G65" i="29"/>
  <c r="B977" i="106" s="1"/>
  <c r="D977" i="106" s="1"/>
  <c r="B6403" i="106"/>
  <c r="D6403" i="106" s="1"/>
  <c r="B5697" i="106"/>
  <c r="D5697" i="106" s="1"/>
  <c r="F34" i="3"/>
  <c r="B169" i="106" s="1"/>
  <c r="D169" i="106" s="1"/>
  <c r="B6128" i="106"/>
  <c r="D6128" i="106" s="1"/>
  <c r="B7804" i="106"/>
  <c r="D7804" i="106" s="1"/>
  <c r="B619" i="106"/>
  <c r="D619" i="106" s="1"/>
  <c r="K12" i="5"/>
  <c r="B12" i="7"/>
  <c r="B5985" i="106"/>
  <c r="D5985" i="106" s="1"/>
  <c r="B7691" i="106"/>
  <c r="D7691" i="106" s="1"/>
  <c r="B7159" i="106"/>
  <c r="D7159" i="106" s="1"/>
  <c r="B7670" i="106"/>
  <c r="D7670" i="106" s="1"/>
  <c r="D57" i="29"/>
  <c r="B795" i="106" s="1"/>
  <c r="D795" i="106" s="1"/>
  <c r="B793" i="106"/>
  <c r="D793" i="106" s="1"/>
  <c r="B832" i="106"/>
  <c r="D832" i="106" s="1"/>
  <c r="B5594" i="106"/>
  <c r="D5594" i="106" s="1"/>
  <c r="C33" i="29"/>
  <c r="B720" i="106" s="1"/>
  <c r="D720" i="106" s="1"/>
  <c r="K5" i="29"/>
  <c r="B1093" i="106" s="1"/>
  <c r="D1093" i="106" s="1"/>
  <c r="B705" i="106"/>
  <c r="D705" i="106" s="1"/>
  <c r="B2762" i="106"/>
  <c r="D2762" i="106" s="1"/>
  <c r="F130" i="34"/>
  <c r="B7862" i="106" s="1"/>
  <c r="D7862" i="106" s="1"/>
  <c r="B5279" i="106"/>
  <c r="D5279" i="106" s="1"/>
  <c r="H340" i="29"/>
  <c r="B7214" i="106" s="1"/>
  <c r="D7214" i="106" s="1"/>
  <c r="K337" i="29"/>
  <c r="B7208" i="106"/>
  <c r="D7208" i="106" s="1"/>
  <c r="B6863" i="106"/>
  <c r="D6863" i="106" s="1"/>
  <c r="D350" i="29"/>
  <c r="B3624" i="106"/>
  <c r="D3624" i="106" s="1"/>
  <c r="B1543" i="106"/>
  <c r="D1543" i="106" s="1"/>
  <c r="G303" i="29"/>
  <c r="B1547" i="106" s="1"/>
  <c r="D1547" i="106" s="1"/>
  <c r="B6619" i="106"/>
  <c r="D6619" i="106" s="1"/>
  <c r="H252" i="5"/>
  <c r="B6185" i="106"/>
  <c r="D6185" i="106" s="1"/>
  <c r="D67" i="5"/>
  <c r="B5342" i="106" s="1"/>
  <c r="D5342" i="106" s="1"/>
  <c r="B5340" i="106"/>
  <c r="D5340" i="106" s="1"/>
  <c r="B5876" i="106"/>
  <c r="D5876" i="106" s="1"/>
  <c r="J47" i="29"/>
  <c r="B6925" i="106" s="1"/>
  <c r="D6925" i="106" s="1"/>
  <c r="B6919" i="106"/>
  <c r="D6919" i="106" s="1"/>
  <c r="B6231" i="106"/>
  <c r="D6231" i="106" s="1"/>
  <c r="B6158" i="106"/>
  <c r="D6158" i="106" s="1"/>
  <c r="B7136" i="106"/>
  <c r="D7136" i="106" s="1"/>
  <c r="K321" i="29"/>
  <c r="B7144" i="106" s="1"/>
  <c r="D7144" i="106" s="1"/>
  <c r="B6820" i="106"/>
  <c r="D6820" i="106" s="1"/>
  <c r="B5564" i="106"/>
  <c r="D5564" i="106" s="1"/>
  <c r="F18" i="34"/>
  <c r="B6947" i="106"/>
  <c r="D6947" i="106" s="1"/>
  <c r="G76" i="4"/>
  <c r="B3260" i="106" s="1"/>
  <c r="D3260" i="106" s="1"/>
  <c r="B3259" i="106"/>
  <c r="D3259" i="106" s="1"/>
  <c r="B1016" i="106"/>
  <c r="D1016" i="106" s="1"/>
  <c r="B2760" i="106"/>
  <c r="D2760" i="106" s="1"/>
  <c r="B5517" i="106"/>
  <c r="D5517" i="106" s="1"/>
  <c r="B5350" i="106"/>
  <c r="D5350" i="106" s="1"/>
  <c r="B4077" i="106"/>
  <c r="D4077" i="106" s="1"/>
  <c r="E33" i="29"/>
  <c r="B836" i="106" s="1"/>
  <c r="D836" i="106" s="1"/>
  <c r="B821" i="106"/>
  <c r="D821" i="106" s="1"/>
  <c r="B4327" i="106"/>
  <c r="D4327" i="106" s="1"/>
  <c r="D18" i="5"/>
  <c r="B5339" i="106" s="1"/>
  <c r="D5339" i="106" s="1"/>
  <c r="B5335" i="106"/>
  <c r="D5335" i="106" s="1"/>
  <c r="B6855" i="106"/>
  <c r="D6855" i="106" s="1"/>
  <c r="B6742" i="106"/>
  <c r="D6742" i="106" s="1"/>
  <c r="C127" i="29"/>
  <c r="B1223" i="106" s="1"/>
  <c r="D1223" i="106" s="1"/>
  <c r="B1219" i="106"/>
  <c r="D1219" i="106" s="1"/>
  <c r="K122" i="29"/>
  <c r="B7699" i="106"/>
  <c r="D7699" i="106" s="1"/>
  <c r="F148" i="34"/>
  <c r="B6753" i="106"/>
  <c r="D6753" i="106" s="1"/>
  <c r="B5602" i="106"/>
  <c r="D5602" i="106" s="1"/>
  <c r="B7791" i="106"/>
  <c r="D7791" i="106" s="1"/>
  <c r="K354" i="29"/>
  <c r="H357" i="29"/>
  <c r="B7237" i="106" s="1"/>
  <c r="D7237" i="106" s="1"/>
  <c r="B6243" i="106"/>
  <c r="D6243" i="106" s="1"/>
  <c r="E38" i="4"/>
  <c r="B6286" i="106" s="1"/>
  <c r="D6286" i="106" s="1"/>
  <c r="B5075" i="106"/>
  <c r="D5075" i="106" s="1"/>
  <c r="B5790" i="106"/>
  <c r="D5790" i="106" s="1"/>
  <c r="G204" i="5"/>
  <c r="B5803" i="106" s="1"/>
  <c r="D5803" i="106" s="1"/>
  <c r="B5058" i="106"/>
  <c r="D5058" i="106" s="1"/>
  <c r="B5728" i="106"/>
  <c r="D5728" i="106" s="1"/>
  <c r="B6163" i="106"/>
  <c r="D6163" i="106" s="1"/>
  <c r="B152" i="106"/>
  <c r="D152" i="106" s="1"/>
  <c r="B5736" i="106"/>
  <c r="D5736" i="106" s="1"/>
  <c r="J44" i="4"/>
  <c r="B7754" i="106"/>
  <c r="D7754" i="106" s="1"/>
  <c r="L110" i="29"/>
  <c r="L112" i="29" s="1"/>
  <c r="B7637" i="106"/>
  <c r="B6773" i="106"/>
  <c r="D6773" i="106" s="1"/>
  <c r="B5196" i="106"/>
  <c r="D5196" i="106" s="1"/>
  <c r="B6631" i="106"/>
  <c r="D6631" i="106" s="1"/>
  <c r="B5078" i="106"/>
  <c r="D5078" i="106" s="1"/>
  <c r="B7101" i="106"/>
  <c r="D7101" i="106" s="1"/>
  <c r="B7060" i="106"/>
  <c r="D7060" i="106" s="1"/>
  <c r="B1369" i="106"/>
  <c r="D1369" i="106" s="1"/>
  <c r="B2813" i="106"/>
  <c r="D2813" i="106" s="1"/>
  <c r="K166" i="29"/>
  <c r="B2819" i="106" s="1"/>
  <c r="D2819" i="106" s="1"/>
  <c r="B1419" i="106"/>
  <c r="D1419" i="106" s="1"/>
  <c r="K241" i="29"/>
  <c r="B1483" i="106" s="1"/>
  <c r="D1483" i="106" s="1"/>
  <c r="B6870" i="106"/>
  <c r="D6870" i="106" s="1"/>
  <c r="K22" i="29"/>
  <c r="B6880" i="106"/>
  <c r="D6880" i="106" s="1"/>
  <c r="B749" i="106"/>
  <c r="D749" i="106" s="1"/>
  <c r="K70" i="29"/>
  <c r="B916" i="106"/>
  <c r="D916" i="106" s="1"/>
  <c r="B5922" i="106"/>
  <c r="D5922" i="106" s="1"/>
  <c r="B7226" i="106"/>
  <c r="D7226" i="106" s="1"/>
  <c r="I350" i="29"/>
  <c r="B3699" i="106"/>
  <c r="D3699" i="106" s="1"/>
  <c r="K53" i="4"/>
  <c r="B3703" i="106" s="1"/>
  <c r="D3703" i="106" s="1"/>
  <c r="B7099" i="106"/>
  <c r="D7099" i="106" s="1"/>
  <c r="I303" i="29"/>
  <c r="B4801" i="106"/>
  <c r="D4801" i="106" s="1"/>
  <c r="K320" i="29"/>
  <c r="B7127" i="106"/>
  <c r="D7127" i="106" s="1"/>
  <c r="K96" i="29"/>
  <c r="B7003" i="106" s="1"/>
  <c r="D7003" i="106" s="1"/>
  <c r="B7002" i="106"/>
  <c r="D7002" i="106" s="1"/>
  <c r="B5575" i="106"/>
  <c r="D5575" i="106" s="1"/>
  <c r="F93" i="34"/>
  <c r="B7073" i="106"/>
  <c r="D7073" i="106" s="1"/>
  <c r="K216" i="29"/>
  <c r="F168" i="34"/>
  <c r="B7813" i="106"/>
  <c r="D7813" i="106" s="1"/>
  <c r="B6353" i="106"/>
  <c r="D6353" i="106" s="1"/>
  <c r="J122" i="5"/>
  <c r="B6892" i="106"/>
  <c r="D6892" i="106" s="1"/>
  <c r="K28" i="29"/>
  <c r="B6893" i="106" s="1"/>
  <c r="D6893" i="106" s="1"/>
  <c r="B954" i="106"/>
  <c r="D954" i="106" s="1"/>
  <c r="C209" i="5"/>
  <c r="B5256" i="106"/>
  <c r="D5256" i="106" s="1"/>
  <c r="K199" i="29"/>
  <c r="B1371" i="106"/>
  <c r="D1371" i="106" s="1"/>
  <c r="H204" i="29"/>
  <c r="B5855" i="106"/>
  <c r="D5855" i="106" s="1"/>
  <c r="B3617" i="106"/>
  <c r="D3617" i="106" s="1"/>
  <c r="K348" i="29"/>
  <c r="C350" i="29"/>
  <c r="B3257" i="106"/>
  <c r="D3257" i="106" s="1"/>
  <c r="B7695" i="106"/>
  <c r="D7695" i="106" s="1"/>
  <c r="B3080" i="106"/>
  <c r="D3080" i="106" s="1"/>
  <c r="B7254" i="106"/>
  <c r="D7254" i="106" s="1"/>
  <c r="B4408" i="106"/>
  <c r="D4408" i="106" s="1"/>
  <c r="B7701" i="106"/>
  <c r="D7701" i="106" s="1"/>
  <c r="B5695" i="106"/>
  <c r="D5695" i="106" s="1"/>
  <c r="B4805" i="106"/>
  <c r="D4805" i="106" s="1"/>
  <c r="B4795" i="106"/>
  <c r="D4795" i="106" s="1"/>
  <c r="B5117" i="106"/>
  <c r="D5117" i="106" s="1"/>
  <c r="B4313" i="106"/>
  <c r="D4313" i="106" s="1"/>
  <c r="F30" i="34"/>
  <c r="B7823" i="106" s="1"/>
  <c r="B6960" i="106"/>
  <c r="D6960" i="106" s="1"/>
  <c r="B6701" i="106"/>
  <c r="D6701" i="106" s="1"/>
  <c r="B2843" i="106"/>
  <c r="D2843" i="106" s="1"/>
  <c r="K290" i="29"/>
  <c r="B2845" i="106" s="1"/>
  <c r="D2845" i="106" s="1"/>
  <c r="L92" i="29"/>
  <c r="C221" i="5"/>
  <c r="C266" i="5" s="1"/>
  <c r="B5301" i="106"/>
  <c r="D5301" i="106" s="1"/>
  <c r="B6714" i="106"/>
  <c r="D6714" i="106" s="1"/>
  <c r="F252" i="5"/>
  <c r="B6836" i="106" s="1"/>
  <c r="D6836" i="106" s="1"/>
  <c r="B6617" i="106"/>
  <c r="D6617" i="106" s="1"/>
  <c r="B6771" i="106"/>
  <c r="D6771" i="106" s="1"/>
  <c r="B7111" i="106"/>
  <c r="D7111" i="106" s="1"/>
  <c r="B6258" i="106"/>
  <c r="D6258" i="106" s="1"/>
  <c r="B5424" i="106"/>
  <c r="D5424" i="106" s="1"/>
  <c r="D181" i="5"/>
  <c r="B5425" i="106" s="1"/>
  <c r="D5425" i="106" s="1"/>
  <c r="K248" i="29"/>
  <c r="B7082" i="106" s="1"/>
  <c r="D7082" i="106" s="1"/>
  <c r="B7081" i="106"/>
  <c r="D7081" i="106" s="1"/>
  <c r="B7032" i="106"/>
  <c r="D7032" i="106" s="1"/>
  <c r="F25" i="34"/>
  <c r="B5576" i="106"/>
  <c r="D5576" i="106" s="1"/>
  <c r="B4334" i="106"/>
  <c r="D4334" i="106" s="1"/>
  <c r="B6937" i="106"/>
  <c r="D6937" i="106" s="1"/>
  <c r="B4918" i="106"/>
  <c r="D4918" i="106" s="1"/>
  <c r="B6294" i="106"/>
  <c r="D6294" i="106" s="1"/>
  <c r="B6651" i="106"/>
  <c r="D6651" i="106" s="1"/>
  <c r="F63" i="5"/>
  <c r="B5579" i="106" s="1"/>
  <c r="D5579" i="106" s="1"/>
  <c r="B5563" i="106"/>
  <c r="D5563" i="106" s="1"/>
  <c r="F85" i="34"/>
  <c r="B5152" i="106"/>
  <c r="D5152" i="106" s="1"/>
  <c r="B1316" i="106"/>
  <c r="D1316" i="106" s="1"/>
  <c r="B5512" i="106"/>
  <c r="D5512" i="106" s="1"/>
  <c r="B6364" i="106"/>
  <c r="D6364" i="106" s="1"/>
  <c r="B797" i="106"/>
  <c r="D797" i="106" s="1"/>
  <c r="B6658" i="106"/>
  <c r="D6658" i="106" s="1"/>
  <c r="B3370" i="106"/>
  <c r="D3370" i="106" s="1"/>
  <c r="B4333" i="106"/>
  <c r="D4333" i="106" s="1"/>
  <c r="B909" i="106"/>
  <c r="D909" i="106" s="1"/>
  <c r="F57" i="29"/>
  <c r="B911" i="106" s="1"/>
  <c r="D911" i="106" s="1"/>
  <c r="F99" i="34"/>
  <c r="B5107" i="106"/>
  <c r="D5107" i="106" s="1"/>
  <c r="B6167" i="106"/>
  <c r="D6167" i="106" s="1"/>
  <c r="L42" i="29"/>
  <c r="K171" i="29"/>
  <c r="B1330" i="106" s="1"/>
  <c r="D1330" i="106" s="1"/>
  <c r="B1307" i="106"/>
  <c r="D1307" i="106" s="1"/>
  <c r="E172" i="29"/>
  <c r="B1308" i="106" s="1"/>
  <c r="D1308" i="106" s="1"/>
  <c r="B4802" i="106"/>
  <c r="D4802" i="106" s="1"/>
  <c r="B164" i="106"/>
  <c r="D164" i="106" s="1"/>
  <c r="F119" i="34"/>
  <c r="B7853" i="106" s="1"/>
  <c r="D7853" i="106" s="1"/>
  <c r="B6388" i="106"/>
  <c r="D6388" i="106" s="1"/>
  <c r="B7264" i="106"/>
  <c r="B7660" i="106"/>
  <c r="D7660" i="106" s="1"/>
  <c r="B6789" i="106"/>
  <c r="D6789" i="106" s="1"/>
  <c r="B6105" i="106"/>
  <c r="D6105" i="106" s="1"/>
  <c r="B5691" i="106"/>
  <c r="D5691" i="106" s="1"/>
  <c r="F217" i="5"/>
  <c r="B5703" i="106" s="1"/>
  <c r="D5703" i="106" s="1"/>
  <c r="B3374" i="106"/>
  <c r="D3374" i="106" s="1"/>
  <c r="B7814" i="106"/>
  <c r="D7814" i="106" s="1"/>
  <c r="B5515" i="106"/>
  <c r="D5515" i="106" s="1"/>
  <c r="B6330" i="106"/>
  <c r="D6330" i="106" s="1"/>
  <c r="B1549" i="106"/>
  <c r="D1549" i="106" s="1"/>
  <c r="H303" i="29"/>
  <c r="B6741" i="106"/>
  <c r="D6741" i="106" s="1"/>
  <c r="B1229" i="106"/>
  <c r="D1229" i="106" s="1"/>
  <c r="B88" i="106"/>
  <c r="D88" i="106" s="1"/>
  <c r="B5142" i="106"/>
  <c r="D5142" i="106" s="1"/>
  <c r="B4230" i="106"/>
  <c r="D4230" i="106" s="1"/>
  <c r="B7166" i="106"/>
  <c r="D7166" i="106" s="1"/>
  <c r="B5609" i="106"/>
  <c r="D5609" i="106" s="1"/>
  <c r="B6763" i="106"/>
  <c r="D6763" i="106" s="1"/>
  <c r="B5074" i="106"/>
  <c r="D5074" i="106" s="1"/>
  <c r="B1451" i="106"/>
  <c r="D1451" i="106" s="1"/>
  <c r="K292" i="29"/>
  <c r="B1514" i="106" s="1"/>
  <c r="D1514" i="106" s="1"/>
  <c r="K79" i="29"/>
  <c r="B2974" i="106" s="1"/>
  <c r="D2974" i="106" s="1"/>
  <c r="B2950" i="106"/>
  <c r="D2950" i="106" s="1"/>
  <c r="B6815" i="106"/>
  <c r="D6815" i="106" s="1"/>
  <c r="K200" i="29"/>
  <c r="B1384" i="106" s="1"/>
  <c r="D1384" i="106" s="1"/>
  <c r="B1372" i="106"/>
  <c r="D1372" i="106" s="1"/>
  <c r="B2997" i="106"/>
  <c r="D2997" i="106" s="1"/>
  <c r="B7174" i="106"/>
  <c r="D7174" i="106" s="1"/>
  <c r="H14" i="118"/>
  <c r="H19" i="118"/>
  <c r="E37" i="4"/>
  <c r="B6285" i="106" s="1"/>
  <c r="D6285" i="106" s="1"/>
  <c r="B6240" i="106"/>
  <c r="D6240" i="106" s="1"/>
  <c r="J252" i="5"/>
  <c r="B6620" i="106"/>
  <c r="D6620" i="106" s="1"/>
  <c r="B5853" i="106"/>
  <c r="D5853" i="106" s="1"/>
  <c r="B7781" i="106"/>
  <c r="D7781" i="106" s="1"/>
  <c r="K159" i="29"/>
  <c r="B7782" i="106" s="1"/>
  <c r="D7782" i="106" s="1"/>
  <c r="J108" i="5"/>
  <c r="B6351" i="106" s="1"/>
  <c r="D6351" i="106" s="1"/>
  <c r="B6319" i="106"/>
  <c r="D6319" i="106" s="1"/>
  <c r="D41" i="36"/>
  <c r="J13" i="3"/>
  <c r="B6124" i="106" s="1"/>
  <c r="D6124" i="106" s="1"/>
  <c r="B6217" i="106"/>
  <c r="D6217" i="106" s="1"/>
  <c r="B202" i="106"/>
  <c r="D202" i="106" s="1"/>
  <c r="K222" i="29"/>
  <c r="B1471" i="106" s="1"/>
  <c r="D1471" i="106" s="1"/>
  <c r="B1407" i="106"/>
  <c r="D1407" i="106" s="1"/>
  <c r="B855" i="106"/>
  <c r="D855" i="106" s="1"/>
  <c r="B6406" i="106"/>
  <c r="D6406" i="106" s="1"/>
  <c r="K163" i="29"/>
  <c r="H168" i="29"/>
  <c r="B1310" i="106"/>
  <c r="D1310" i="106" s="1"/>
  <c r="J76" i="4"/>
  <c r="B6261" i="106" s="1"/>
  <c r="D6261" i="106" s="1"/>
  <c r="B6239" i="106"/>
  <c r="D6239" i="106" s="1"/>
  <c r="B4796" i="106"/>
  <c r="D4796" i="106" s="1"/>
  <c r="B4448" i="106"/>
  <c r="D4448" i="106" s="1"/>
  <c r="B872" i="106"/>
  <c r="D872" i="106" s="1"/>
  <c r="B814" i="106"/>
  <c r="D814" i="106" s="1"/>
  <c r="B784" i="106"/>
  <c r="D784" i="106" s="1"/>
  <c r="B5374" i="106"/>
  <c r="D5374" i="106" s="1"/>
  <c r="B3482" i="106"/>
  <c r="D3482" i="106" s="1"/>
  <c r="K125" i="29"/>
  <c r="B3488" i="106" s="1"/>
  <c r="D3488" i="106" s="1"/>
  <c r="B5076" i="106"/>
  <c r="D5076" i="106" s="1"/>
  <c r="B6688" i="106"/>
  <c r="D6688" i="106" s="1"/>
  <c r="B6355" i="106"/>
  <c r="D6355" i="106" s="1"/>
  <c r="C330" i="29"/>
  <c r="K319" i="29"/>
  <c r="E57" i="184" s="1"/>
  <c r="N57" i="184" s="1"/>
  <c r="B7118" i="106"/>
  <c r="D7118" i="106" s="1"/>
  <c r="B791" i="106"/>
  <c r="D791" i="106" s="1"/>
  <c r="B3582" i="106"/>
  <c r="D3582" i="106" s="1"/>
  <c r="B4342" i="106"/>
  <c r="D4342" i="106" s="1"/>
  <c r="B5080" i="106"/>
  <c r="D5080" i="106" s="1"/>
  <c r="B983" i="106"/>
  <c r="D983" i="106" s="1"/>
  <c r="B7749" i="106"/>
  <c r="D7749" i="106" s="1"/>
  <c r="D44" i="4"/>
  <c r="B5100" i="106"/>
  <c r="D5100" i="106" s="1"/>
  <c r="B3486" i="106"/>
  <c r="D3486" i="106" s="1"/>
  <c r="B3551" i="106"/>
  <c r="D3551" i="106" s="1"/>
  <c r="B3548" i="106"/>
  <c r="D3548" i="106" s="1"/>
  <c r="K13" i="3"/>
  <c r="B3552" i="106" s="1"/>
  <c r="D3552" i="106" s="1"/>
  <c r="B5352" i="106"/>
  <c r="D5352" i="106" s="1"/>
  <c r="K30" i="29"/>
  <c r="B6896" i="106"/>
  <c r="D6896" i="106" s="1"/>
  <c r="B5723" i="106"/>
  <c r="D5723" i="106" s="1"/>
  <c r="B16" i="7"/>
  <c r="B6705" i="106"/>
  <c r="D6705" i="106" s="1"/>
  <c r="B5583" i="106"/>
  <c r="D5583" i="106" s="1"/>
  <c r="F108" i="5"/>
  <c r="B5587" i="106" s="1"/>
  <c r="D5587" i="106" s="1"/>
  <c r="B7654" i="106"/>
  <c r="D7654" i="106" s="1"/>
  <c r="B5606" i="106"/>
  <c r="D5606" i="106" s="1"/>
  <c r="B4375" i="106"/>
  <c r="D4375" i="106" s="1"/>
  <c r="B5600" i="106"/>
  <c r="D5600" i="106" s="1"/>
  <c r="F132" i="5"/>
  <c r="B6801" i="106"/>
  <c r="D6801" i="106" s="1"/>
  <c r="F154" i="34"/>
  <c r="B5742" i="106"/>
  <c r="D5742" i="106" s="1"/>
  <c r="G122" i="5"/>
  <c r="B3273" i="106"/>
  <c r="D3273" i="106" s="1"/>
  <c r="B6622" i="106"/>
  <c r="D6622" i="106" s="1"/>
  <c r="F134" i="34"/>
  <c r="B5114" i="106"/>
  <c r="D5114" i="106" s="1"/>
  <c r="B6249" i="106"/>
  <c r="D6249" i="106" s="1"/>
  <c r="B6377" i="106"/>
  <c r="D6377" i="106" s="1"/>
  <c r="B7750" i="106"/>
  <c r="D7750" i="106" s="1"/>
  <c r="B6826" i="106"/>
  <c r="D6826" i="106" s="1"/>
  <c r="B5919" i="106"/>
  <c r="D5919" i="106" s="1"/>
  <c r="I18" i="5"/>
  <c r="B5923" i="106" s="1"/>
  <c r="D5923" i="106" s="1"/>
  <c r="B4312" i="106"/>
  <c r="D4312" i="106" s="1"/>
  <c r="B7252" i="106"/>
  <c r="D7252" i="106" s="1"/>
  <c r="K17" i="29"/>
  <c r="B6871" i="106" s="1"/>
  <c r="D6871" i="106" s="1"/>
  <c r="B7263" i="106"/>
  <c r="B5439" i="106"/>
  <c r="D5439" i="106" s="1"/>
  <c r="B922" i="106"/>
  <c r="D922" i="106" s="1"/>
  <c r="B5822" i="106"/>
  <c r="D5822" i="106" s="1"/>
  <c r="B6176" i="106"/>
  <c r="D6176" i="106" s="1"/>
  <c r="K272" i="29"/>
  <c r="B1437" i="106"/>
  <c r="D1437" i="106" s="1"/>
  <c r="D277" i="29"/>
  <c r="B1444" i="106" s="1"/>
  <c r="D1444" i="106" s="1"/>
  <c r="B6766" i="106"/>
  <c r="D6766" i="106" s="1"/>
  <c r="B6180" i="106"/>
  <c r="D6180" i="106" s="1"/>
  <c r="B6173" i="106"/>
  <c r="D6173" i="106" s="1"/>
  <c r="B6938" i="106"/>
  <c r="D6938" i="106" s="1"/>
  <c r="B7667" i="106"/>
  <c r="D7667" i="106" s="1"/>
  <c r="B5084" i="106"/>
  <c r="D5084" i="106" s="1"/>
  <c r="B6797" i="106"/>
  <c r="D6797" i="106" s="1"/>
  <c r="B5672" i="106"/>
  <c r="D5672" i="106" s="1"/>
  <c r="B965" i="106"/>
  <c r="D965" i="106" s="1"/>
  <c r="B5315" i="106"/>
  <c r="D5315" i="106" s="1"/>
  <c r="F163" i="34"/>
  <c r="B7870" i="106" s="1"/>
  <c r="D7870" i="106" s="1"/>
  <c r="B6687" i="106"/>
  <c r="D6687" i="106" s="1"/>
  <c r="B3079" i="106"/>
  <c r="D3079" i="106" s="1"/>
  <c r="B6684" i="106"/>
  <c r="D6684" i="106" s="1"/>
  <c r="B5098" i="106"/>
  <c r="D5098" i="106" s="1"/>
  <c r="B7152" i="106"/>
  <c r="D7152" i="106" s="1"/>
  <c r="B6802" i="106"/>
  <c r="D6802" i="106" s="1"/>
  <c r="B5163" i="106"/>
  <c r="D5163" i="106" s="1"/>
  <c r="C145" i="5"/>
  <c r="K27" i="29"/>
  <c r="B6890" i="106"/>
  <c r="D6890" i="106" s="1"/>
  <c r="K90" i="29"/>
  <c r="B6992" i="106" s="1"/>
  <c r="D6992" i="106" s="1"/>
  <c r="B6991" i="106"/>
  <c r="D6991" i="106" s="1"/>
  <c r="B6792" i="106"/>
  <c r="D6792" i="106" s="1"/>
  <c r="B6341" i="106"/>
  <c r="D6341" i="106" s="1"/>
  <c r="B893" i="106"/>
  <c r="D893" i="106" s="1"/>
  <c r="B3578" i="106"/>
  <c r="D3578" i="106" s="1"/>
  <c r="B1434" i="106"/>
  <c r="D1434" i="106" s="1"/>
  <c r="K269" i="29"/>
  <c r="B1498" i="106" s="1"/>
  <c r="D1498" i="106" s="1"/>
  <c r="B5255" i="106"/>
  <c r="D5255" i="106" s="1"/>
  <c r="B812" i="106"/>
  <c r="D812" i="106" s="1"/>
  <c r="B6675" i="106"/>
  <c r="D6675" i="106" s="1"/>
  <c r="B957" i="106"/>
  <c r="D957" i="106" s="1"/>
  <c r="B6097" i="106"/>
  <c r="D6097" i="106" s="1"/>
  <c r="C122" i="5"/>
  <c r="B5126" i="106"/>
  <c r="D5126" i="106" s="1"/>
  <c r="K138" i="29"/>
  <c r="B2094" i="106" s="1"/>
  <c r="D2094" i="106" s="1"/>
  <c r="B2092" i="106"/>
  <c r="D2092" i="106" s="1"/>
  <c r="B796" i="106"/>
  <c r="D796" i="106" s="1"/>
  <c r="D65" i="29"/>
  <c r="B803" i="106" s="1"/>
  <c r="D803" i="106" s="1"/>
  <c r="B3251" i="106"/>
  <c r="D3251" i="106" s="1"/>
  <c r="B867" i="106"/>
  <c r="D867" i="106" s="1"/>
  <c r="B5727" i="106"/>
  <c r="D5727" i="106" s="1"/>
  <c r="B6087" i="106"/>
  <c r="D6087" i="106" s="1"/>
  <c r="B6699" i="106"/>
  <c r="D6699" i="106" s="1"/>
  <c r="B4318" i="106"/>
  <c r="D4318" i="106" s="1"/>
  <c r="B2794" i="106"/>
  <c r="D2794" i="106" s="1"/>
  <c r="B7045" i="106"/>
  <c r="D7045" i="106" s="1"/>
  <c r="B5617" i="106"/>
  <c r="D5617" i="106" s="1"/>
  <c r="B6404" i="106"/>
  <c r="D6404" i="106" s="1"/>
  <c r="B3531" i="106"/>
  <c r="D3531" i="106" s="1"/>
  <c r="B6993" i="106"/>
  <c r="D6993" i="106" s="1"/>
  <c r="K91" i="29"/>
  <c r="B6994" i="106" s="1"/>
  <c r="D6994" i="106" s="1"/>
  <c r="L285" i="29"/>
  <c r="B5239" i="106"/>
  <c r="D5239" i="106" s="1"/>
  <c r="B1015" i="106"/>
  <c r="D1015" i="106" s="1"/>
  <c r="B6869" i="106"/>
  <c r="D6869" i="106" s="1"/>
  <c r="B1029" i="106"/>
  <c r="D1029" i="106" s="1"/>
  <c r="B7196" i="106"/>
  <c r="D7196" i="106" s="1"/>
  <c r="B5696" i="106"/>
  <c r="D5696" i="106" s="1"/>
  <c r="B6615" i="106"/>
  <c r="D6615" i="106" s="1"/>
  <c r="D252" i="5"/>
  <c r="B6834" i="106" s="1"/>
  <c r="D6834" i="106" s="1"/>
  <c r="B7816" i="106"/>
  <c r="D7816" i="106" s="1"/>
  <c r="B5884" i="106"/>
  <c r="D5884" i="106" s="1"/>
  <c r="B7676" i="106"/>
  <c r="D7676" i="106" s="1"/>
  <c r="C57" i="29"/>
  <c r="B737" i="106" s="1"/>
  <c r="D737" i="106" s="1"/>
  <c r="K55" i="29"/>
  <c r="B735" i="106"/>
  <c r="D735" i="106" s="1"/>
  <c r="B3561" i="106"/>
  <c r="D3561" i="106" s="1"/>
  <c r="B3056" i="106"/>
  <c r="D3056" i="106" s="1"/>
  <c r="B7062" i="106"/>
  <c r="D7062" i="106" s="1"/>
  <c r="B6347" i="106"/>
  <c r="D6347" i="106" s="1"/>
  <c r="B841" i="106"/>
  <c r="D841" i="106" s="1"/>
  <c r="B5726" i="106"/>
  <c r="D5726" i="106" s="1"/>
  <c r="G18" i="5"/>
  <c r="B5730" i="106" s="1"/>
  <c r="D5730" i="106" s="1"/>
  <c r="B7170" i="106"/>
  <c r="D7170" i="106" s="1"/>
  <c r="B6359" i="106"/>
  <c r="D6359" i="106" s="1"/>
  <c r="B6685" i="106"/>
  <c r="D6685" i="106" s="1"/>
  <c r="B4118" i="106"/>
  <c r="D4118" i="106" s="1"/>
  <c r="H18" i="4"/>
  <c r="B4134" i="106" s="1"/>
  <c r="D4134" i="106" s="1"/>
  <c r="B6187" i="106"/>
  <c r="D6187" i="106" s="1"/>
  <c r="B5104" i="106"/>
  <c r="D5104" i="106" s="1"/>
  <c r="B5578" i="106"/>
  <c r="D5578" i="106" s="1"/>
  <c r="F27" i="34"/>
  <c r="B6975" i="106"/>
  <c r="D6975" i="106" s="1"/>
  <c r="B6793" i="106"/>
  <c r="D6793" i="106" s="1"/>
  <c r="F153" i="34"/>
  <c r="B3372" i="106"/>
  <c r="D3372" i="106" s="1"/>
  <c r="B925" i="106"/>
  <c r="D925" i="106" s="1"/>
  <c r="B5097" i="106"/>
  <c r="D5097" i="106" s="1"/>
  <c r="C82" i="5"/>
  <c r="B166" i="106"/>
  <c r="D166" i="106" s="1"/>
  <c r="B6928" i="106"/>
  <c r="D6928" i="106" s="1"/>
  <c r="B7233" i="106"/>
  <c r="D7233" i="106" s="1"/>
  <c r="B6637" i="106"/>
  <c r="D6637" i="106" s="1"/>
  <c r="B6743" i="106"/>
  <c r="D6743" i="106" s="1"/>
  <c r="B7687" i="106"/>
  <c r="D7687" i="106" s="1"/>
  <c r="K107" i="29"/>
  <c r="B2795" i="106" s="1"/>
  <c r="D2795" i="106" s="1"/>
  <c r="B2791" i="106"/>
  <c r="D2791" i="106" s="1"/>
  <c r="C184" i="29"/>
  <c r="B4081" i="106"/>
  <c r="D4081" i="106" s="1"/>
  <c r="K180" i="29"/>
  <c r="B6253" i="106"/>
  <c r="D6253" i="106" s="1"/>
  <c r="B3533" i="106"/>
  <c r="D3533" i="106" s="1"/>
  <c r="B2960" i="106"/>
  <c r="D2960" i="106" s="1"/>
  <c r="B742" i="106"/>
  <c r="D742" i="106" s="1"/>
  <c r="K63" i="29"/>
  <c r="B6849" i="106"/>
  <c r="D6849" i="106" s="1"/>
  <c r="B6247" i="106"/>
  <c r="D6247" i="106" s="1"/>
  <c r="K52" i="4"/>
  <c r="B3702" i="106" s="1"/>
  <c r="D3702" i="106" s="1"/>
  <c r="B3698" i="106"/>
  <c r="D3698" i="106" s="1"/>
  <c r="L330" i="29"/>
  <c r="B6001" i="106"/>
  <c r="D6001" i="106" s="1"/>
  <c r="B910" i="106"/>
  <c r="D910" i="106" s="1"/>
  <c r="B4351" i="106"/>
  <c r="D4351" i="106" s="1"/>
  <c r="F110" i="34"/>
  <c r="B7845" i="106" s="1"/>
  <c r="D7845" i="106" s="1"/>
  <c r="B2996" i="106"/>
  <c r="D2996" i="106" s="1"/>
  <c r="B995" i="106"/>
  <c r="D995" i="106" s="1"/>
  <c r="H33" i="29"/>
  <c r="B1010" i="106" s="1"/>
  <c r="D1010" i="106" s="1"/>
  <c r="B4382" i="106"/>
  <c r="D4382" i="106" s="1"/>
  <c r="B896" i="106"/>
  <c r="D896" i="106" s="1"/>
  <c r="B1014" i="106"/>
  <c r="D1014" i="106" s="1"/>
  <c r="B1252" i="106"/>
  <c r="D1252" i="106" s="1"/>
  <c r="B6865" i="106"/>
  <c r="D6865" i="106" s="1"/>
  <c r="B6337" i="106"/>
  <c r="D6337" i="106" s="1"/>
  <c r="J57" i="29"/>
  <c r="B6949" i="106" s="1"/>
  <c r="D6949" i="106" s="1"/>
  <c r="B6945" i="106"/>
  <c r="D6945" i="106" s="1"/>
  <c r="B7079" i="106"/>
  <c r="D7079" i="106" s="1"/>
  <c r="K226" i="29"/>
  <c r="B7080" i="106" s="1"/>
  <c r="D7080" i="106" s="1"/>
  <c r="K264" i="29"/>
  <c r="B1493" i="106" s="1"/>
  <c r="D1493" i="106" s="1"/>
  <c r="B1429" i="106"/>
  <c r="D1429" i="106" s="1"/>
  <c r="B5393" i="106"/>
  <c r="D5393" i="106" s="1"/>
  <c r="K259" i="29"/>
  <c r="D261" i="29"/>
  <c r="B1427" i="106" s="1"/>
  <c r="D1427" i="106" s="1"/>
  <c r="B1425" i="106"/>
  <c r="D1425" i="106" s="1"/>
  <c r="B6317" i="106"/>
  <c r="D6317" i="106" s="1"/>
  <c r="B5432" i="106"/>
  <c r="D5432" i="106" s="1"/>
  <c r="B6129" i="106"/>
  <c r="D6129" i="106" s="1"/>
  <c r="G34" i="3"/>
  <c r="B188" i="106" s="1"/>
  <c r="D188" i="106" s="1"/>
  <c r="B2993" i="106"/>
  <c r="D2993" i="106" s="1"/>
  <c r="K192" i="29"/>
  <c r="B3011" i="106" s="1"/>
  <c r="D3011" i="106" s="1"/>
  <c r="B5164" i="106"/>
  <c r="D5164" i="106" s="1"/>
  <c r="B6408" i="106"/>
  <c r="D6408" i="106" s="1"/>
  <c r="K266" i="29"/>
  <c r="B1495" i="106" s="1"/>
  <c r="D1495" i="106" s="1"/>
  <c r="B1431" i="106"/>
  <c r="D1431" i="106" s="1"/>
  <c r="B7257" i="106"/>
  <c r="D7257" i="106" s="1"/>
  <c r="K11" i="29"/>
  <c r="B1357" i="106"/>
  <c r="D1357" i="106" s="1"/>
  <c r="I175" i="5"/>
  <c r="B4366" i="106"/>
  <c r="D4366" i="106" s="1"/>
  <c r="B4864" i="106"/>
  <c r="D4864" i="106" s="1"/>
  <c r="B4948" i="106"/>
  <c r="D4948" i="106" s="1"/>
  <c r="B6299" i="106"/>
  <c r="D6299" i="106" s="1"/>
  <c r="B6959" i="106"/>
  <c r="D6959" i="106" s="1"/>
  <c r="B4944" i="106"/>
  <c r="D4944" i="106" s="1"/>
  <c r="B6738" i="106"/>
  <c r="D6738" i="106" s="1"/>
  <c r="B6331" i="106"/>
  <c r="D6331" i="106" s="1"/>
  <c r="B1033" i="106"/>
  <c r="D1033" i="106" s="1"/>
  <c r="B5070" i="106"/>
  <c r="D5070" i="106" s="1"/>
  <c r="B2766" i="106"/>
  <c r="D2766" i="106" s="1"/>
  <c r="K88" i="29"/>
  <c r="B6988" i="106" s="1"/>
  <c r="D6988" i="106" s="1"/>
  <c r="B6987" i="106"/>
  <c r="D6987" i="106" s="1"/>
  <c r="B3648" i="106"/>
  <c r="D3648" i="106" s="1"/>
  <c r="B6241" i="106"/>
  <c r="D6241" i="106" s="1"/>
  <c r="B7131" i="106"/>
  <c r="D7131" i="106" s="1"/>
  <c r="B652" i="106"/>
  <c r="D652" i="106" s="1"/>
  <c r="B1022" i="106"/>
  <c r="D1022" i="106" s="1"/>
  <c r="H53" i="29"/>
  <c r="B1024" i="106" s="1"/>
  <c r="D1024" i="106" s="1"/>
  <c r="L184" i="29"/>
  <c r="B6657" i="106"/>
  <c r="D6657" i="106" s="1"/>
  <c r="B7253" i="106"/>
  <c r="D7253" i="106" s="1"/>
  <c r="B6719" i="106"/>
  <c r="D6719" i="106" s="1"/>
  <c r="B7132" i="106"/>
  <c r="D7132" i="106" s="1"/>
  <c r="B4917" i="106"/>
  <c r="D4917" i="106" s="1"/>
  <c r="B5401" i="106"/>
  <c r="D5401" i="106" s="1"/>
  <c r="B6800" i="106"/>
  <c r="D6800" i="106" s="1"/>
  <c r="B968" i="106"/>
  <c r="D968" i="106" s="1"/>
  <c r="B6972" i="106"/>
  <c r="D6972" i="106" s="1"/>
  <c r="B5344" i="106"/>
  <c r="D5344" i="106" s="1"/>
  <c r="B2807" i="106"/>
  <c r="D2807" i="106" s="1"/>
  <c r="K144" i="29"/>
  <c r="B2810" i="106" s="1"/>
  <c r="D2810" i="106" s="1"/>
  <c r="B6906" i="106"/>
  <c r="D6906" i="106" s="1"/>
  <c r="F129" i="34"/>
  <c r="B7861" i="106" s="1"/>
  <c r="D7861" i="106" s="1"/>
  <c r="B5278" i="106"/>
  <c r="D5278" i="106" s="1"/>
  <c r="B5079" i="106"/>
  <c r="D5079" i="106" s="1"/>
  <c r="B7810" i="106"/>
  <c r="D7810" i="106" s="1"/>
  <c r="B6323" i="106"/>
  <c r="D6323" i="106" s="1"/>
  <c r="B6832" i="106"/>
  <c r="D6832" i="106" s="1"/>
  <c r="B1237" i="106"/>
  <c r="D1237" i="106" s="1"/>
  <c r="B6344" i="106"/>
  <c r="D6344" i="106" s="1"/>
  <c r="B6762" i="106"/>
  <c r="D6762" i="106" s="1"/>
  <c r="B1313" i="106"/>
  <c r="D1313" i="106" s="1"/>
  <c r="K167" i="29"/>
  <c r="B1327" i="106" s="1"/>
  <c r="D1327" i="106" s="1"/>
  <c r="C47" i="29"/>
  <c r="B731" i="106" s="1"/>
  <c r="D731" i="106" s="1"/>
  <c r="B728" i="106"/>
  <c r="D728" i="106" s="1"/>
  <c r="K44" i="29"/>
  <c r="B6710" i="106"/>
  <c r="D6710" i="106" s="1"/>
  <c r="L261" i="29"/>
  <c r="B4394" i="106"/>
  <c r="D4394" i="106" s="1"/>
  <c r="B4808" i="106"/>
  <c r="D4808" i="106" s="1"/>
  <c r="B5330" i="106"/>
  <c r="D5330" i="106" s="1"/>
  <c r="B1049" i="106"/>
  <c r="D1049" i="106" s="1"/>
  <c r="K106" i="29"/>
  <c r="B1147" i="106" s="1"/>
  <c r="D1147" i="106" s="1"/>
  <c r="B958" i="106"/>
  <c r="D958" i="106" s="1"/>
  <c r="B7807" i="106"/>
  <c r="D7807" i="106" s="1"/>
  <c r="B3639" i="106"/>
  <c r="D3639" i="106" s="1"/>
  <c r="B3376" i="106"/>
  <c r="D3376" i="106" s="1"/>
  <c r="B5799" i="106"/>
  <c r="D5799" i="106" s="1"/>
  <c r="G209" i="5"/>
  <c r="B4414" i="106" s="1"/>
  <c r="D4414" i="106" s="1"/>
  <c r="B6967" i="106"/>
  <c r="D6967" i="106" s="1"/>
  <c r="B1019" i="106"/>
  <c r="D1019" i="106" s="1"/>
  <c r="B6790" i="106"/>
  <c r="D6790" i="106" s="1"/>
  <c r="B6750" i="106"/>
  <c r="D6750" i="106" s="1"/>
  <c r="B5139" i="106"/>
  <c r="D5139" i="106" s="1"/>
  <c r="B4217" i="106"/>
  <c r="D4217" i="106" s="1"/>
  <c r="B806" i="106"/>
  <c r="D806" i="106" s="1"/>
  <c r="K95" i="29"/>
  <c r="B7001" i="106" s="1"/>
  <c r="D7001" i="106" s="1"/>
  <c r="B7000" i="106"/>
  <c r="D7000" i="106" s="1"/>
  <c r="B6188" i="106"/>
  <c r="D6188" i="106" s="1"/>
  <c r="B6392" i="106"/>
  <c r="D6392" i="106" s="1"/>
  <c r="B6342" i="106"/>
  <c r="D6342" i="106" s="1"/>
  <c r="B5823" i="106"/>
  <c r="D5823" i="106" s="1"/>
  <c r="B833" i="106"/>
  <c r="D833" i="106" s="1"/>
  <c r="K78" i="29"/>
  <c r="E84" i="29"/>
  <c r="B2949" i="106"/>
  <c r="D2949" i="106" s="1"/>
  <c r="B6334" i="106"/>
  <c r="D6334" i="106" s="1"/>
  <c r="B5395" i="106"/>
  <c r="D5395" i="106" s="1"/>
  <c r="B6177" i="106"/>
  <c r="D6177" i="106" s="1"/>
  <c r="B6754" i="106"/>
  <c r="D6754" i="106" s="1"/>
  <c r="B856" i="106"/>
  <c r="D856" i="106" s="1"/>
  <c r="B3634" i="106"/>
  <c r="D3634" i="106" s="1"/>
  <c r="B6955" i="106"/>
  <c r="D6955" i="106" s="1"/>
  <c r="I169" i="5"/>
  <c r="B4363" i="106" s="1"/>
  <c r="D4363" i="106" s="1"/>
  <c r="B6372" i="106"/>
  <c r="D6372" i="106" s="1"/>
  <c r="B6234" i="106"/>
  <c r="D6234" i="106" s="1"/>
  <c r="B4311" i="106"/>
  <c r="D4311" i="106" s="1"/>
  <c r="B978" i="106"/>
  <c r="D978" i="106" s="1"/>
  <c r="G72" i="29"/>
  <c r="B985" i="106" s="1"/>
  <c r="D985" i="106" s="1"/>
  <c r="F135" i="34"/>
  <c r="B6626" i="106"/>
  <c r="D6626" i="106" s="1"/>
  <c r="B6089" i="106"/>
  <c r="D6089" i="106" s="1"/>
  <c r="B1354" i="106"/>
  <c r="D1354" i="106" s="1"/>
  <c r="B5171" i="106"/>
  <c r="D5171" i="106" s="1"/>
  <c r="B7138" i="106"/>
  <c r="D7138" i="106" s="1"/>
  <c r="B4410" i="106"/>
  <c r="D4410" i="106" s="1"/>
  <c r="B5462" i="106"/>
  <c r="D5462" i="106" s="1"/>
  <c r="L243" i="29"/>
  <c r="H41" i="4"/>
  <c r="B6289" i="106" s="1"/>
  <c r="D6289" i="106" s="1"/>
  <c r="B6250" i="106"/>
  <c r="D6250" i="106" s="1"/>
  <c r="B7169" i="106"/>
  <c r="D7169" i="106" s="1"/>
  <c r="B7028" i="106"/>
  <c r="D7028" i="106" s="1"/>
  <c r="B6956" i="106"/>
  <c r="D6956" i="106" s="1"/>
  <c r="B788" i="106"/>
  <c r="D788" i="106" s="1"/>
  <c r="B2802" i="106"/>
  <c r="D2802" i="106" s="1"/>
  <c r="B6931" i="106"/>
  <c r="D6931" i="106" s="1"/>
  <c r="B3082" i="106"/>
  <c r="D3082" i="106" s="1"/>
  <c r="B7177" i="106"/>
  <c r="D7177" i="106" s="1"/>
  <c r="B3641" i="106"/>
  <c r="D3641" i="106" s="1"/>
  <c r="F155" i="5"/>
  <c r="B5618" i="106" s="1"/>
  <c r="D5618" i="106" s="1"/>
  <c r="B5615" i="106"/>
  <c r="D5615" i="106" s="1"/>
  <c r="B971" i="106"/>
  <c r="D971" i="106" s="1"/>
  <c r="K20" i="29"/>
  <c r="B6876" i="106"/>
  <c r="D6876" i="106" s="1"/>
  <c r="B5091" i="106"/>
  <c r="D5091" i="106" s="1"/>
  <c r="C75" i="5"/>
  <c r="B4922" i="106"/>
  <c r="D4922" i="106" s="1"/>
  <c r="B6923" i="106"/>
  <c r="D6923" i="106" s="1"/>
  <c r="K7" i="29"/>
  <c r="B6727" i="106"/>
  <c r="D6727" i="106" s="1"/>
  <c r="B208" i="106"/>
  <c r="D208" i="106" s="1"/>
  <c r="B1360" i="106"/>
  <c r="D1360" i="106" s="1"/>
  <c r="B741" i="106"/>
  <c r="D741" i="106" s="1"/>
  <c r="K62" i="29"/>
  <c r="B4359" i="106"/>
  <c r="D4359" i="106" s="1"/>
  <c r="B5519" i="106"/>
  <c r="D5519" i="106" s="1"/>
  <c r="E67" i="5"/>
  <c r="B5521" i="106" s="1"/>
  <c r="D5521" i="106" s="1"/>
  <c r="E18" i="4"/>
  <c r="B4175" i="106" s="1"/>
  <c r="D4175" i="106" s="1"/>
  <c r="B4115" i="106"/>
  <c r="D4115" i="106" s="1"/>
  <c r="B956" i="106"/>
  <c r="D956" i="106" s="1"/>
  <c r="B6627" i="106"/>
  <c r="D6627" i="106" s="1"/>
  <c r="B4321" i="106"/>
  <c r="D4321" i="106" s="1"/>
  <c r="B6708" i="106"/>
  <c r="D6708" i="106" s="1"/>
  <c r="B6082" i="106"/>
  <c r="D6082" i="106" s="1"/>
  <c r="B5463" i="106"/>
  <c r="D5463" i="106" s="1"/>
  <c r="B6922" i="106"/>
  <c r="D6922" i="106" s="1"/>
  <c r="B6254" i="106"/>
  <c r="D6254" i="106" s="1"/>
  <c r="B6706" i="106"/>
  <c r="D6706" i="106" s="1"/>
  <c r="B6673" i="106"/>
  <c r="D6673" i="106" s="1"/>
  <c r="B746" i="106"/>
  <c r="D746" i="106" s="1"/>
  <c r="K67" i="29"/>
  <c r="C72" i="29"/>
  <c r="B753" i="106" s="1"/>
  <c r="D753" i="106" s="1"/>
  <c r="F160" i="34"/>
  <c r="B7867" i="106" s="1"/>
  <c r="D7867" i="106" s="1"/>
  <c r="B7765" i="106"/>
  <c r="D7765" i="106" s="1"/>
  <c r="B7656" i="106"/>
  <c r="D7656" i="106" s="1"/>
  <c r="B4949" i="106"/>
  <c r="D4949" i="106" s="1"/>
  <c r="B1269" i="106"/>
  <c r="D1269" i="106" s="1"/>
  <c r="K143" i="29"/>
  <c r="B1284" i="106" s="1"/>
  <c r="D1284" i="106" s="1"/>
  <c r="B6092" i="106"/>
  <c r="D6092" i="106" s="1"/>
  <c r="B4346" i="106"/>
  <c r="D4346" i="106" s="1"/>
  <c r="B4200" i="106"/>
  <c r="D4200" i="106" s="1"/>
  <c r="K135" i="29"/>
  <c r="B2987" i="106" s="1"/>
  <c r="D2987" i="106" s="1"/>
  <c r="C175" i="5"/>
  <c r="B5225" i="106" s="1"/>
  <c r="D5225" i="106" s="1"/>
  <c r="B5224" i="106"/>
  <c r="D5224" i="106" s="1"/>
  <c r="B6378" i="106"/>
  <c r="D6378" i="106" s="1"/>
  <c r="B1244" i="106"/>
  <c r="D1244" i="106" s="1"/>
  <c r="B5105" i="106"/>
  <c r="D5105" i="106" s="1"/>
  <c r="C155" i="5"/>
  <c r="B5175" i="106"/>
  <c r="D5175" i="106" s="1"/>
  <c r="B6778" i="106"/>
  <c r="D6778" i="106" s="1"/>
  <c r="B5068" i="106"/>
  <c r="D5068" i="106" s="1"/>
  <c r="B717" i="106"/>
  <c r="D717" i="106" s="1"/>
  <c r="K13" i="29"/>
  <c r="B1105" i="106" s="1"/>
  <c r="D1105" i="106" s="1"/>
  <c r="B6621" i="106"/>
  <c r="D6621" i="106" s="1"/>
  <c r="K252" i="5"/>
  <c r="B6136" i="106"/>
  <c r="D6136" i="106" s="1"/>
  <c r="B7811" i="106"/>
  <c r="D7811" i="106" s="1"/>
  <c r="K220" i="29"/>
  <c r="B7078" i="106" s="1"/>
  <c r="D7078" i="106" s="1"/>
  <c r="B7077" i="106"/>
  <c r="D7077" i="106" s="1"/>
  <c r="L204" i="29"/>
  <c r="L208" i="29" s="1"/>
  <c r="D34" i="3"/>
  <c r="B122" i="106" s="1"/>
  <c r="D122" i="106" s="1"/>
  <c r="B6126" i="106"/>
  <c r="D6126" i="106" s="1"/>
  <c r="B5555" i="106"/>
  <c r="D5555" i="106" s="1"/>
  <c r="G53" i="29"/>
  <c r="B966" i="106" s="1"/>
  <c r="D966" i="106" s="1"/>
  <c r="B964" i="106"/>
  <c r="D964" i="106" s="1"/>
  <c r="B6908" i="106"/>
  <c r="D6908" i="106" s="1"/>
  <c r="B7267" i="106"/>
  <c r="B3161" i="106"/>
  <c r="D3161" i="106" s="1"/>
  <c r="H51" i="4"/>
  <c r="B3170" i="106" s="1"/>
  <c r="D3170" i="106" s="1"/>
  <c r="B6138" i="106"/>
  <c r="D6138" i="106" s="1"/>
  <c r="B7882" i="106"/>
  <c r="D7882" i="106" s="1"/>
  <c r="H122" i="5"/>
  <c r="K254" i="29"/>
  <c r="B7094" i="106" s="1"/>
  <c r="D7094" i="106" s="1"/>
  <c r="B7093" i="106"/>
  <c r="D7093" i="106" s="1"/>
  <c r="B4361" i="106"/>
  <c r="D4361" i="106" s="1"/>
  <c r="L229" i="29"/>
  <c r="B1031" i="106"/>
  <c r="D1031" i="106" s="1"/>
  <c r="B6107" i="106"/>
  <c r="D6107" i="106" s="1"/>
  <c r="B7669" i="106"/>
  <c r="D7669" i="106" s="1"/>
  <c r="K73" i="29"/>
  <c r="B754" i="106"/>
  <c r="D754" i="106" s="1"/>
  <c r="K323" i="29"/>
  <c r="B7162" i="106" s="1"/>
  <c r="D7162" i="106" s="1"/>
  <c r="B7154" i="106"/>
  <c r="D7154" i="106" s="1"/>
  <c r="B857" i="106"/>
  <c r="D857" i="106" s="1"/>
  <c r="B2758" i="106"/>
  <c r="D2758" i="106" s="1"/>
  <c r="B4360" i="106"/>
  <c r="D4360" i="106" s="1"/>
  <c r="B6936" i="106"/>
  <c r="D6936" i="106" s="1"/>
  <c r="B897" i="106"/>
  <c r="D897" i="106" s="1"/>
  <c r="B6149" i="106"/>
  <c r="D6149" i="106" s="1"/>
  <c r="B5560" i="106"/>
  <c r="D5560" i="106" s="1"/>
  <c r="B6829" i="106"/>
  <c r="D6829" i="106" s="1"/>
  <c r="B6724" i="106"/>
  <c r="D6724" i="106" s="1"/>
  <c r="B6395" i="106"/>
  <c r="D6395" i="106" s="1"/>
  <c r="B5073" i="106"/>
  <c r="D5073" i="106" s="1"/>
  <c r="B7707" i="106"/>
  <c r="D7707" i="106" s="1"/>
  <c r="L293" i="29"/>
  <c r="B2979" i="106"/>
  <c r="D2979" i="106" s="1"/>
  <c r="B6296" i="106"/>
  <c r="D6296" i="106" s="1"/>
  <c r="B1028" i="106"/>
  <c r="D1028" i="106" s="1"/>
  <c r="H65" i="29"/>
  <c r="B1035" i="106" s="1"/>
  <c r="D1035" i="106" s="1"/>
  <c r="K85" i="29"/>
  <c r="B6982" i="106" s="1"/>
  <c r="D6982" i="106" s="1"/>
  <c r="H92" i="29"/>
  <c r="K92" i="29" s="1"/>
  <c r="B2089" i="106" s="1"/>
  <c r="D2089" i="106" s="1"/>
  <c r="B6981" i="106"/>
  <c r="D6981" i="106" s="1"/>
  <c r="B6373" i="106"/>
  <c r="D6373" i="106" s="1"/>
  <c r="J169" i="5"/>
  <c r="B6396" i="106" s="1"/>
  <c r="D6396" i="106" s="1"/>
  <c r="B6728" i="106"/>
  <c r="D6728" i="106" s="1"/>
  <c r="K165" i="29"/>
  <c r="B2818" i="106" s="1"/>
  <c r="D2818" i="106" s="1"/>
  <c r="B2812" i="106"/>
  <c r="D2812" i="106" s="1"/>
  <c r="B7684" i="106"/>
  <c r="D7684" i="106" s="1"/>
  <c r="B7653" i="106"/>
  <c r="D7653" i="106" s="1"/>
  <c r="B6862" i="106"/>
  <c r="D6862" i="106" s="1"/>
  <c r="B7025" i="106"/>
  <c r="D7025" i="106" s="1"/>
  <c r="J127" i="29"/>
  <c r="B7034" i="106" s="1"/>
  <c r="D7034" i="106" s="1"/>
  <c r="B1546" i="106"/>
  <c r="D1546" i="106" s="1"/>
  <c r="B6655" i="106"/>
  <c r="D6655" i="106" s="1"/>
  <c r="B6340" i="106"/>
  <c r="D6340" i="106" s="1"/>
  <c r="K237" i="29"/>
  <c r="B1480" i="106" s="1"/>
  <c r="D1480" i="106" s="1"/>
  <c r="B1416" i="106"/>
  <c r="D1416" i="106" s="1"/>
  <c r="B6178" i="106"/>
  <c r="D6178" i="106" s="1"/>
  <c r="B6292" i="106"/>
  <c r="D6292" i="106" s="1"/>
  <c r="B6861" i="106"/>
  <c r="D6861" i="106" s="1"/>
  <c r="B1413" i="106"/>
  <c r="D1413" i="106" s="1"/>
  <c r="K234" i="29"/>
  <c r="B1477" i="106" s="1"/>
  <c r="D1477" i="106" s="1"/>
  <c r="B18" i="7"/>
  <c r="B5065" i="106"/>
  <c r="D5065" i="106" s="1"/>
  <c r="D76" i="4"/>
  <c r="B3237" i="106" s="1"/>
  <c r="D3237" i="106" s="1"/>
  <c r="B5023" i="106"/>
  <c r="D5023" i="106" s="1"/>
  <c r="B2769" i="106"/>
  <c r="D2769" i="106" s="1"/>
  <c r="B805" i="106"/>
  <c r="D805" i="106" s="1"/>
  <c r="B5134" i="106"/>
  <c r="D5134" i="106" s="1"/>
  <c r="B4369" i="106"/>
  <c r="D4369" i="106" s="1"/>
  <c r="B2887" i="106"/>
  <c r="D2887" i="106" s="1"/>
  <c r="D221" i="5"/>
  <c r="B5488" i="106" s="1"/>
  <c r="D5488" i="106" s="1"/>
  <c r="B5485" i="106"/>
  <c r="D5485" i="106" s="1"/>
  <c r="B6152" i="106"/>
  <c r="D6152" i="106" s="1"/>
  <c r="B7675" i="106"/>
  <c r="D7675" i="106" s="1"/>
  <c r="B839" i="106"/>
  <c r="D839" i="106" s="1"/>
  <c r="B6976" i="106"/>
  <c r="D6976" i="106" s="1"/>
  <c r="B6405" i="106"/>
  <c r="D6405" i="106" s="1"/>
  <c r="B1232" i="106"/>
  <c r="D1232" i="106" s="1"/>
  <c r="B156" i="106"/>
  <c r="D156" i="106" s="1"/>
  <c r="D71" i="36"/>
  <c r="B5012" i="106"/>
  <c r="D5012" i="106" s="1"/>
  <c r="B6237" i="106"/>
  <c r="D6237" i="106" s="1"/>
  <c r="B6804" i="106"/>
  <c r="D6804" i="106" s="1"/>
  <c r="B6150" i="106"/>
  <c r="D6150" i="106" s="1"/>
  <c r="B7075" i="106"/>
  <c r="D7075" i="106" s="1"/>
  <c r="K218" i="29"/>
  <c r="K98" i="29"/>
  <c r="B7007" i="106" s="1"/>
  <c r="D7007" i="106" s="1"/>
  <c r="B7006" i="106"/>
  <c r="D7006" i="106" s="1"/>
  <c r="B6242" i="106"/>
  <c r="D6242" i="106" s="1"/>
  <c r="B6979" i="106"/>
  <c r="D6979" i="106" s="1"/>
  <c r="B2801" i="106"/>
  <c r="D2801" i="106" s="1"/>
  <c r="B6165" i="106"/>
  <c r="D6165" i="106" s="1"/>
  <c r="B6822" i="106"/>
  <c r="D6822" i="106" s="1"/>
  <c r="B6350" i="106"/>
  <c r="D6350" i="106" s="1"/>
  <c r="B1007" i="106"/>
  <c r="D1007" i="106" s="1"/>
  <c r="B6320" i="106"/>
  <c r="D6320" i="106" s="1"/>
  <c r="B6232" i="106"/>
  <c r="D6232" i="106" s="1"/>
  <c r="I57" i="29"/>
  <c r="B6948" i="106" s="1"/>
  <c r="D6948" i="106" s="1"/>
  <c r="B6944" i="106"/>
  <c r="D6944" i="106" s="1"/>
  <c r="B5337" i="106"/>
  <c r="D5337" i="106" s="1"/>
  <c r="B1041" i="106"/>
  <c r="D1041" i="106" s="1"/>
  <c r="B5241" i="106"/>
  <c r="D5241" i="106" s="1"/>
  <c r="B7666" i="106"/>
  <c r="D7666" i="106" s="1"/>
  <c r="B1350" i="106"/>
  <c r="D1350" i="106" s="1"/>
  <c r="B6095" i="106"/>
  <c r="D6095" i="106" s="1"/>
  <c r="B6914" i="106"/>
  <c r="D6914" i="106" s="1"/>
  <c r="B6000" i="106"/>
  <c r="D6000" i="106" s="1"/>
  <c r="K122" i="5"/>
  <c r="B5791" i="106"/>
  <c r="D5791" i="106" s="1"/>
  <c r="B6309" i="106"/>
  <c r="D6309" i="106" s="1"/>
  <c r="B6702" i="106"/>
  <c r="D6702" i="106" s="1"/>
  <c r="B5729" i="106"/>
  <c r="D5729" i="106" s="1"/>
  <c r="B3577" i="106"/>
  <c r="D3577" i="106" s="1"/>
  <c r="B6733" i="106"/>
  <c r="D6733" i="106" s="1"/>
  <c r="K23" i="29"/>
  <c r="B6882" i="106"/>
  <c r="D6882" i="106" s="1"/>
  <c r="K349" i="29"/>
  <c r="B3669" i="106" s="1"/>
  <c r="D3669" i="106" s="1"/>
  <c r="B3618" i="106"/>
  <c r="D3618" i="106" s="1"/>
  <c r="H175" i="5"/>
  <c r="B4950" i="106" s="1"/>
  <c r="D4950" i="106" s="1"/>
  <c r="B4365" i="106"/>
  <c r="D4365" i="106" s="1"/>
  <c r="B6686" i="106"/>
  <c r="D6686" i="106" s="1"/>
  <c r="B2998" i="106"/>
  <c r="D2998" i="106" s="1"/>
  <c r="B7246" i="106"/>
  <c r="D7246" i="106" s="1"/>
  <c r="B5089" i="106"/>
  <c r="D5089" i="106" s="1"/>
  <c r="C67" i="5"/>
  <c r="B5090" i="106" s="1"/>
  <c r="D5090" i="106" s="1"/>
  <c r="B7026" i="106"/>
  <c r="D7026" i="106" s="1"/>
  <c r="B6664" i="106"/>
  <c r="D6664" i="106" s="1"/>
  <c r="B4339" i="106"/>
  <c r="D4339" i="106" s="1"/>
  <c r="B6115" i="106"/>
  <c r="D6115" i="106" s="1"/>
  <c r="B179" i="106"/>
  <c r="D179" i="106" s="1"/>
  <c r="K363" i="29"/>
  <c r="B7241" i="106" s="1"/>
  <c r="D7241" i="106" s="1"/>
  <c r="B7240" i="106"/>
  <c r="D7240" i="106" s="1"/>
  <c r="K82" i="29"/>
  <c r="B2977" i="106" s="1"/>
  <c r="D2977" i="106" s="1"/>
  <c r="B2953" i="106"/>
  <c r="D2953" i="106" s="1"/>
  <c r="B5464" i="106"/>
  <c r="D5464" i="106" s="1"/>
  <c r="B870" i="106"/>
  <c r="D870" i="106" s="1"/>
  <c r="B6135" i="106"/>
  <c r="D6135" i="106" s="1"/>
  <c r="B4876" i="106"/>
  <c r="D4876" i="106" s="1"/>
  <c r="B800" i="106"/>
  <c r="D800" i="106" s="1"/>
  <c r="B7885" i="106"/>
  <c r="D7885" i="106" s="1"/>
  <c r="K326" i="29"/>
  <c r="E64" i="184" s="1"/>
  <c r="N64" i="184" s="1"/>
  <c r="B7181" i="106"/>
  <c r="D7181" i="106" s="1"/>
  <c r="K109" i="29"/>
  <c r="B1149" i="106" s="1"/>
  <c r="D1149" i="106" s="1"/>
  <c r="B1051" i="106"/>
  <c r="D1051" i="106" s="1"/>
  <c r="B949" i="106"/>
  <c r="D949" i="106" s="1"/>
  <c r="B4362" i="106"/>
  <c r="D4362" i="106" s="1"/>
  <c r="F170" i="34"/>
  <c r="B7875" i="106" s="1"/>
  <c r="D7875" i="106" s="1"/>
  <c r="D17" i="171"/>
  <c r="B7229" i="106"/>
  <c r="D7229" i="106" s="1"/>
  <c r="F303" i="29"/>
  <c r="B1537" i="106"/>
  <c r="D1537" i="106" s="1"/>
  <c r="B6399" i="106"/>
  <c r="D6399" i="106" s="1"/>
  <c r="B5755" i="106"/>
  <c r="D5755" i="106" s="1"/>
  <c r="B7113" i="106"/>
  <c r="D7113" i="106" s="1"/>
  <c r="B2840" i="106"/>
  <c r="D2840" i="106" s="1"/>
  <c r="B7651" i="106"/>
  <c r="D7651" i="106" s="1"/>
  <c r="B6806" i="106"/>
  <c r="D6806" i="106" s="1"/>
  <c r="B72" i="106"/>
  <c r="D72" i="106" s="1"/>
  <c r="K46" i="29"/>
  <c r="B1118" i="106" s="1"/>
  <c r="D1118" i="106" s="1"/>
  <c r="B730" i="106"/>
  <c r="D730" i="106" s="1"/>
  <c r="B7040" i="106"/>
  <c r="D7040" i="106" s="1"/>
  <c r="K256" i="29"/>
  <c r="B7098" i="106" s="1"/>
  <c r="D7098" i="106" s="1"/>
  <c r="B7097" i="106"/>
  <c r="D7097" i="106" s="1"/>
  <c r="B6825" i="106"/>
  <c r="D6825" i="106" s="1"/>
  <c r="F157" i="34"/>
  <c r="B7157" i="106"/>
  <c r="D7157" i="106" s="1"/>
  <c r="B6649" i="106"/>
  <c r="D6649" i="106" s="1"/>
  <c r="B3368" i="106"/>
  <c r="D3368" i="106" s="1"/>
  <c r="B1408" i="106"/>
  <c r="D1408" i="106" s="1"/>
  <c r="K223" i="29"/>
  <c r="B1472" i="106" s="1"/>
  <c r="D1472" i="106" s="1"/>
  <c r="B5821" i="106"/>
  <c r="D5821" i="106" s="1"/>
  <c r="B2723" i="106"/>
  <c r="D2723" i="106" s="1"/>
  <c r="B706" i="106"/>
  <c r="D706" i="106" s="1"/>
  <c r="K16" i="29"/>
  <c r="B1094" i="106" s="1"/>
  <c r="D1094" i="106" s="1"/>
  <c r="B6970" i="106"/>
  <c r="D6970" i="106" s="1"/>
  <c r="B2799" i="106"/>
  <c r="D2799" i="106" s="1"/>
  <c r="B4877" i="106"/>
  <c r="D4877" i="106" s="1"/>
  <c r="B6746" i="106"/>
  <c r="D6746" i="106" s="1"/>
  <c r="B7022" i="106"/>
  <c r="D7022" i="106" s="1"/>
  <c r="B6145" i="106"/>
  <c r="D6145" i="106" s="1"/>
  <c r="E350" i="29"/>
  <c r="B3631" i="106"/>
  <c r="D3631" i="106" s="1"/>
  <c r="B845" i="106"/>
  <c r="D845" i="106" s="1"/>
  <c r="K128" i="29"/>
  <c r="B1280" i="106" s="1"/>
  <c r="D1280" i="106" s="1"/>
  <c r="B1224" i="106"/>
  <c r="D1224" i="106" s="1"/>
  <c r="B6325" i="106"/>
  <c r="D6325" i="106" s="1"/>
  <c r="B6647" i="106"/>
  <c r="D6647" i="106" s="1"/>
  <c r="K148" i="29"/>
  <c r="B7050" i="106" s="1"/>
  <c r="D7050" i="106" s="1"/>
  <c r="B7049" i="106"/>
  <c r="D7049" i="106" s="1"/>
  <c r="B948" i="106"/>
  <c r="D948" i="106" s="1"/>
  <c r="B807" i="106"/>
  <c r="D807" i="106" s="1"/>
  <c r="B6255" i="106"/>
  <c r="D6255" i="106" s="1"/>
  <c r="B7785" i="106"/>
  <c r="D7785" i="106" s="1"/>
  <c r="K332" i="29"/>
  <c r="H334" i="29"/>
  <c r="B7789" i="106" s="1"/>
  <c r="D7789" i="106" s="1"/>
  <c r="B6807" i="106"/>
  <c r="D6807" i="106" s="1"/>
  <c r="B7812" i="106"/>
  <c r="D7812" i="106" s="1"/>
  <c r="B5565" i="106"/>
  <c r="D5565" i="106" s="1"/>
  <c r="F86" i="34"/>
  <c r="B3530" i="106"/>
  <c r="D3530" i="106" s="1"/>
  <c r="B7883" i="106"/>
  <c r="D7883" i="106" s="1"/>
  <c r="B4345" i="106"/>
  <c r="D4345" i="106" s="1"/>
  <c r="B5027" i="106"/>
  <c r="D5027" i="106" s="1"/>
  <c r="B108" i="106"/>
  <c r="D108" i="106" s="1"/>
  <c r="H100" i="29"/>
  <c r="B7012" i="106" s="1"/>
  <c r="D7012" i="106" s="1"/>
  <c r="K93" i="29"/>
  <c r="B6997" i="106" s="1"/>
  <c r="D6997" i="106" s="1"/>
  <c r="B6996" i="106"/>
  <c r="D6996" i="106" s="1"/>
  <c r="L194" i="29"/>
  <c r="L196" i="29" s="1"/>
  <c r="B895" i="106"/>
  <c r="D895" i="106" s="1"/>
  <c r="F42" i="29"/>
  <c r="B901" i="106" s="1"/>
  <c r="D901" i="106" s="1"/>
  <c r="B7194" i="106"/>
  <c r="D7194" i="106" s="1"/>
  <c r="B6151" i="106"/>
  <c r="D6151" i="106" s="1"/>
  <c r="B5328" i="106"/>
  <c r="D5328" i="106" s="1"/>
  <c r="D12" i="5"/>
  <c r="B5" i="7"/>
  <c r="B5358" i="106"/>
  <c r="D5358" i="106" s="1"/>
  <c r="B1338" i="106"/>
  <c r="D1338" i="106" s="1"/>
  <c r="K183" i="29"/>
  <c r="B1380" i="106" s="1"/>
  <c r="D1380" i="106" s="1"/>
  <c r="B712" i="106"/>
  <c r="D712" i="106" s="1"/>
  <c r="K18" i="29"/>
  <c r="B1100" i="106" s="1"/>
  <c r="D1100" i="106" s="1"/>
  <c r="B5095" i="106"/>
  <c r="D5095" i="106" s="1"/>
  <c r="C252" i="5"/>
  <c r="B6833" i="106" s="1"/>
  <c r="D6833" i="106" s="1"/>
  <c r="B6614" i="106"/>
  <c r="D6614" i="106" s="1"/>
  <c r="B1423" i="106"/>
  <c r="D1423" i="106" s="1"/>
  <c r="K246" i="29"/>
  <c r="B1487" i="106" s="1"/>
  <c r="D1487" i="106" s="1"/>
  <c r="B5591" i="106"/>
  <c r="D5591" i="106" s="1"/>
  <c r="B6713" i="106"/>
  <c r="D6713" i="106" s="1"/>
  <c r="B6665" i="106"/>
  <c r="D6665" i="106" s="1"/>
  <c r="B4201" i="106"/>
  <c r="D4201" i="106" s="1"/>
  <c r="K136" i="29"/>
  <c r="B2988" i="106" s="1"/>
  <c r="D2988" i="106" s="1"/>
  <c r="B7187" i="106"/>
  <c r="D7187" i="106" s="1"/>
  <c r="E108" i="5"/>
  <c r="B5526" i="106" s="1"/>
  <c r="D5526" i="106" s="1"/>
  <c r="B5522" i="106"/>
  <c r="D5522" i="106" s="1"/>
  <c r="K56" i="29"/>
  <c r="B736" i="106"/>
  <c r="D736" i="106" s="1"/>
  <c r="B7268" i="106"/>
  <c r="B6676" i="106"/>
  <c r="D6676" i="106" s="1"/>
  <c r="K235" i="29"/>
  <c r="B1478" i="106" s="1"/>
  <c r="D1478" i="106" s="1"/>
  <c r="B1414" i="106"/>
  <c r="D1414" i="106" s="1"/>
  <c r="F22" i="34"/>
  <c r="B6313" i="106"/>
  <c r="D6313" i="106" s="1"/>
  <c r="B4189" i="106"/>
  <c r="D4189" i="106" s="1"/>
  <c r="F166" i="34"/>
  <c r="B7873" i="106" s="1"/>
  <c r="D7873" i="106" s="1"/>
  <c r="F111" i="34"/>
  <c r="B7846" i="106" s="1"/>
  <c r="D7846" i="106" s="1"/>
  <c r="B5168" i="106"/>
  <c r="D5168" i="106" s="1"/>
  <c r="K9" i="12"/>
  <c r="B7714" i="106" s="1"/>
  <c r="D7714" i="106" s="1"/>
  <c r="B5086" i="106"/>
  <c r="D5086" i="106" s="1"/>
  <c r="B1257" i="106"/>
  <c r="D1257" i="106" s="1"/>
  <c r="H127" i="29"/>
  <c r="B1264" i="106" s="1"/>
  <c r="D1264" i="106" s="1"/>
  <c r="B1260" i="106"/>
  <c r="D1260" i="106" s="1"/>
  <c r="B3295" i="106"/>
  <c r="D3295" i="106" s="1"/>
  <c r="B724" i="106"/>
  <c r="D724" i="106" s="1"/>
  <c r="K39" i="29"/>
  <c r="B1112" i="106" s="1"/>
  <c r="D1112" i="106" s="1"/>
  <c r="B5735" i="106"/>
  <c r="D5735" i="106" s="1"/>
  <c r="L53" i="29"/>
  <c r="B4380" i="106"/>
  <c r="D4380" i="106" s="1"/>
  <c r="B6326" i="106"/>
  <c r="D6326" i="106" s="1"/>
  <c r="L303" i="29"/>
  <c r="L312" i="29" s="1"/>
  <c r="B6867" i="106"/>
  <c r="D6867" i="106" s="1"/>
  <c r="B5524" i="106"/>
  <c r="D5524" i="106" s="1"/>
  <c r="B1315" i="106"/>
  <c r="D1315" i="106" s="1"/>
  <c r="D69" i="36"/>
  <c r="K170" i="29"/>
  <c r="B6642" i="106"/>
  <c r="D6642" i="106" s="1"/>
  <c r="F137" i="34"/>
  <c r="B6729" i="106"/>
  <c r="D6729" i="106" s="1"/>
  <c r="F146" i="34"/>
  <c r="F169" i="34"/>
  <c r="B7874" i="106" s="1"/>
  <c r="D7874" i="106" s="1"/>
  <c r="B4358" i="106"/>
  <c r="D4358" i="106" s="1"/>
  <c r="B5013" i="106"/>
  <c r="D5013" i="106" s="1"/>
  <c r="G350" i="29"/>
  <c r="B3645" i="106"/>
  <c r="D3645" i="106" s="1"/>
  <c r="B2844" i="106"/>
  <c r="D2844" i="106" s="1"/>
  <c r="K291" i="29"/>
  <c r="B2846" i="106" s="1"/>
  <c r="D2846" i="106" s="1"/>
  <c r="L57" i="29"/>
  <c r="F113" i="34"/>
  <c r="B5181" i="106"/>
  <c r="D5181" i="106" s="1"/>
  <c r="B4392" i="106"/>
  <c r="D4392" i="106" s="1"/>
  <c r="F159" i="34"/>
  <c r="B7761" i="106"/>
  <c r="D7761" i="106" s="1"/>
  <c r="D34" i="36"/>
  <c r="H24" i="118"/>
  <c r="C13" i="3"/>
  <c r="B77" i="106" s="1"/>
  <c r="D77" i="106" s="1"/>
  <c r="B3411" i="106"/>
  <c r="D3411" i="106" s="1"/>
  <c r="C34" i="3"/>
  <c r="B91" i="106" s="1"/>
  <c r="D91" i="106" s="1"/>
  <c r="B6125" i="106"/>
  <c r="D6125" i="106" s="1"/>
  <c r="B6755" i="106"/>
  <c r="D6755" i="106" s="1"/>
  <c r="B6811" i="106"/>
  <c r="D6811" i="106" s="1"/>
  <c r="B6951" i="106"/>
  <c r="D6951" i="106" s="1"/>
  <c r="J65" i="29"/>
  <c r="B6962" i="106" s="1"/>
  <c r="D6962" i="106" s="1"/>
  <c r="K164" i="29"/>
  <c r="B1325" i="106" s="1"/>
  <c r="D1325" i="106" s="1"/>
  <c r="B1311" i="106"/>
  <c r="D1311" i="106" s="1"/>
  <c r="B1426" i="106"/>
  <c r="D1426" i="106" s="1"/>
  <c r="K260" i="29"/>
  <c r="B1490" i="106" s="1"/>
  <c r="D1490" i="106" s="1"/>
  <c r="B6692" i="106"/>
  <c r="D6692" i="106" s="1"/>
  <c r="B1412" i="106"/>
  <c r="D1412" i="106" s="1"/>
  <c r="K233" i="29"/>
  <c r="B1476" i="106" s="1"/>
  <c r="D1476" i="106" s="1"/>
  <c r="B7262" i="106"/>
  <c r="B173" i="106"/>
  <c r="D173" i="106" s="1"/>
  <c r="B6679" i="106"/>
  <c r="D6679" i="106" s="1"/>
  <c r="B7248" i="106"/>
  <c r="D7248" i="106" s="1"/>
  <c r="B6827" i="106"/>
  <c r="D6827" i="106" s="1"/>
  <c r="D217" i="5"/>
  <c r="B5470" i="106" s="1"/>
  <c r="D5470" i="106" s="1"/>
  <c r="F31" i="34"/>
  <c r="B7824" i="106" s="1"/>
  <c r="B5458" i="106"/>
  <c r="D5458" i="106" s="1"/>
  <c r="B7678" i="106"/>
  <c r="D7678" i="106" s="1"/>
  <c r="B3646" i="106"/>
  <c r="D3646" i="106" s="1"/>
  <c r="D141" i="5"/>
  <c r="B5383" i="106" s="1"/>
  <c r="D5383" i="106" s="1"/>
  <c r="B5370" i="106"/>
  <c r="D5370" i="106" s="1"/>
  <c r="K236" i="29"/>
  <c r="B1479" i="106" s="1"/>
  <c r="D1479" i="106" s="1"/>
  <c r="B1415" i="106"/>
  <c r="D1415" i="106" s="1"/>
  <c r="B5570" i="106"/>
  <c r="D5570" i="106" s="1"/>
  <c r="F89" i="34"/>
  <c r="B6312" i="106"/>
  <c r="D6312" i="106" s="1"/>
  <c r="F88" i="34"/>
  <c r="L362" i="29"/>
  <c r="L365" i="29" s="1"/>
  <c r="B3253" i="106"/>
  <c r="D3253" i="106" s="1"/>
  <c r="K175" i="5"/>
  <c r="B4951" i="106" s="1"/>
  <c r="D4951" i="106" s="1"/>
  <c r="B4368" i="106"/>
  <c r="D4368" i="106" s="1"/>
  <c r="K19" i="29"/>
  <c r="B3381" i="106" s="1"/>
  <c r="D3381" i="106" s="1"/>
  <c r="B3367" i="106"/>
  <c r="D3367" i="106" s="1"/>
  <c r="B764" i="106"/>
  <c r="D764" i="106" s="1"/>
  <c r="K289" i="29"/>
  <c r="B1513" i="106" s="1"/>
  <c r="D1513" i="106" s="1"/>
  <c r="B1450" i="106"/>
  <c r="D1450" i="106" s="1"/>
  <c r="K356" i="29"/>
  <c r="B3673" i="106" s="1"/>
  <c r="D3673" i="106" s="1"/>
  <c r="B7236" i="106"/>
  <c r="D7236" i="106" s="1"/>
  <c r="B6090" i="106"/>
  <c r="D6090" i="106" s="1"/>
  <c r="B6365" i="106"/>
  <c r="D6365" i="106" s="1"/>
  <c r="B5732" i="106"/>
  <c r="D5732" i="106" s="1"/>
  <c r="B4868" i="106"/>
  <c r="D4868" i="106" s="1"/>
  <c r="B6625" i="106"/>
  <c r="D6625" i="106" s="1"/>
  <c r="B5496" i="106"/>
  <c r="D5496" i="106" s="1"/>
  <c r="B185" i="106"/>
  <c r="D185" i="106" s="1"/>
  <c r="B2994" i="106"/>
  <c r="D2994" i="106" s="1"/>
  <c r="K193" i="29"/>
  <c r="B3012" i="106" s="1"/>
  <c r="D3012" i="106" s="1"/>
  <c r="B7089" i="106"/>
  <c r="D7089" i="106" s="1"/>
  <c r="K252" i="29"/>
  <c r="B7090" i="106" s="1"/>
  <c r="D7090" i="106" s="1"/>
  <c r="B1261" i="106"/>
  <c r="D1261" i="106" s="1"/>
  <c r="G184" i="29"/>
  <c r="B4085" i="106"/>
  <c r="D4085" i="106" s="1"/>
  <c r="B5177" i="106"/>
  <c r="D5177" i="106" s="1"/>
  <c r="B1008" i="106"/>
  <c r="D1008" i="106" s="1"/>
  <c r="K268" i="29"/>
  <c r="B1497" i="106" s="1"/>
  <c r="D1497" i="106" s="1"/>
  <c r="B1433" i="106"/>
  <c r="D1433" i="106" s="1"/>
  <c r="B7258" i="106"/>
  <c r="D7258" i="106" s="1"/>
  <c r="B5779" i="106"/>
  <c r="D5779" i="106" s="1"/>
  <c r="G175" i="5"/>
  <c r="B7639" i="106"/>
  <c r="B5860" i="106"/>
  <c r="D5860" i="106" s="1"/>
  <c r="B6791" i="106"/>
  <c r="D6791" i="106" s="1"/>
  <c r="B7255" i="106"/>
  <c r="D7255" i="106" s="1"/>
  <c r="B5925" i="106"/>
  <c r="D5925" i="106" s="1"/>
  <c r="B6900" i="106"/>
  <c r="D6900" i="106" s="1"/>
  <c r="K32" i="29"/>
  <c r="B716" i="106"/>
  <c r="D716" i="106" s="1"/>
  <c r="K12" i="29"/>
  <c r="B5248" i="106"/>
  <c r="D5248" i="106" s="1"/>
  <c r="B1002" i="106"/>
  <c r="D1002" i="106" s="1"/>
  <c r="K6" i="29"/>
  <c r="B7763" i="106" s="1"/>
  <c r="D7763" i="106" s="1"/>
  <c r="B7762" i="106"/>
  <c r="D7762" i="106" s="1"/>
  <c r="B4121" i="106"/>
  <c r="D4121" i="106" s="1"/>
  <c r="K18" i="4"/>
  <c r="B4135" i="106" s="1"/>
  <c r="D4135" i="106" s="1"/>
  <c r="B7774" i="106"/>
  <c r="D7774" i="106" s="1"/>
  <c r="E137" i="29"/>
  <c r="K133" i="29"/>
  <c r="B7776" i="106" s="1"/>
  <c r="D7776" i="106" s="1"/>
  <c r="B6260" i="106"/>
  <c r="D6260" i="106" s="1"/>
  <c r="B7185" i="106"/>
  <c r="D7185" i="106" s="1"/>
  <c r="B6946" i="106"/>
  <c r="D6946" i="106" s="1"/>
  <c r="B7163" i="106"/>
  <c r="D7163" i="106" s="1"/>
  <c r="K324" i="29"/>
  <c r="J330" i="29"/>
  <c r="B7125" i="106"/>
  <c r="D7125" i="106" s="1"/>
  <c r="B5498" i="106"/>
  <c r="D5498" i="106" s="1"/>
  <c r="B6786" i="106"/>
  <c r="D6786" i="106" s="1"/>
  <c r="B3490" i="106"/>
  <c r="D3490" i="106" s="1"/>
  <c r="B835" i="106"/>
  <c r="D835" i="106" s="1"/>
  <c r="B7677" i="106"/>
  <c r="D7677" i="106" s="1"/>
  <c r="B4338" i="106"/>
  <c r="D4338" i="106" s="1"/>
  <c r="B5920" i="106"/>
  <c r="D5920" i="106" s="1"/>
  <c r="B6171" i="106"/>
  <c r="D6171" i="106" s="1"/>
  <c r="H34" i="3"/>
  <c r="B211" i="106" s="1"/>
  <c r="D211" i="106" s="1"/>
  <c r="B6130" i="106"/>
  <c r="D6130" i="106" s="1"/>
  <c r="B6704" i="106"/>
  <c r="D6704" i="106" s="1"/>
  <c r="B5101" i="106"/>
  <c r="D5101" i="106" s="1"/>
  <c r="B5749" i="106"/>
  <c r="D5749" i="106" s="1"/>
  <c r="G141" i="5"/>
  <c r="B500" i="106"/>
  <c r="D500" i="106" s="1"/>
  <c r="B5440" i="106"/>
  <c r="D5440" i="106" s="1"/>
  <c r="D209" i="5"/>
  <c r="B4412" i="106" s="1"/>
  <c r="D4412" i="106" s="1"/>
  <c r="B5083" i="106"/>
  <c r="D5083" i="106" s="1"/>
  <c r="B5740" i="106"/>
  <c r="D5740" i="106" s="1"/>
  <c r="B5312" i="106"/>
  <c r="D5312" i="106" s="1"/>
  <c r="F161" i="34"/>
  <c r="B7868" i="106" s="1"/>
  <c r="D7868" i="106" s="1"/>
  <c r="B4113" i="106"/>
  <c r="D4113" i="106" s="1"/>
  <c r="C18" i="4"/>
  <c r="B4131" i="106" s="1"/>
  <c r="D4131" i="106" s="1"/>
  <c r="D78" i="36"/>
  <c r="B748" i="106"/>
  <c r="D748" i="106" s="1"/>
  <c r="K69" i="29"/>
  <c r="B321" i="106"/>
  <c r="D321" i="106" s="1"/>
  <c r="I48" i="4"/>
  <c r="B2106" i="106" s="1"/>
  <c r="D2106" i="106" s="1"/>
  <c r="F13" i="3"/>
  <c r="B157" i="106" s="1"/>
  <c r="D157" i="106" s="1"/>
  <c r="B3419" i="106"/>
  <c r="D3419" i="106" s="1"/>
  <c r="D37" i="36"/>
  <c r="F164" i="34"/>
  <c r="B7871" i="106" s="1"/>
  <c r="D7871" i="106" s="1"/>
  <c r="B5317" i="106"/>
  <c r="D5317" i="106" s="1"/>
  <c r="B7043" i="106"/>
  <c r="D7043" i="106" s="1"/>
  <c r="B5422" i="106"/>
  <c r="D5422" i="106" s="1"/>
  <c r="D175" i="5"/>
  <c r="F162" i="34"/>
  <c r="B7869" i="106" s="1"/>
  <c r="D7869" i="106" s="1"/>
  <c r="B4415" i="106"/>
  <c r="D4415" i="106" s="1"/>
  <c r="K276" i="29"/>
  <c r="B1506" i="106" s="1"/>
  <c r="D1506" i="106" s="1"/>
  <c r="B1442" i="106"/>
  <c r="D1442" i="106" s="1"/>
  <c r="G198" i="5"/>
  <c r="B6409" i="106" s="1"/>
  <c r="D6409" i="106" s="1"/>
  <c r="B6402" i="106"/>
  <c r="D6402" i="106" s="1"/>
  <c r="B6864" i="106"/>
  <c r="D6864" i="106" s="1"/>
  <c r="B5724" i="106"/>
  <c r="D5724" i="106" s="1"/>
  <c r="B6618" i="106"/>
  <c r="D6618" i="106" s="1"/>
  <c r="G252" i="5"/>
  <c r="B6837" i="106" s="1"/>
  <c r="D6837" i="106" s="1"/>
  <c r="C114" i="5"/>
  <c r="B5122" i="106"/>
  <c r="D5122" i="106" s="1"/>
  <c r="F147" i="34"/>
  <c r="B6737" i="106"/>
  <c r="D6737" i="106" s="1"/>
  <c r="B7636" i="106"/>
  <c r="D47" i="29"/>
  <c r="B789" i="106" s="1"/>
  <c r="D789" i="106" s="1"/>
  <c r="B786" i="106"/>
  <c r="D786" i="106" s="1"/>
  <c r="B4310" i="106"/>
  <c r="D4310" i="106" s="1"/>
  <c r="B783" i="106"/>
  <c r="D783" i="106" s="1"/>
  <c r="B4416" i="106"/>
  <c r="D4416" i="106" s="1"/>
  <c r="B6886" i="106"/>
  <c r="D6886" i="106" s="1"/>
  <c r="K25" i="29"/>
  <c r="B3492" i="106"/>
  <c r="D3492" i="106" s="1"/>
  <c r="B6904" i="106"/>
  <c r="D6904" i="106" s="1"/>
  <c r="I42" i="29"/>
  <c r="B6916" i="106" s="1"/>
  <c r="D6916" i="106" s="1"/>
  <c r="B4181" i="106"/>
  <c r="D4181" i="106" s="1"/>
  <c r="B6927" i="106"/>
  <c r="D6927" i="106" s="1"/>
  <c r="J53" i="29"/>
  <c r="B6943" i="106" s="1"/>
  <c r="D6943" i="106" s="1"/>
  <c r="B6624" i="106"/>
  <c r="D6624" i="106" s="1"/>
  <c r="B1268" i="106"/>
  <c r="D1268" i="106" s="1"/>
  <c r="K142" i="29"/>
  <c r="H147" i="29"/>
  <c r="B6671" i="106"/>
  <c r="D6671" i="106" s="1"/>
  <c r="B7192" i="106"/>
  <c r="D7192" i="106" s="1"/>
  <c r="B849" i="106"/>
  <c r="D849" i="106" s="1"/>
  <c r="F171" i="34"/>
  <c r="B7876" i="106" s="1"/>
  <c r="D7876" i="106" s="1"/>
  <c r="B4852" i="106"/>
  <c r="D4852" i="106" s="1"/>
  <c r="B6989" i="106"/>
  <c r="D6989" i="106" s="1"/>
  <c r="K89" i="29"/>
  <c r="B6990" i="106" s="1"/>
  <c r="D6990" i="106" s="1"/>
  <c r="B6856" i="106"/>
  <c r="D6856" i="106" s="1"/>
  <c r="B7172" i="106"/>
  <c r="D7172" i="106" s="1"/>
  <c r="K325" i="29"/>
  <c r="F72" i="29"/>
  <c r="B927" i="106" s="1"/>
  <c r="D927" i="106" s="1"/>
  <c r="B920" i="106"/>
  <c r="D920" i="106" s="1"/>
  <c r="B950" i="106"/>
  <c r="D950" i="106" s="1"/>
  <c r="B974" i="106"/>
  <c r="D974" i="106" s="1"/>
  <c r="B6666" i="106"/>
  <c r="D6666" i="106" s="1"/>
  <c r="F140" i="34"/>
  <c r="B6965" i="106"/>
  <c r="D6965" i="106" s="1"/>
  <c r="K60" i="29"/>
  <c r="B739" i="106"/>
  <c r="D739" i="106" s="1"/>
  <c r="B6233" i="106"/>
  <c r="D6233" i="106" s="1"/>
  <c r="K265" i="29"/>
  <c r="B1494" i="106" s="1"/>
  <c r="D1494" i="106" s="1"/>
  <c r="B1430" i="106"/>
  <c r="D1430" i="106" s="1"/>
  <c r="K225" i="29"/>
  <c r="B1460" i="106" s="1"/>
  <c r="D1460" i="106" s="1"/>
  <c r="B1396" i="106"/>
  <c r="D1396" i="106" s="1"/>
  <c r="B6674" i="106"/>
  <c r="D6674" i="106" s="1"/>
  <c r="F141" i="34"/>
  <c r="B5743" i="106"/>
  <c r="D5743" i="106" s="1"/>
  <c r="B5817" i="106"/>
  <c r="D5817" i="106" s="1"/>
  <c r="G217" i="5"/>
  <c r="B5829" i="106" s="1"/>
  <c r="D5829" i="106" s="1"/>
  <c r="B5553" i="106"/>
  <c r="D5553" i="106" s="1"/>
  <c r="B7" i="7"/>
  <c r="F12" i="5"/>
  <c r="D184" i="29"/>
  <c r="D210" i="29" s="1"/>
  <c r="B1346" i="106" s="1"/>
  <c r="D1346" i="106" s="1"/>
  <c r="B4082" i="106"/>
  <c r="D4082" i="106" s="1"/>
  <c r="B842" i="106"/>
  <c r="D842" i="106" s="1"/>
  <c r="B1253" i="106"/>
  <c r="D1253" i="106" s="1"/>
  <c r="B7102" i="106"/>
  <c r="D7102" i="106" s="1"/>
  <c r="B5601" i="106"/>
  <c r="D5601" i="106" s="1"/>
  <c r="B6356" i="106"/>
  <c r="D6356" i="106" s="1"/>
  <c r="F114" i="34"/>
  <c r="B7848" i="106" s="1"/>
  <c r="D7848" i="106" s="1"/>
  <c r="B5187" i="106"/>
  <c r="D5187" i="106" s="1"/>
  <c r="B5124" i="106"/>
  <c r="D5124" i="106" s="1"/>
  <c r="B5986" i="106"/>
  <c r="D5986" i="106" s="1"/>
  <c r="F67" i="5"/>
  <c r="B5582" i="106" s="1"/>
  <c r="D5582" i="106" s="1"/>
  <c r="B5581" i="106"/>
  <c r="D5581" i="106" s="1"/>
  <c r="B5343" i="106"/>
  <c r="D5343" i="106" s="1"/>
  <c r="D82" i="5"/>
  <c r="B5348" i="106" s="1"/>
  <c r="D5348" i="106" s="1"/>
  <c r="B6775" i="106"/>
  <c r="D6775" i="106" s="1"/>
  <c r="B4215" i="106"/>
  <c r="D4215" i="106" s="1"/>
  <c r="B962" i="106"/>
  <c r="D962" i="106" s="1"/>
  <c r="B906" i="106"/>
  <c r="D906" i="106" s="1"/>
  <c r="F53" i="29"/>
  <c r="B908" i="106" s="1"/>
  <c r="D908" i="106" s="1"/>
  <c r="B4180" i="106"/>
  <c r="D4180" i="106" s="1"/>
  <c r="B5077" i="106"/>
  <c r="D5077" i="106" s="1"/>
  <c r="B6770" i="106"/>
  <c r="D6770" i="106" s="1"/>
  <c r="B325" i="106"/>
  <c r="D325" i="106" s="1"/>
  <c r="B5561" i="106"/>
  <c r="D5561" i="106" s="1"/>
  <c r="B6635" i="106"/>
  <c r="D6635" i="106" s="1"/>
  <c r="B7014" i="106"/>
  <c r="D7014" i="106" s="1"/>
  <c r="F145" i="34"/>
  <c r="B6720" i="106"/>
  <c r="D6720" i="106" s="1"/>
  <c r="B6086" i="106"/>
  <c r="D6086" i="106" s="1"/>
  <c r="K207" i="29"/>
  <c r="B7070" i="106" s="1"/>
  <c r="D7070" i="106" s="1"/>
  <c r="B7069" i="106"/>
  <c r="D7069" i="106" s="1"/>
  <c r="B6709" i="106"/>
  <c r="D6709" i="106" s="1"/>
  <c r="B6884" i="106"/>
  <c r="D6884" i="106" s="1"/>
  <c r="K24" i="29"/>
  <c r="B4179" i="106"/>
  <c r="D4179" i="106" s="1"/>
  <c r="B6332" i="106"/>
  <c r="D6332" i="106" s="1"/>
  <c r="B6361" i="106"/>
  <c r="D6361" i="106" s="1"/>
  <c r="B7161" i="106"/>
  <c r="D7161" i="106" s="1"/>
  <c r="B5113" i="106"/>
  <c r="D5113" i="106" s="1"/>
  <c r="F102" i="34"/>
  <c r="B7839" i="106" s="1"/>
  <c r="D7839" i="106" s="1"/>
  <c r="C108" i="5"/>
  <c r="B5120" i="106" s="1"/>
  <c r="D5120" i="106" s="1"/>
  <c r="B1265" i="106"/>
  <c r="D1265" i="106" s="1"/>
  <c r="B6369" i="106"/>
  <c r="D6369" i="106" s="1"/>
  <c r="B5387" i="106"/>
  <c r="D5387" i="106" s="1"/>
  <c r="F29" i="34"/>
  <c r="B7881" i="106" s="1"/>
  <c r="D7881" i="106" s="1"/>
  <c r="B944" i="106"/>
  <c r="D944" i="106" s="1"/>
  <c r="B5362" i="106"/>
  <c r="D5362" i="106" s="1"/>
  <c r="B4806" i="106"/>
  <c r="D4806" i="106" s="1"/>
  <c r="C217" i="5"/>
  <c r="B5286" i="106" s="1"/>
  <c r="D5286" i="106" s="1"/>
  <c r="B5274" i="106"/>
  <c r="D5274" i="106" s="1"/>
  <c r="F32" i="34"/>
  <c r="B7825" i="106" s="1"/>
  <c r="D7825" i="106" s="1"/>
  <c r="B5459" i="106"/>
  <c r="D5459" i="106" s="1"/>
  <c r="B5072" i="106"/>
  <c r="D5072" i="106" s="1"/>
  <c r="C40" i="5"/>
  <c r="B5087" i="106" s="1"/>
  <c r="D5087" i="106" s="1"/>
  <c r="K361" i="29"/>
  <c r="B7239" i="106" s="1"/>
  <c r="D7239" i="106" s="1"/>
  <c r="B7238" i="106"/>
  <c r="D7238" i="106" s="1"/>
  <c r="B7142" i="106"/>
  <c r="D7142" i="106" s="1"/>
  <c r="F104" i="34"/>
  <c r="B7841" i="106" s="1"/>
  <c r="D7841" i="106" s="1"/>
  <c r="B4761" i="106"/>
  <c r="D4761" i="106" s="1"/>
  <c r="G114" i="5"/>
  <c r="B5738" i="106"/>
  <c r="D5738" i="106" s="1"/>
  <c r="B5230" i="106"/>
  <c r="D5230" i="106" s="1"/>
  <c r="C181" i="5"/>
  <c r="F123" i="34"/>
  <c r="B865" i="106"/>
  <c r="D865" i="106" s="1"/>
  <c r="H310" i="29"/>
  <c r="B7115" i="106" s="1"/>
  <c r="D7115" i="106" s="1"/>
  <c r="B7106" i="106"/>
  <c r="D7106" i="106" s="1"/>
  <c r="B1048" i="106"/>
  <c r="D1048" i="106" s="1"/>
  <c r="K105" i="29"/>
  <c r="B1146" i="106" s="1"/>
  <c r="D1146" i="106" s="1"/>
  <c r="H110" i="29"/>
  <c r="B7802" i="106"/>
  <c r="D7802" i="106" s="1"/>
  <c r="B5997" i="106"/>
  <c r="D5997" i="106" s="1"/>
  <c r="B6747" i="106"/>
  <c r="D6747" i="106" s="1"/>
  <c r="F92" i="34"/>
  <c r="B5573" i="106"/>
  <c r="D5573" i="106" s="1"/>
  <c r="D229" i="29"/>
  <c r="B1410" i="106" s="1"/>
  <c r="D1410" i="106" s="1"/>
  <c r="K215" i="29"/>
  <c r="B3390" i="106" s="1"/>
  <c r="D3390" i="106" s="1"/>
  <c r="B3387" i="106"/>
  <c r="D3387" i="106" s="1"/>
  <c r="B6366" i="106"/>
  <c r="D6366" i="106" s="1"/>
  <c r="K355" i="29"/>
  <c r="B7794" i="106" s="1"/>
  <c r="D7794" i="106" s="1"/>
  <c r="B7793" i="106"/>
  <c r="D7793" i="106" s="1"/>
  <c r="B6921" i="106"/>
  <c r="D6921" i="106" s="1"/>
  <c r="B5148" i="106"/>
  <c r="D5148" i="106" s="1"/>
  <c r="C141" i="5"/>
  <c r="B6816" i="106"/>
  <c r="D6816" i="106" s="1"/>
  <c r="B1420" i="106"/>
  <c r="D1420" i="106" s="1"/>
  <c r="K242" i="29"/>
  <c r="B1484" i="106" s="1"/>
  <c r="D1484" i="106" s="1"/>
  <c r="B6926" i="106"/>
  <c r="D6926" i="106" s="1"/>
  <c r="I53" i="29"/>
  <c r="B6942" i="106" s="1"/>
  <c r="D6942" i="106" s="1"/>
  <c r="B6335" i="106"/>
  <c r="D6335" i="106" s="1"/>
  <c r="B6235" i="106"/>
  <c r="D6235" i="106" s="1"/>
  <c r="B903" i="106"/>
  <c r="D903" i="106" s="1"/>
  <c r="B7689" i="106"/>
  <c r="D7689" i="106" s="1"/>
  <c r="B3534" i="106"/>
  <c r="D3534" i="106" s="1"/>
  <c r="B6304" i="106"/>
  <c r="D6304" i="106" s="1"/>
  <c r="B928" i="106"/>
  <c r="D928" i="106" s="1"/>
  <c r="B7146" i="106"/>
  <c r="D7146" i="106" s="1"/>
  <c r="B5353" i="106"/>
  <c r="D5353" i="106" s="1"/>
  <c r="B6683" i="106"/>
  <c r="D6683" i="106" s="1"/>
  <c r="B6767" i="106"/>
  <c r="D6767" i="106" s="1"/>
  <c r="B5024" i="106"/>
  <c r="D5024" i="106" s="1"/>
  <c r="F76" i="4"/>
  <c r="B3254" i="106" s="1"/>
  <c r="D3254" i="106" s="1"/>
  <c r="B6224" i="106"/>
  <c r="D6224" i="106" s="1"/>
  <c r="J18" i="4"/>
  <c r="B6228" i="106" s="1"/>
  <c r="D6228" i="106" s="1"/>
  <c r="B5584" i="106"/>
  <c r="D5584" i="106" s="1"/>
  <c r="B1012" i="106"/>
  <c r="D1012" i="106" s="1"/>
  <c r="B1220" i="106"/>
  <c r="D1220" i="106" s="1"/>
  <c r="K123" i="29"/>
  <c r="B1275" i="106" s="1"/>
  <c r="D1275" i="106" s="1"/>
  <c r="B5604" i="106"/>
  <c r="D5604" i="106" s="1"/>
  <c r="B6252" i="106"/>
  <c r="D6252" i="106" s="1"/>
  <c r="B5346" i="106"/>
  <c r="D5346" i="106" s="1"/>
  <c r="B6952" i="106"/>
  <c r="D6952" i="106" s="1"/>
  <c r="D270" i="29"/>
  <c r="B1436" i="106" s="1"/>
  <c r="D1436" i="106" s="1"/>
  <c r="K263" i="29"/>
  <c r="B1428" i="106"/>
  <c r="D1428" i="106" s="1"/>
  <c r="B6251" i="106"/>
  <c r="D6251" i="106" s="1"/>
  <c r="B4117" i="106"/>
  <c r="D4117" i="106" s="1"/>
  <c r="G18" i="4"/>
  <c r="B4176" i="106" s="1"/>
  <c r="D4176" i="106" s="1"/>
  <c r="F136" i="34"/>
  <c r="B6634" i="106"/>
  <c r="D6634" i="106" s="1"/>
  <c r="B5927" i="106"/>
  <c r="D5927" i="106" s="1"/>
  <c r="I108" i="5"/>
  <c r="B5930" i="106" s="1"/>
  <c r="D5930" i="106" s="1"/>
  <c r="D72" i="29"/>
  <c r="B811" i="106" s="1"/>
  <c r="D811" i="106" s="1"/>
  <c r="B804" i="106"/>
  <c r="D804" i="106" s="1"/>
  <c r="B1347" i="106"/>
  <c r="D1347" i="106" s="1"/>
  <c r="B6368" i="106"/>
  <c r="D6368" i="106" s="1"/>
  <c r="E169" i="5"/>
  <c r="B5537" i="106" s="1"/>
  <c r="D5537" i="106" s="1"/>
  <c r="B5585" i="106"/>
  <c r="D5585" i="106" s="1"/>
  <c r="B7661" i="106"/>
  <c r="D7661" i="106" s="1"/>
  <c r="B955" i="106"/>
  <c r="D955" i="106" s="1"/>
  <c r="B6120" i="106"/>
  <c r="D6120" i="106" s="1"/>
  <c r="L340" i="29"/>
  <c r="L342" i="29" s="1"/>
  <c r="F142" i="34"/>
  <c r="B6682" i="106"/>
  <c r="D6682" i="106" s="1"/>
  <c r="B145" i="106"/>
  <c r="D145" i="106" s="1"/>
  <c r="B4328" i="106"/>
  <c r="D4328" i="106" s="1"/>
  <c r="B7748" i="106"/>
  <c r="D7748" i="106" s="1"/>
  <c r="I47" i="4"/>
  <c r="C44" i="4"/>
  <c r="B2991" i="106"/>
  <c r="D2991" i="106" s="1"/>
  <c r="K190" i="29"/>
  <c r="B3009" i="106" s="1"/>
  <c r="D3009" i="106" s="1"/>
  <c r="B938" i="106"/>
  <c r="D938" i="106" s="1"/>
  <c r="B5627" i="106"/>
  <c r="D5627" i="106" s="1"/>
  <c r="H184" i="29"/>
  <c r="B1370" i="106" s="1"/>
  <c r="D1370" i="106" s="1"/>
  <c r="B4086" i="106"/>
  <c r="D4086" i="106" s="1"/>
  <c r="B5907" i="106"/>
  <c r="D5907" i="106" s="1"/>
  <c r="H181" i="5"/>
  <c r="B5908" i="106" s="1"/>
  <c r="D5908" i="106" s="1"/>
  <c r="B4228" i="106"/>
  <c r="D4228" i="106" s="1"/>
  <c r="K83" i="29"/>
  <c r="B2978" i="106" s="1"/>
  <c r="D2978" i="106" s="1"/>
  <c r="B2954" i="106"/>
  <c r="D2954" i="106" s="1"/>
  <c r="B7100" i="106"/>
  <c r="D7100" i="106" s="1"/>
  <c r="J303" i="29"/>
  <c r="J312" i="29" s="1"/>
  <c r="B7117" i="106" s="1"/>
  <c r="D7117" i="106" s="1"/>
  <c r="D12" i="171"/>
  <c r="B5123" i="106"/>
  <c r="D5123" i="106" s="1"/>
  <c r="E127" i="29"/>
  <c r="B1239" i="106" s="1"/>
  <c r="D1239" i="106" s="1"/>
  <c r="B1235" i="106"/>
  <c r="D1235" i="106" s="1"/>
  <c r="B2956" i="106"/>
  <c r="D2956" i="106" s="1"/>
  <c r="B6348" i="106"/>
  <c r="D6348" i="106" s="1"/>
  <c r="B4376" i="106"/>
  <c r="D4376" i="106" s="1"/>
  <c r="B6648" i="106"/>
  <c r="D6648" i="106" s="1"/>
  <c r="K61" i="29"/>
  <c r="B740" i="106"/>
  <c r="D740" i="106" s="1"/>
  <c r="E42" i="29"/>
  <c r="B837" i="106"/>
  <c r="D837" i="106" s="1"/>
  <c r="B6147" i="106"/>
  <c r="D6147" i="106" s="1"/>
  <c r="B5880" i="106"/>
  <c r="D5880" i="106" s="1"/>
  <c r="B4084" i="106"/>
  <c r="D4084" i="106" s="1"/>
  <c r="F184" i="29"/>
  <c r="B1358" i="106" s="1"/>
  <c r="D1358" i="106" s="1"/>
  <c r="B6824" i="106"/>
  <c r="D6824" i="106" s="1"/>
  <c r="B972" i="106"/>
  <c r="D972" i="106" s="1"/>
  <c r="B6998" i="106"/>
  <c r="D6998" i="106" s="1"/>
  <c r="K94" i="29"/>
  <c r="B6999" i="106" s="1"/>
  <c r="D6999" i="106" s="1"/>
  <c r="B5108" i="106"/>
  <c r="D5108" i="106" s="1"/>
  <c r="B6157" i="106"/>
  <c r="D6157" i="106" s="1"/>
  <c r="B5092" i="106"/>
  <c r="D5092" i="106" s="1"/>
  <c r="B3483" i="106"/>
  <c r="D3483" i="106" s="1"/>
  <c r="K284" i="29"/>
  <c r="B4166" i="106" s="1"/>
  <c r="D4166" i="106" s="1"/>
  <c r="B4165" i="106"/>
  <c r="D4165" i="106" s="1"/>
  <c r="B6957" i="106"/>
  <c r="D6957" i="106" s="1"/>
  <c r="B5879" i="106"/>
  <c r="D5879" i="106" s="1"/>
  <c r="H67" i="5"/>
  <c r="B5881" i="106" s="1"/>
  <c r="D5881" i="106" s="1"/>
  <c r="B7260" i="106"/>
  <c r="B7671" i="106"/>
  <c r="D7671" i="106" s="1"/>
  <c r="B6920" i="106"/>
  <c r="D6920" i="106" s="1"/>
  <c r="B7251" i="106"/>
  <c r="D7251" i="106" s="1"/>
  <c r="K9" i="29"/>
  <c r="H84" i="29"/>
  <c r="B2081" i="106" s="1"/>
  <c r="D2081" i="106" s="1"/>
  <c r="B2955" i="106"/>
  <c r="D2955" i="106" s="1"/>
  <c r="B6818" i="106"/>
  <c r="D6818" i="106" s="1"/>
  <c r="B7692" i="106"/>
  <c r="D7692" i="106" s="1"/>
  <c r="B6329" i="106"/>
  <c r="D6329" i="106" s="1"/>
  <c r="B7787" i="106"/>
  <c r="D7787" i="106" s="1"/>
  <c r="K333" i="29"/>
  <c r="B7788" i="106" s="1"/>
  <c r="D7788" i="106" s="1"/>
  <c r="B6732" i="106"/>
  <c r="D6732" i="106" s="1"/>
  <c r="B6654" i="106"/>
  <c r="D6654" i="106" s="1"/>
  <c r="B7694" i="106"/>
  <c r="D7694" i="106" s="1"/>
  <c r="B4356" i="106"/>
  <c r="D4356" i="106" s="1"/>
  <c r="B1262" i="106"/>
  <c r="D1262" i="106" s="1"/>
  <c r="B6363" i="106"/>
  <c r="D6363" i="106" s="1"/>
  <c r="B5556" i="106"/>
  <c r="D5556" i="106" s="1"/>
  <c r="B864" i="106"/>
  <c r="D864" i="106" s="1"/>
  <c r="B722" i="106"/>
  <c r="D722" i="106" s="1"/>
  <c r="K37" i="29"/>
  <c r="B1110" i="106" s="1"/>
  <c r="D1110" i="106" s="1"/>
  <c r="B6907" i="106"/>
  <c r="D6907" i="106" s="1"/>
  <c r="B6391" i="106"/>
  <c r="D6391" i="106" s="1"/>
  <c r="B6805" i="106"/>
  <c r="D6805" i="106" s="1"/>
  <c r="B6930" i="106"/>
  <c r="D6930" i="106" s="1"/>
  <c r="B7141" i="106"/>
  <c r="D7141" i="106" s="1"/>
  <c r="B7228" i="106"/>
  <c r="D7228" i="106" s="1"/>
  <c r="L357" i="29"/>
  <c r="B6932" i="106"/>
  <c r="D6932" i="106" s="1"/>
  <c r="K52" i="29"/>
  <c r="B6940" i="106" s="1"/>
  <c r="D6940" i="106" s="1"/>
  <c r="B4447" i="106"/>
  <c r="D4447" i="106" s="1"/>
  <c r="B7704" i="106"/>
  <c r="D7704" i="106" s="1"/>
  <c r="B2981" i="106"/>
  <c r="D2981" i="106" s="1"/>
  <c r="B6295" i="106"/>
  <c r="D6295" i="106" s="1"/>
  <c r="B5998" i="106"/>
  <c r="D5998" i="106" s="1"/>
  <c r="B7663" i="106"/>
  <c r="D7663" i="106" s="1"/>
  <c r="B6321" i="106"/>
  <c r="D6321" i="106" s="1"/>
  <c r="B6110" i="106"/>
  <c r="D6110" i="106" s="1"/>
  <c r="B7247" i="106"/>
  <c r="D7247" i="106" s="1"/>
  <c r="B6696" i="106"/>
  <c r="D6696" i="106" s="1"/>
  <c r="B7659" i="106"/>
  <c r="D7659" i="106" s="1"/>
  <c r="B2908" i="106"/>
  <c r="D2908" i="106" s="1"/>
  <c r="E39" i="4"/>
  <c r="B6287" i="106" s="1"/>
  <c r="D6287" i="106" s="1"/>
  <c r="B6246" i="106"/>
  <c r="D6246" i="106" s="1"/>
  <c r="J42" i="29"/>
  <c r="B6917" i="106" s="1"/>
  <c r="D6917" i="106" s="1"/>
  <c r="B6905" i="106"/>
  <c r="D6905" i="106" s="1"/>
  <c r="B7698" i="106"/>
  <c r="D7698" i="106" s="1"/>
  <c r="B134" i="106"/>
  <c r="D134" i="106" s="1"/>
  <c r="L350" i="29"/>
  <c r="L352" i="29" s="1"/>
  <c r="L367" i="29" s="1"/>
  <c r="B7151" i="106"/>
  <c r="D7151" i="106" s="1"/>
  <c r="B7168" i="106"/>
  <c r="D7168" i="106" s="1"/>
  <c r="B3371" i="106"/>
  <c r="D3371" i="106" s="1"/>
  <c r="B986" i="106"/>
  <c r="D986" i="106" s="1"/>
  <c r="B6788" i="106"/>
  <c r="D6788" i="106" s="1"/>
  <c r="B6873" i="106"/>
  <c r="D6873" i="106" s="1"/>
  <c r="B3487" i="106"/>
  <c r="D3487" i="106" s="1"/>
  <c r="B4" i="7"/>
  <c r="D4" i="7" s="1"/>
  <c r="B5061" i="106"/>
  <c r="D5061" i="106" s="1"/>
  <c r="C12" i="5"/>
  <c r="B7815" i="106"/>
  <c r="D7815" i="106" s="1"/>
  <c r="K273" i="29"/>
  <c r="B1502" i="106" s="1"/>
  <c r="D1502" i="106" s="1"/>
  <c r="B1438" i="106"/>
  <c r="D1438" i="106" s="1"/>
  <c r="K50" i="29"/>
  <c r="B733" i="106"/>
  <c r="D733" i="106" s="1"/>
  <c r="B6324" i="106"/>
  <c r="D6324" i="106" s="1"/>
  <c r="B6640" i="106"/>
  <c r="D6640" i="106" s="1"/>
  <c r="K36" i="29"/>
  <c r="B1109" i="106" s="1"/>
  <c r="D1109" i="106" s="1"/>
  <c r="C42" i="29"/>
  <c r="B721" i="106"/>
  <c r="D721" i="106" s="1"/>
  <c r="B6739" i="106"/>
  <c r="D6739" i="106" s="1"/>
  <c r="F97" i="34"/>
  <c r="C93" i="5"/>
  <c r="B5112" i="106" s="1"/>
  <c r="D5112" i="106" s="1"/>
  <c r="B5103" i="106"/>
  <c r="D5103" i="106" s="1"/>
  <c r="B5529" i="106"/>
  <c r="D5529" i="106" s="1"/>
  <c r="B2792" i="106"/>
  <c r="D2792" i="106" s="1"/>
  <c r="K108" i="29"/>
  <c r="B2796" i="106" s="1"/>
  <c r="D2796" i="106" s="1"/>
  <c r="B3580" i="106"/>
  <c r="D3580" i="106" s="1"/>
  <c r="G67" i="5"/>
  <c r="B5733" i="106" s="1"/>
  <c r="D5733" i="106" s="1"/>
  <c r="B5731" i="106"/>
  <c r="D5731" i="106" s="1"/>
  <c r="H18" i="5"/>
  <c r="B5878" i="106" s="1"/>
  <c r="D5878" i="106" s="1"/>
  <c r="B5874" i="106"/>
  <c r="D5874" i="106" s="1"/>
  <c r="B2959" i="106"/>
  <c r="D2959" i="106" s="1"/>
  <c r="B6345" i="106"/>
  <c r="D6345" i="106" s="1"/>
  <c r="B7638" i="106"/>
  <c r="K191" i="29"/>
  <c r="B3010" i="106" s="1"/>
  <c r="D3010" i="106" s="1"/>
  <c r="B2992" i="106"/>
  <c r="D2992" i="106" s="1"/>
  <c r="B7197" i="106"/>
  <c r="D7197" i="106" s="1"/>
  <c r="K38" i="29"/>
  <c r="B1111" i="106" s="1"/>
  <c r="D1111" i="106" s="1"/>
  <c r="B723" i="106"/>
  <c r="D723" i="106" s="1"/>
  <c r="J12" i="5"/>
  <c r="B6298" i="106"/>
  <c r="D6298" i="106" s="1"/>
  <c r="B11" i="7"/>
  <c r="B7061" i="106"/>
  <c r="D7061" i="106" s="1"/>
  <c r="B6795" i="106"/>
  <c r="D6795" i="106" s="1"/>
  <c r="B2797" i="106"/>
  <c r="D2797" i="106" s="1"/>
  <c r="K130" i="29"/>
  <c r="B6711" i="106"/>
  <c r="D6711" i="106" s="1"/>
  <c r="B1030" i="106"/>
  <c r="D1030" i="106" s="1"/>
  <c r="B7137" i="106"/>
  <c r="D7137" i="106" s="1"/>
  <c r="B7755" i="106"/>
  <c r="D7755" i="106" s="1"/>
  <c r="K44" i="4"/>
  <c r="B3584" i="106" s="1"/>
  <c r="D3584" i="106" s="1"/>
  <c r="F18" i="5"/>
  <c r="B5562" i="106" s="1"/>
  <c r="D5562" i="106" s="1"/>
  <c r="B5558" i="106"/>
  <c r="D5558" i="106" s="1"/>
  <c r="B2722" i="106"/>
  <c r="D2722" i="106" s="1"/>
  <c r="B5341" i="106"/>
  <c r="D5341" i="106" s="1"/>
  <c r="B6303" i="106"/>
  <c r="D6303" i="106" s="1"/>
  <c r="B5921" i="106"/>
  <c r="D5921" i="106" s="1"/>
  <c r="B6653" i="106"/>
  <c r="D6653" i="106" s="1"/>
  <c r="D18" i="4"/>
  <c r="B4132" i="106" s="1"/>
  <c r="D4132" i="106" s="1"/>
  <c r="B4114" i="106"/>
  <c r="D4114" i="106" s="1"/>
  <c r="B1023" i="106"/>
  <c r="D1023" i="106" s="1"/>
  <c r="B1228" i="106"/>
  <c r="D1228" i="106" s="1"/>
  <c r="B777" i="106"/>
  <c r="D777" i="106" s="1"/>
  <c r="L65" i="29"/>
  <c r="K71" i="29"/>
  <c r="B751" i="106"/>
  <c r="D751" i="106" s="1"/>
  <c r="B6632" i="106"/>
  <c r="D6632" i="106" s="1"/>
  <c r="B5243" i="106"/>
  <c r="D5243" i="106" s="1"/>
  <c r="B937" i="106"/>
  <c r="D937" i="106" s="1"/>
  <c r="G33" i="29"/>
  <c r="B952" i="106" s="1"/>
  <c r="D952" i="106" s="1"/>
  <c r="B726" i="106"/>
  <c r="D726" i="106" s="1"/>
  <c r="K41" i="29"/>
  <c r="B1114" i="106" s="1"/>
  <c r="D1114" i="106" s="1"/>
  <c r="B1363" i="106"/>
  <c r="D1363" i="106" s="1"/>
  <c r="K329" i="29"/>
  <c r="B7697" i="106"/>
  <c r="D7697" i="106" s="1"/>
  <c r="B6182" i="106"/>
  <c r="D6182" i="106" s="1"/>
  <c r="K328" i="29"/>
  <c r="E66" i="184" s="1"/>
  <c r="N66" i="184" s="1"/>
  <c r="B7688" i="106"/>
  <c r="D7688" i="106" s="1"/>
  <c r="B4855" i="106"/>
  <c r="D4855" i="106" s="1"/>
  <c r="B799" i="106"/>
  <c r="D799" i="106" s="1"/>
  <c r="B5167" i="106"/>
  <c r="D5167" i="106" s="1"/>
  <c r="F109" i="34"/>
  <c r="B5566" i="106"/>
  <c r="D5566" i="106" s="1"/>
  <c r="F87" i="34"/>
  <c r="B4309" i="106"/>
  <c r="D4309" i="106" s="1"/>
  <c r="B4344" i="106"/>
  <c r="D4344" i="106" s="1"/>
  <c r="F127" i="29"/>
  <c r="B1247" i="106" s="1"/>
  <c r="D1247" i="106" s="1"/>
  <c r="B1243" i="106"/>
  <c r="D1243" i="106" s="1"/>
  <c r="B6132" i="106"/>
  <c r="D6132" i="106" s="1"/>
  <c r="K34" i="3"/>
  <c r="B3565" i="106" s="1"/>
  <c r="D3565" i="106" s="1"/>
  <c r="B4227" i="106"/>
  <c r="D4227" i="106" s="1"/>
  <c r="B3417" i="106"/>
  <c r="D3417" i="106" s="1"/>
  <c r="D36" i="36"/>
  <c r="E13" i="3"/>
  <c r="B131" i="106" s="1"/>
  <c r="D131" i="106" s="1"/>
  <c r="B5059" i="106"/>
  <c r="D5059" i="106" s="1"/>
  <c r="B6381" i="106"/>
  <c r="D6381" i="106" s="1"/>
  <c r="B7182" i="106"/>
  <c r="D7182" i="106" s="1"/>
  <c r="B3484" i="106"/>
  <c r="D3484" i="106" s="1"/>
  <c r="B4794" i="106"/>
  <c r="D4794" i="106" s="1"/>
  <c r="B6370" i="106"/>
  <c r="D6370" i="106" s="1"/>
  <c r="B5310" i="106"/>
  <c r="D5310" i="106" s="1"/>
  <c r="B4393" i="106"/>
  <c r="D4393" i="106" s="1"/>
  <c r="B76" i="106"/>
  <c r="D76" i="106" s="1"/>
  <c r="K126" i="29"/>
  <c r="B1277" i="106" s="1"/>
  <c r="D1277" i="106" s="1"/>
  <c r="B1254" i="106"/>
  <c r="D1254" i="106" s="1"/>
  <c r="B5917" i="106"/>
  <c r="D5917" i="106" s="1"/>
  <c r="B6109" i="106"/>
  <c r="D6109" i="106" s="1"/>
  <c r="B5338" i="106"/>
  <c r="D5338" i="106" s="1"/>
  <c r="B6360" i="106"/>
  <c r="D6360" i="106" s="1"/>
  <c r="B840" i="106"/>
  <c r="D840" i="106" s="1"/>
  <c r="B4883" i="106"/>
  <c r="D4883" i="106" s="1"/>
  <c r="B6703" i="106"/>
  <c r="D6703" i="106" s="1"/>
  <c r="H194" i="29"/>
  <c r="B2995" i="106"/>
  <c r="D2995" i="106" s="1"/>
  <c r="B6748" i="106"/>
  <c r="D6748" i="106" s="1"/>
  <c r="B1439" i="106"/>
  <c r="D1439" i="106" s="1"/>
  <c r="K274" i="29"/>
  <c r="B1503" i="106" s="1"/>
  <c r="D1503" i="106" s="1"/>
  <c r="B6333" i="106"/>
  <c r="D6333" i="106" s="1"/>
  <c r="B6929" i="106"/>
  <c r="D6929" i="106" s="1"/>
  <c r="B6933" i="106"/>
  <c r="D6933" i="106" s="1"/>
  <c r="B7175" i="106"/>
  <c r="D7175" i="106" s="1"/>
  <c r="J184" i="29"/>
  <c r="B7058" i="106"/>
  <c r="D7058" i="106" s="1"/>
  <c r="B6934" i="106"/>
  <c r="D6934" i="106" s="1"/>
  <c r="L33" i="29"/>
  <c r="E72" i="29"/>
  <c r="B869" i="106" s="1"/>
  <c r="D869" i="106" s="1"/>
  <c r="B862" i="106"/>
  <c r="D862" i="106" s="1"/>
  <c r="B7186" i="106"/>
  <c r="D7186" i="106" s="1"/>
  <c r="B4370" i="106"/>
  <c r="D4370" i="106" s="1"/>
  <c r="B6915" i="106"/>
  <c r="D6915" i="106" s="1"/>
  <c r="B6819" i="106"/>
  <c r="D6819" i="106" s="1"/>
  <c r="B618" i="106"/>
  <c r="D618" i="106" s="1"/>
  <c r="B858" i="106"/>
  <c r="D858" i="106" s="1"/>
  <c r="B7130" i="106"/>
  <c r="D7130" i="106" s="1"/>
  <c r="B6189" i="106"/>
  <c r="D6189" i="106" s="1"/>
  <c r="B7672" i="106"/>
  <c r="D7672" i="106" s="1"/>
  <c r="G127" i="29"/>
  <c r="B1256" i="106" s="1"/>
  <c r="D1256" i="106" s="1"/>
  <c r="B1251" i="106"/>
  <c r="D1251" i="106" s="1"/>
  <c r="B7139" i="106"/>
  <c r="D7139" i="106" s="1"/>
  <c r="B1013" i="106"/>
  <c r="D1013" i="106" s="1"/>
  <c r="B1270" i="106"/>
  <c r="D1270" i="106" s="1"/>
  <c r="K146" i="29"/>
  <c r="B1285" i="106" s="1"/>
  <c r="D1285" i="106" s="1"/>
  <c r="B6680" i="106"/>
  <c r="D6680" i="106" s="1"/>
  <c r="B7046" i="106"/>
  <c r="D7046" i="106" s="1"/>
  <c r="B4814" i="106"/>
  <c r="D4814" i="106" s="1"/>
  <c r="B6307" i="106"/>
  <c r="D6307" i="106" s="1"/>
  <c r="B6119" i="106"/>
  <c r="D6119" i="106" s="1"/>
  <c r="B6823" i="106"/>
  <c r="D6823" i="106" s="1"/>
  <c r="B6656" i="106"/>
  <c r="D6656" i="106" s="1"/>
  <c r="G47" i="29"/>
  <c r="B963" i="106" s="1"/>
  <c r="D963" i="106" s="1"/>
  <c r="B960" i="106"/>
  <c r="D960" i="106" s="1"/>
  <c r="J129" i="29"/>
  <c r="B7023" i="106"/>
  <c r="D7023" i="106" s="1"/>
  <c r="B801" i="106"/>
  <c r="D801" i="106" s="1"/>
  <c r="B6358" i="106"/>
  <c r="D6358" i="106" s="1"/>
  <c r="B4381" i="106"/>
  <c r="D4381" i="106" s="1"/>
  <c r="B6985" i="106"/>
  <c r="D6985" i="106" s="1"/>
  <c r="K87" i="29"/>
  <c r="B6986" i="106" s="1"/>
  <c r="D6986" i="106" s="1"/>
  <c r="B913" i="106"/>
  <c r="D913" i="106" s="1"/>
  <c r="B1373" i="106"/>
  <c r="D1373" i="106" s="1"/>
  <c r="K203" i="29"/>
  <c r="B1385" i="106" s="1"/>
  <c r="D1385" i="106" s="1"/>
  <c r="F116" i="34"/>
  <c r="B7850" i="106" s="1"/>
  <c r="D7850" i="106" s="1"/>
  <c r="B5056" i="106"/>
  <c r="D5056" i="106" s="1"/>
  <c r="B4335" i="106"/>
  <c r="D4335" i="106" s="1"/>
  <c r="B880" i="106"/>
  <c r="D880" i="106" s="1"/>
  <c r="B5275" i="106"/>
  <c r="D5275" i="106" s="1"/>
  <c r="B1011" i="106"/>
  <c r="D1011" i="106" s="1"/>
  <c r="H42" i="29"/>
  <c r="B6677" i="106"/>
  <c r="D6677" i="106" s="1"/>
  <c r="B3275" i="106"/>
  <c r="D3275" i="106" s="1"/>
  <c r="E252" i="5"/>
  <c r="B6835" i="106" s="1"/>
  <c r="D6835" i="106" s="1"/>
  <c r="B6616" i="106"/>
  <c r="D6616" i="106" s="1"/>
  <c r="B5665" i="106"/>
  <c r="D5665" i="106" s="1"/>
  <c r="B6850" i="106"/>
  <c r="D6850" i="106" s="1"/>
  <c r="B4331" i="106"/>
  <c r="D4331" i="106" s="1"/>
  <c r="B6179" i="106"/>
  <c r="D6179" i="106" s="1"/>
  <c r="B1525" i="106"/>
  <c r="D1525" i="106" s="1"/>
  <c r="D303" i="29"/>
  <c r="B1529" i="106" s="1"/>
  <c r="D1529" i="106" s="1"/>
  <c r="B1528" i="106"/>
  <c r="D1528" i="106" s="1"/>
  <c r="B4799" i="106"/>
  <c r="D4799" i="106" s="1"/>
  <c r="L100" i="29"/>
  <c r="B6809" i="106"/>
  <c r="D6809" i="106" s="1"/>
  <c r="F155" i="34"/>
  <c r="B7123" i="106"/>
  <c r="D7123" i="106" s="1"/>
  <c r="H330" i="29"/>
  <c r="F131" i="34"/>
  <c r="B7863" i="106" s="1"/>
  <c r="D7863" i="106" s="1"/>
  <c r="B5280" i="106"/>
  <c r="D5280" i="106" s="1"/>
  <c r="B6752" i="106"/>
  <c r="D6752" i="106" s="1"/>
  <c r="J67" i="5"/>
  <c r="B6318" i="106" s="1"/>
  <c r="D6318" i="106" s="1"/>
  <c r="B6316" i="106"/>
  <c r="D6316" i="106" s="1"/>
  <c r="B6259" i="106"/>
  <c r="D6259" i="106" s="1"/>
  <c r="B891" i="106"/>
  <c r="D891" i="106" s="1"/>
  <c r="B3373" i="106"/>
  <c r="D3373" i="106" s="1"/>
  <c r="B5118" i="106"/>
  <c r="D5118" i="106" s="1"/>
  <c r="F105" i="34"/>
  <c r="F181" i="5"/>
  <c r="B5658" i="106" s="1"/>
  <c r="D5658" i="106" s="1"/>
  <c r="B4804" i="106"/>
  <c r="D4804" i="106" s="1"/>
  <c r="B852" i="106"/>
  <c r="D852" i="106" s="1"/>
  <c r="B7119" i="106"/>
  <c r="D7119" i="106" s="1"/>
  <c r="D330" i="29"/>
  <c r="B7200" i="106" s="1"/>
  <c r="D7200" i="106" s="1"/>
  <c r="B4076" i="106"/>
  <c r="D4076" i="106" s="1"/>
  <c r="B4116" i="106"/>
  <c r="D4116" i="106" s="1"/>
  <c r="F18" i="4"/>
  <c r="B4133" i="106" s="1"/>
  <c r="D4133" i="106" s="1"/>
  <c r="B6794" i="106"/>
  <c r="D6794" i="106" s="1"/>
  <c r="B15" i="7"/>
  <c r="D15" i="7" s="1"/>
  <c r="B1772" i="106" s="1"/>
  <c r="D1772" i="106" s="1"/>
  <c r="B5332" i="106"/>
  <c r="D5332" i="106" s="1"/>
  <c r="B4078" i="106"/>
  <c r="D4078" i="106" s="1"/>
  <c r="B7664" i="106"/>
  <c r="D7664" i="106" s="1"/>
  <c r="B790" i="106"/>
  <c r="D790" i="106" s="1"/>
  <c r="D53" i="29"/>
  <c r="B792" i="106" s="1"/>
  <c r="D792" i="106" s="1"/>
  <c r="B4881" i="106"/>
  <c r="D4881" i="106" s="1"/>
  <c r="B7147" i="106"/>
  <c r="D7147" i="106" s="1"/>
  <c r="B5883" i="106"/>
  <c r="D5883" i="106" s="1"/>
  <c r="B7030" i="106"/>
  <c r="D7030" i="106" s="1"/>
  <c r="B6670" i="106"/>
  <c r="D6670" i="106" s="1"/>
  <c r="B5722" i="106"/>
  <c r="D5722" i="106" s="1"/>
  <c r="G12" i="5"/>
  <c r="B6966" i="106"/>
  <c r="D6966" i="106" s="1"/>
  <c r="B6768" i="106"/>
  <c r="D6768" i="106" s="1"/>
  <c r="B5240" i="106"/>
  <c r="D5240" i="106" s="1"/>
  <c r="B2958" i="106"/>
  <c r="D2958" i="106" s="1"/>
  <c r="B5127" i="106"/>
  <c r="D5127" i="106" s="1"/>
  <c r="B6375" i="106"/>
  <c r="D6375" i="106" s="1"/>
  <c r="B5368" i="106"/>
  <c r="D5368" i="106" s="1"/>
  <c r="D132" i="5"/>
  <c r="B5369" i="106" s="1"/>
  <c r="D5369" i="106" s="1"/>
  <c r="B1366" i="106"/>
  <c r="D1366" i="106" s="1"/>
  <c r="B6362" i="106"/>
  <c r="D6362" i="106" s="1"/>
  <c r="B4329" i="106"/>
  <c r="D4329" i="106" s="1"/>
  <c r="F121" i="34"/>
  <c r="B4816" i="106"/>
  <c r="D4816" i="106" s="1"/>
  <c r="K181" i="5"/>
  <c r="B6016" i="106" s="1"/>
  <c r="D6016" i="106" s="1"/>
  <c r="B5858" i="106"/>
  <c r="D5858" i="106" s="1"/>
  <c r="B4355" i="106"/>
  <c r="D4355" i="106" s="1"/>
  <c r="B5659" i="106"/>
  <c r="D5659" i="106" s="1"/>
  <c r="F188" i="5"/>
  <c r="B6787" i="106"/>
  <c r="D6787" i="106" s="1"/>
  <c r="B6652" i="106"/>
  <c r="D6652" i="106" s="1"/>
  <c r="B6139" i="106"/>
  <c r="D6139" i="106" s="1"/>
  <c r="I34" i="3"/>
  <c r="B2910" i="106" s="1"/>
  <c r="D2910" i="106" s="1"/>
  <c r="B3532" i="106"/>
  <c r="D3532" i="106" s="1"/>
  <c r="B6764" i="106"/>
  <c r="D6764" i="106" s="1"/>
  <c r="L257" i="29"/>
  <c r="B6311" i="106"/>
  <c r="D6311" i="106" s="1"/>
  <c r="K145" i="29"/>
  <c r="B2811" i="106" s="1"/>
  <c r="D2811" i="106" s="1"/>
  <c r="B2808" i="106"/>
  <c r="D2808" i="106" s="1"/>
  <c r="B6162" i="106"/>
  <c r="D6162" i="106" s="1"/>
  <c r="B6854" i="106"/>
  <c r="D6854" i="106" s="1"/>
  <c r="D257" i="29"/>
  <c r="B1424" i="106" s="1"/>
  <c r="D1424" i="106" s="1"/>
  <c r="B1422" i="106"/>
  <c r="D1422" i="106" s="1"/>
  <c r="K245" i="29"/>
  <c r="K360" i="29"/>
  <c r="B3675" i="106" s="1"/>
  <c r="D3675" i="106" s="1"/>
  <c r="H362" i="29"/>
  <c r="B3657" i="106"/>
  <c r="D3657" i="106" s="1"/>
  <c r="B4797" i="106"/>
  <c r="D4797" i="106" s="1"/>
  <c r="B5494" i="106"/>
  <c r="D5494" i="106" s="1"/>
  <c r="F33" i="34"/>
  <c r="B6114" i="106"/>
  <c r="D6114" i="106" s="1"/>
  <c r="B2800" i="106"/>
  <c r="D2800" i="106" s="1"/>
  <c r="B5990" i="106"/>
  <c r="D5990" i="106" s="1"/>
  <c r="B3632" i="106"/>
  <c r="D3632" i="106" s="1"/>
  <c r="B6860" i="106"/>
  <c r="D6860" i="106" s="1"/>
  <c r="B6866" i="106"/>
  <c r="D6866" i="106" s="1"/>
  <c r="D188" i="5"/>
  <c r="B5426" i="106"/>
  <c r="D5426" i="106" s="1"/>
  <c r="B6144" i="106"/>
  <c r="D6144" i="106" s="1"/>
  <c r="B7188" i="106"/>
  <c r="D7188" i="106" s="1"/>
  <c r="B1020" i="106"/>
  <c r="D1020" i="106" s="1"/>
  <c r="B6081" i="106"/>
  <c r="D6081" i="106" s="1"/>
  <c r="B4377" i="106"/>
  <c r="D4377" i="106" s="1"/>
  <c r="B7805" i="106"/>
  <c r="D7805" i="106" s="1"/>
  <c r="B6140" i="106"/>
  <c r="D6140" i="106" s="1"/>
  <c r="B7679" i="106"/>
  <c r="D7679" i="106" s="1"/>
  <c r="B6248" i="106"/>
  <c r="D6248" i="106" s="1"/>
  <c r="E40" i="4"/>
  <c r="B6288" i="106" s="1"/>
  <c r="D6288" i="106" s="1"/>
  <c r="B780" i="106"/>
  <c r="D780" i="106" s="1"/>
  <c r="B6623" i="106"/>
  <c r="D6623" i="106" s="1"/>
  <c r="B6783" i="106"/>
  <c r="D6783" i="106" s="1"/>
  <c r="B7164" i="106"/>
  <c r="D7164" i="106" s="1"/>
  <c r="B6798" i="106"/>
  <c r="D6798" i="106" s="1"/>
  <c r="B7753" i="106"/>
  <c r="D7753" i="106" s="1"/>
  <c r="H44" i="4"/>
  <c r="B3296" i="106" s="1"/>
  <c r="D3296" i="106" s="1"/>
  <c r="B198" i="106"/>
  <c r="D198" i="106" s="1"/>
  <c r="B7029" i="106"/>
  <c r="D7029" i="106" s="1"/>
  <c r="L84" i="29"/>
  <c r="E330" i="29"/>
  <c r="E342" i="29" s="1"/>
  <c r="B7218" i="106" s="1"/>
  <c r="D7218" i="106" s="1"/>
  <c r="B7120" i="106"/>
  <c r="D7120" i="106" s="1"/>
  <c r="B7145" i="106"/>
  <c r="D7145" i="106" s="1"/>
  <c r="K322" i="29"/>
  <c r="B7153" i="106" s="1"/>
  <c r="D7153" i="106" s="1"/>
  <c r="B4192" i="106"/>
  <c r="D4192" i="106" s="1"/>
  <c r="B2980" i="106"/>
  <c r="D2980" i="106" s="1"/>
  <c r="B7764" i="106"/>
  <c r="D7764" i="106" s="1"/>
  <c r="F94" i="34"/>
  <c r="E194" i="29"/>
  <c r="K188" i="29"/>
  <c r="B3007" i="106" s="1"/>
  <c r="D3007" i="106" s="1"/>
  <c r="B2989" i="106"/>
  <c r="D2989" i="106" s="1"/>
  <c r="B7031" i="106"/>
  <c r="D7031" i="106" s="1"/>
  <c r="B6084" i="106"/>
  <c r="D6084" i="106" s="1"/>
  <c r="B3585" i="106"/>
  <c r="D3585" i="106" s="1"/>
  <c r="B2806" i="106"/>
  <c r="D2806" i="106" s="1"/>
  <c r="B6716" i="106"/>
  <c r="D6716" i="106" s="1"/>
  <c r="B1552" i="106"/>
  <c r="D1552" i="106" s="1"/>
  <c r="F175" i="5"/>
  <c r="B5655" i="106" s="1"/>
  <c r="D5655" i="106" s="1"/>
  <c r="B5654" i="106"/>
  <c r="D5654" i="106" s="1"/>
  <c r="K64" i="29"/>
  <c r="B743" i="106"/>
  <c r="D743" i="106" s="1"/>
  <c r="B5525" i="106"/>
  <c r="D5525" i="106" s="1"/>
  <c r="B1245" i="106"/>
  <c r="D1245" i="106" s="1"/>
  <c r="B4407" i="106"/>
  <c r="D4407" i="106" s="1"/>
  <c r="B851" i="106"/>
  <c r="D851" i="106" s="1"/>
  <c r="E57" i="29"/>
  <c r="B853" i="106" s="1"/>
  <c r="D853" i="106" s="1"/>
  <c r="L127" i="29"/>
  <c r="L129" i="29" s="1"/>
  <c r="B6667" i="106"/>
  <c r="D6667" i="106" s="1"/>
  <c r="B6697" i="106"/>
  <c r="D6697" i="106" s="1"/>
  <c r="B5333" i="106"/>
  <c r="D5333" i="106" s="1"/>
  <c r="B3721" i="106"/>
  <c r="D3721" i="106" s="1"/>
  <c r="K283" i="29"/>
  <c r="B3723" i="106" s="1"/>
  <c r="D3723" i="106" s="1"/>
  <c r="B854" i="106"/>
  <c r="D854" i="106" s="1"/>
  <c r="E65" i="29"/>
  <c r="B861" i="106" s="1"/>
  <c r="D861" i="106" s="1"/>
  <c r="B5351" i="106"/>
  <c r="D5351" i="106" s="1"/>
  <c r="B5991" i="106"/>
  <c r="D5991" i="106" s="1"/>
  <c r="B6782" i="106"/>
  <c r="D6782" i="106" s="1"/>
  <c r="B5844" i="106"/>
  <c r="D5844" i="106" s="1"/>
  <c r="G221" i="5"/>
  <c r="B5847" i="106" s="1"/>
  <c r="D5847" i="106" s="1"/>
  <c r="B7155" i="106"/>
  <c r="D7155" i="106" s="1"/>
  <c r="B6760" i="106"/>
  <c r="D6760" i="106" s="1"/>
  <c r="B5559" i="106"/>
  <c r="D5559" i="106" s="1"/>
  <c r="B17" i="7"/>
  <c r="B5064" i="106"/>
  <c r="D5064" i="106" s="1"/>
  <c r="B3000" i="106"/>
  <c r="D3000" i="106" s="1"/>
  <c r="F47" i="29"/>
  <c r="B905" i="106" s="1"/>
  <c r="D905" i="106" s="1"/>
  <c r="B902" i="106"/>
  <c r="D902" i="106" s="1"/>
  <c r="B6663" i="106"/>
  <c r="D6663" i="106" s="1"/>
  <c r="B6638" i="106"/>
  <c r="D6638" i="106" s="1"/>
  <c r="B779" i="106"/>
  <c r="D779" i="106" s="1"/>
  <c r="D42" i="29"/>
  <c r="E47" i="29"/>
  <c r="B847" i="106" s="1"/>
  <c r="D847" i="106" s="1"/>
  <c r="B844" i="106"/>
  <c r="D844" i="106" s="1"/>
  <c r="B3375" i="106"/>
  <c r="D3375" i="106" s="1"/>
  <c r="H137" i="29"/>
  <c r="B7775" i="106"/>
  <c r="D7775" i="106" s="1"/>
  <c r="B6116" i="106"/>
  <c r="D6116" i="106" s="1"/>
  <c r="K249" i="29"/>
  <c r="B7084" i="106" s="1"/>
  <c r="D7084" i="106" s="1"/>
  <c r="B7083" i="106"/>
  <c r="D7083" i="106" s="1"/>
  <c r="B6245" i="106"/>
  <c r="D6245" i="106" s="1"/>
  <c r="B2947" i="106"/>
  <c r="D2947" i="106" s="1"/>
  <c r="K101" i="29"/>
  <c r="B7015" i="106" s="1"/>
  <c r="D7015" i="106" s="1"/>
  <c r="B775" i="106"/>
  <c r="D775" i="106" s="1"/>
  <c r="K68" i="29"/>
  <c r="B747" i="106"/>
  <c r="D747" i="106" s="1"/>
  <c r="B738" i="106"/>
  <c r="D738" i="106" s="1"/>
  <c r="K59" i="29"/>
  <c r="C65" i="29"/>
  <c r="B745" i="106" s="1"/>
  <c r="D745" i="106" s="1"/>
  <c r="K253" i="29"/>
  <c r="B7092" i="106" s="1"/>
  <c r="D7092" i="106" s="1"/>
  <c r="B7091" i="106"/>
  <c r="D7091" i="106" s="1"/>
  <c r="B3638" i="106"/>
  <c r="D3638" i="106" s="1"/>
  <c r="F350" i="29"/>
  <c r="D204" i="5"/>
  <c r="B5444" i="106" s="1"/>
  <c r="D5444" i="106" s="1"/>
  <c r="B5431" i="106"/>
  <c r="D5431" i="106" s="1"/>
  <c r="B988" i="106"/>
  <c r="D988" i="106" s="1"/>
  <c r="B7693" i="106"/>
  <c r="D7693" i="106" s="1"/>
  <c r="B6831" i="106"/>
  <c r="D6831" i="106" s="1"/>
  <c r="B6646" i="106"/>
  <c r="D6646" i="106" s="1"/>
  <c r="B6308" i="106"/>
  <c r="D6308" i="106" s="1"/>
  <c r="B4354" i="106"/>
  <c r="D4354" i="106" s="1"/>
  <c r="B1432" i="106"/>
  <c r="D1432" i="106" s="1"/>
  <c r="K267" i="29"/>
  <c r="B1496" i="106" s="1"/>
  <c r="D1496" i="106" s="1"/>
  <c r="B130" i="106"/>
  <c r="D130" i="106" s="1"/>
  <c r="B6954" i="106"/>
  <c r="D6954" i="106" s="1"/>
  <c r="B4916" i="106"/>
  <c r="D4916" i="106" s="1"/>
  <c r="B915" i="106"/>
  <c r="D915" i="106" s="1"/>
  <c r="B6731" i="106"/>
  <c r="D6731" i="106" s="1"/>
  <c r="B6745" i="106"/>
  <c r="D6745" i="106" s="1"/>
  <c r="B6776" i="106"/>
  <c r="D6776" i="106" s="1"/>
  <c r="B7133" i="106"/>
  <c r="D7133" i="106" s="1"/>
  <c r="B2990" i="106"/>
  <c r="D2990" i="106" s="1"/>
  <c r="K189" i="29"/>
  <c r="B3008" i="106" s="1"/>
  <c r="D3008" i="106" s="1"/>
  <c r="B7036" i="106"/>
  <c r="D7036" i="106" s="1"/>
  <c r="B7178" i="106"/>
  <c r="D7178" i="106" s="1"/>
  <c r="B6857" i="106"/>
  <c r="D6857" i="106" s="1"/>
  <c r="B323" i="106"/>
  <c r="D323" i="106" s="1"/>
  <c r="D68" i="36"/>
  <c r="B7668" i="106"/>
  <c r="D7668" i="106" s="1"/>
  <c r="B6969" i="106"/>
  <c r="D6969" i="106" s="1"/>
  <c r="B4875" i="106"/>
  <c r="D4875" i="106" s="1"/>
  <c r="B6912" i="106"/>
  <c r="D6912" i="106" s="1"/>
  <c r="B7809" i="106"/>
  <c r="D7809" i="106" s="1"/>
  <c r="F167" i="34"/>
  <c r="B2999" i="106"/>
  <c r="D2999" i="106" s="1"/>
  <c r="B4420" i="106"/>
  <c r="D4420" i="106" s="1"/>
  <c r="I330" i="29"/>
  <c r="B7124" i="106"/>
  <c r="D7124" i="106" s="1"/>
  <c r="B5739" i="106"/>
  <c r="D5739" i="106" s="1"/>
  <c r="B7128" i="106"/>
  <c r="D7128" i="106" s="1"/>
  <c r="B975" i="106"/>
  <c r="D975" i="106" s="1"/>
  <c r="B6691" i="106"/>
  <c r="D6691" i="106" s="1"/>
  <c r="B4322" i="106"/>
  <c r="D4322" i="106" s="1"/>
  <c r="B5133" i="106"/>
  <c r="D5133" i="106" s="1"/>
  <c r="C132" i="5"/>
  <c r="C169" i="5" s="1"/>
  <c r="B5214" i="106" s="1"/>
  <c r="D5214" i="106" s="1"/>
  <c r="B7134" i="106"/>
  <c r="D7134" i="106" s="1"/>
  <c r="B5357" i="106"/>
  <c r="D5357" i="106" s="1"/>
  <c r="D114" i="5"/>
  <c r="B4446" i="106"/>
  <c r="D4446" i="106" s="1"/>
  <c r="B7655" i="106"/>
  <c r="D7655" i="106" s="1"/>
  <c r="B6761" i="106"/>
  <c r="D6761" i="106" s="1"/>
  <c r="F149" i="34"/>
  <c r="B1531" i="106"/>
  <c r="D1531" i="106" s="1"/>
  <c r="E303" i="29"/>
  <c r="B4813" i="106"/>
  <c r="D4813" i="106" s="1"/>
  <c r="D285" i="29"/>
  <c r="B3722" i="106" s="1"/>
  <c r="D3722" i="106" s="1"/>
  <c r="B7783" i="106"/>
  <c r="D7783" i="106" s="1"/>
  <c r="K282" i="29"/>
  <c r="K201" i="29"/>
  <c r="B2841" i="106" s="1"/>
  <c r="D2841" i="106" s="1"/>
  <c r="B2831" i="106"/>
  <c r="D2831" i="106" s="1"/>
  <c r="B1009" i="106"/>
  <c r="D1009" i="106" s="1"/>
  <c r="B5572" i="106"/>
  <c r="D5572" i="106" s="1"/>
  <c r="F90" i="34"/>
  <c r="B859" i="106"/>
  <c r="D859" i="106" s="1"/>
  <c r="L168" i="29"/>
  <c r="L172" i="29" s="1"/>
  <c r="L174" i="29" s="1"/>
  <c r="B324" i="106"/>
  <c r="D324" i="106" s="1"/>
  <c r="B774" i="106"/>
  <c r="D774" i="106" s="1"/>
  <c r="B6726" i="106"/>
  <c r="D6726" i="106" s="1"/>
  <c r="B809" i="106"/>
  <c r="D809" i="106" s="1"/>
  <c r="B5872" i="106"/>
  <c r="D5872" i="106" s="1"/>
  <c r="B6660" i="106"/>
  <c r="D6660" i="106" s="1"/>
  <c r="B6190" i="106"/>
  <c r="D6190" i="106" s="1"/>
  <c r="K206" i="29"/>
  <c r="B4210" i="106"/>
  <c r="D4210" i="106" s="1"/>
  <c r="B6964" i="106"/>
  <c r="D6964" i="106" s="1"/>
  <c r="J72" i="29"/>
  <c r="B6974" i="106" s="1"/>
  <c r="D6974" i="106" s="1"/>
  <c r="B1037" i="106"/>
  <c r="D1037" i="106" s="1"/>
  <c r="B951" i="106"/>
  <c r="D951" i="106" s="1"/>
  <c r="B7702" i="106"/>
  <c r="D7702" i="106" s="1"/>
  <c r="B6346" i="106"/>
  <c r="D6346" i="106" s="1"/>
  <c r="B5705" i="106"/>
  <c r="D5705" i="106" s="1"/>
  <c r="B718" i="106"/>
  <c r="D718" i="106" s="1"/>
  <c r="K14" i="29"/>
  <c r="B1106" i="106" s="1"/>
  <c r="D1106" i="106" s="1"/>
  <c r="B6717" i="106"/>
  <c r="D6717" i="106" s="1"/>
  <c r="B6662" i="106"/>
  <c r="D6662" i="106" s="1"/>
  <c r="B6096" i="106"/>
  <c r="D6096" i="106" s="1"/>
  <c r="B5528" i="106"/>
  <c r="D5528" i="106" s="1"/>
  <c r="E122" i="5"/>
  <c r="E170" i="5" s="1"/>
  <c r="B781" i="106"/>
  <c r="D781" i="106" s="1"/>
  <c r="B206" i="106"/>
  <c r="D206" i="106" s="1"/>
  <c r="B6291" i="106"/>
  <c r="D6291" i="106" s="1"/>
  <c r="B6083" i="106"/>
  <c r="D6083" i="106" s="1"/>
  <c r="B5022" i="106"/>
  <c r="D5022" i="106" s="1"/>
  <c r="C76" i="4"/>
  <c r="B3231" i="106" s="1"/>
  <c r="D3231" i="106" s="1"/>
  <c r="B6851" i="106"/>
  <c r="D6851" i="106" s="1"/>
  <c r="B6736" i="106"/>
  <c r="D6736" i="106" s="1"/>
  <c r="B4810" i="106"/>
  <c r="D4810" i="106" s="1"/>
  <c r="G181" i="5"/>
  <c r="B5784" i="106" s="1"/>
  <c r="D5784" i="106" s="1"/>
  <c r="K364" i="29"/>
  <c r="B7746" i="106" s="1"/>
  <c r="D7746" i="106" s="1"/>
  <c r="B7745" i="106"/>
  <c r="D7745" i="106" s="1"/>
  <c r="B4885" i="106"/>
  <c r="D4885" i="106" s="1"/>
  <c r="B6689" i="106"/>
  <c r="D6689" i="106" s="1"/>
  <c r="B3388" i="106"/>
  <c r="D3388" i="106" s="1"/>
  <c r="K217" i="29"/>
  <c r="B3391" i="106" s="1"/>
  <c r="D3391" i="106" s="1"/>
  <c r="B6641" i="106"/>
  <c r="D6641" i="106" s="1"/>
  <c r="B7652" i="106"/>
  <c r="D7652" i="106" s="1"/>
  <c r="B6874" i="106"/>
  <c r="D6874" i="106" s="1"/>
  <c r="B2719" i="106"/>
  <c r="D2719" i="106" s="1"/>
  <c r="B2720" i="106"/>
  <c r="D2720" i="106" s="1"/>
  <c r="B7731" i="106"/>
  <c r="D7731" i="106" s="1"/>
  <c r="B1409" i="106"/>
  <c r="D1409" i="106" s="1"/>
  <c r="K224" i="29"/>
  <c r="B1473" i="106" s="1"/>
  <c r="D1473" i="106" s="1"/>
  <c r="B7769" i="106"/>
  <c r="D7769" i="106" s="1"/>
  <c r="B4191" i="106"/>
  <c r="D4191" i="106" s="1"/>
  <c r="B7024" i="106"/>
  <c r="D7024" i="106" s="1"/>
  <c r="I127" i="29"/>
  <c r="B7033" i="106" s="1"/>
  <c r="D7033" i="106" s="1"/>
  <c r="B794" i="106"/>
  <c r="D794" i="106" s="1"/>
  <c r="B7173" i="106"/>
  <c r="D7173" i="106" s="1"/>
  <c r="B3297" i="106"/>
  <c r="D3297" i="106" s="1"/>
  <c r="B6953" i="106"/>
  <c r="D6953" i="106" s="1"/>
  <c r="H5" i="12"/>
  <c r="B5063" i="106"/>
  <c r="D5063" i="106" s="1"/>
  <c r="B14" i="7"/>
  <c r="B19" i="7" s="1"/>
  <c r="B1759" i="106" s="1"/>
  <c r="D1759" i="106" s="1"/>
  <c r="B6376" i="106"/>
  <c r="D6376" i="106" s="1"/>
  <c r="B7160" i="106"/>
  <c r="D7160" i="106" s="1"/>
  <c r="B6183" i="106"/>
  <c r="D6183" i="106" s="1"/>
  <c r="B6939" i="106"/>
  <c r="D6939" i="106" s="1"/>
  <c r="K49" i="29"/>
  <c r="B732" i="106"/>
  <c r="D732" i="106" s="1"/>
  <c r="C53" i="29"/>
  <c r="B734" i="106" s="1"/>
  <c r="D734" i="106" s="1"/>
  <c r="B5109" i="106"/>
  <c r="D5109" i="106" s="1"/>
  <c r="B651" i="106"/>
  <c r="D651" i="106" s="1"/>
  <c r="B979" i="106"/>
  <c r="D979" i="106" s="1"/>
  <c r="B5060" i="106"/>
  <c r="D5060" i="106" s="1"/>
  <c r="F117" i="34"/>
  <c r="B7851" i="106" s="1"/>
  <c r="D7851" i="106" s="1"/>
  <c r="B7191" i="106"/>
  <c r="D7191" i="106" s="1"/>
  <c r="L137" i="29"/>
  <c r="L139" i="29" s="1"/>
  <c r="K280" i="29"/>
  <c r="B1447" i="106"/>
  <c r="D1447" i="106" s="1"/>
  <c r="L72" i="29"/>
  <c r="L74" i="29" s="1"/>
  <c r="B6155" i="106"/>
  <c r="D6155" i="106" s="1"/>
  <c r="B1540" i="106"/>
  <c r="D1540" i="106" s="1"/>
  <c r="B4419" i="106"/>
  <c r="D4419" i="106" s="1"/>
  <c r="B7884" i="106"/>
  <c r="D7884" i="106" s="1"/>
  <c r="B6354" i="106"/>
  <c r="D6354" i="106" s="1"/>
  <c r="B6852" i="106"/>
  <c r="D6852" i="106" s="1"/>
  <c r="F24" i="34"/>
  <c r="B5574" i="106"/>
  <c r="D5574" i="106" s="1"/>
  <c r="B6166" i="106"/>
  <c r="D6166" i="106" s="1"/>
  <c r="B917" i="106"/>
  <c r="D917" i="106" s="1"/>
  <c r="B3377" i="106"/>
  <c r="D3377" i="106" s="1"/>
  <c r="B3655" i="106"/>
  <c r="D3655" i="106" s="1"/>
  <c r="B6971" i="106"/>
  <c r="D6971" i="106" s="1"/>
  <c r="B6722" i="106"/>
  <c r="D6722" i="106" s="1"/>
  <c r="B7683" i="106"/>
  <c r="D7683" i="106" s="1"/>
  <c r="G14" i="4"/>
  <c r="B2609" i="106" s="1"/>
  <c r="D2609" i="106" s="1"/>
  <c r="F28" i="108"/>
  <c r="B5147" i="106"/>
  <c r="D5147" i="106" s="1"/>
  <c r="D312" i="29"/>
  <c r="B1530" i="106" s="1"/>
  <c r="D1530" i="106" s="1"/>
  <c r="J74" i="29"/>
  <c r="K100" i="29"/>
  <c r="B7013" i="106" s="1"/>
  <c r="D7013" i="106" s="1"/>
  <c r="F210" i="29"/>
  <c r="B1359" i="106" s="1"/>
  <c r="D1359" i="106" s="1"/>
  <c r="B1756" i="106"/>
  <c r="D1756" i="106" s="1"/>
  <c r="B1139" i="106"/>
  <c r="D1139" i="106" s="1"/>
  <c r="D37" i="108"/>
  <c r="F37" i="108"/>
  <c r="B6301" i="106"/>
  <c r="D6301" i="106" s="1"/>
  <c r="E16" i="184"/>
  <c r="H16" i="184" s="1"/>
  <c r="D31" i="108"/>
  <c r="F31" i="108"/>
  <c r="B1131" i="106"/>
  <c r="D1131" i="106" s="1"/>
  <c r="B7201" i="106"/>
  <c r="D7201" i="106" s="1"/>
  <c r="H196" i="29"/>
  <c r="B2828" i="106"/>
  <c r="D2828" i="106" s="1"/>
  <c r="B3658" i="106"/>
  <c r="D3658" i="106" s="1"/>
  <c r="H365" i="29"/>
  <c r="B7242" i="106" s="1"/>
  <c r="D7242" i="106" s="1"/>
  <c r="B1053" i="106"/>
  <c r="D1053" i="106" s="1"/>
  <c r="H112" i="29"/>
  <c r="B7018" i="106" s="1"/>
  <c r="D7018" i="106" s="1"/>
  <c r="B1745" i="106"/>
  <c r="D1745" i="106" s="1"/>
  <c r="D5" i="7"/>
  <c r="B1761" i="106" s="1"/>
  <c r="D1761" i="106" s="1"/>
  <c r="B7171" i="106"/>
  <c r="D7171" i="106" s="1"/>
  <c r="E62" i="184"/>
  <c r="N62" i="184" s="1"/>
  <c r="B6901" i="106"/>
  <c r="D6901" i="106" s="1"/>
  <c r="F51" i="34"/>
  <c r="E63" i="184"/>
  <c r="N63" i="184" s="1"/>
  <c r="B7180" i="106"/>
  <c r="D7180" i="106" s="1"/>
  <c r="I74" i="29"/>
  <c r="E44" i="4"/>
  <c r="B3235" i="106"/>
  <c r="D3235" i="106" s="1"/>
  <c r="B1116" i="106"/>
  <c r="D1116" i="106" s="1"/>
  <c r="K47" i="29"/>
  <c r="B5893" i="106"/>
  <c r="D5893" i="106" s="1"/>
  <c r="B6840" i="106"/>
  <c r="D6840" i="106" s="1"/>
  <c r="K266" i="5"/>
  <c r="E174" i="29"/>
  <c r="B1309" i="106" s="1"/>
  <c r="D1309" i="106" s="1"/>
  <c r="B5513" i="106"/>
  <c r="D5513" i="106" s="1"/>
  <c r="B1475" i="106"/>
  <c r="D1475" i="106" s="1"/>
  <c r="K238" i="29"/>
  <c r="H129" i="29"/>
  <c r="B5246" i="106"/>
  <c r="D5246" i="106" s="1"/>
  <c r="F45" i="34"/>
  <c r="B6889" i="106"/>
  <c r="D6889" i="106" s="1"/>
  <c r="B1482" i="106"/>
  <c r="D1482" i="106" s="1"/>
  <c r="B3619" i="106"/>
  <c r="D3619" i="106" s="1"/>
  <c r="C352" i="29"/>
  <c r="B4156" i="106"/>
  <c r="D4156" i="106" s="1"/>
  <c r="H208" i="29"/>
  <c r="B1375" i="106" s="1"/>
  <c r="D1375" i="106" s="1"/>
  <c r="B4411" i="106"/>
  <c r="D4411" i="106" s="1"/>
  <c r="F47" i="34"/>
  <c r="B6357" i="106"/>
  <c r="D6357" i="106" s="1"/>
  <c r="J170" i="5"/>
  <c r="C14" i="4"/>
  <c r="B2558" i="106" s="1"/>
  <c r="D2558" i="106" s="1"/>
  <c r="B7135" i="106"/>
  <c r="D7135" i="106" s="1"/>
  <c r="D13" i="7"/>
  <c r="B3726" i="106" s="1"/>
  <c r="D3726" i="106" s="1"/>
  <c r="B3725" i="106"/>
  <c r="D3725" i="106" s="1"/>
  <c r="E59" i="184"/>
  <c r="N59" i="184" s="1"/>
  <c r="B6838" i="106"/>
  <c r="D6838" i="106" s="1"/>
  <c r="H266" i="5"/>
  <c r="G312" i="29"/>
  <c r="B1548" i="106" s="1"/>
  <c r="D1548" i="106" s="1"/>
  <c r="B7203" i="106"/>
  <c r="D7203" i="106" s="1"/>
  <c r="G342" i="29"/>
  <c r="B7696" i="106"/>
  <c r="D7696" i="106" s="1"/>
  <c r="H139" i="29"/>
  <c r="B1267" i="106" s="1"/>
  <c r="D1267" i="106" s="1"/>
  <c r="B2091" i="106"/>
  <c r="D2091" i="106" s="1"/>
  <c r="B7064" i="106"/>
  <c r="D7064" i="106" s="1"/>
  <c r="J210" i="29"/>
  <c r="B7072" i="106" s="1"/>
  <c r="D7072" i="106" s="1"/>
  <c r="B1364" i="106"/>
  <c r="D1364" i="106" s="1"/>
  <c r="G210" i="29"/>
  <c r="D27" i="108"/>
  <c r="B1127" i="106"/>
  <c r="D1127" i="106" s="1"/>
  <c r="F27" i="108"/>
  <c r="B6887" i="106"/>
  <c r="D6887" i="106" s="1"/>
  <c r="F44" i="34"/>
  <c r="B4373" i="106"/>
  <c r="D4373" i="106" s="1"/>
  <c r="I267" i="5"/>
  <c r="I170" i="5"/>
  <c r="B3446" i="106"/>
  <c r="D3446" i="106" s="1"/>
  <c r="D16" i="7"/>
  <c r="B3447" i="106" s="1"/>
  <c r="D3447" i="106" s="1"/>
  <c r="G30" i="108"/>
  <c r="E30" i="108"/>
  <c r="B1130" i="106"/>
  <c r="D1130" i="106" s="1"/>
  <c r="B7126" i="106"/>
  <c r="D7126" i="106" s="1"/>
  <c r="B1553" i="106"/>
  <c r="D1553" i="106" s="1"/>
  <c r="E17" i="184"/>
  <c r="H17" i="184" s="1"/>
  <c r="K72" i="29"/>
  <c r="B1141" i="106" s="1"/>
  <c r="D1141" i="106" s="1"/>
  <c r="G33" i="108"/>
  <c r="B1134" i="106"/>
  <c r="D1134" i="106" s="1"/>
  <c r="E33" i="108"/>
  <c r="F46" i="34"/>
  <c r="B6891" i="106"/>
  <c r="D6891" i="106" s="1"/>
  <c r="D6" i="7"/>
  <c r="B1762" i="106" s="1"/>
  <c r="D1762" i="106" s="1"/>
  <c r="B1746" i="106"/>
  <c r="D1746" i="106" s="1"/>
  <c r="B4395" i="106"/>
  <c r="D4395" i="106" s="1"/>
  <c r="I210" i="29"/>
  <c r="B7063" i="106"/>
  <c r="D7063" i="106" s="1"/>
  <c r="B7103" i="106"/>
  <c r="D7103" i="106" s="1"/>
  <c r="I312" i="29"/>
  <c r="B7116" i="106" s="1"/>
  <c r="D7116" i="106" s="1"/>
  <c r="B1452" i="106"/>
  <c r="D1452" i="106" s="1"/>
  <c r="H295" i="29"/>
  <c r="B1454" i="106" s="1"/>
  <c r="D1454" i="106" s="1"/>
  <c r="B7778" i="106"/>
  <c r="D7778" i="106" s="1"/>
  <c r="K160" i="29"/>
  <c r="B7231" i="106"/>
  <c r="D7231" i="106" s="1"/>
  <c r="J352" i="29"/>
  <c r="B3626" i="106"/>
  <c r="D3626" i="106" s="1"/>
  <c r="D352" i="29"/>
  <c r="B3654" i="106"/>
  <c r="D3654" i="106" s="1"/>
  <c r="H352" i="29"/>
  <c r="B5534" i="106"/>
  <c r="D5534" i="106" s="1"/>
  <c r="B7784" i="106"/>
  <c r="D7784" i="106" s="1"/>
  <c r="K285" i="29"/>
  <c r="B1329" i="106"/>
  <c r="D1329" i="106" s="1"/>
  <c r="F61" i="34"/>
  <c r="B5125" i="106"/>
  <c r="D5125" i="106" s="1"/>
  <c r="C5" i="4"/>
  <c r="B3405" i="106" s="1"/>
  <c r="D3405" i="106" s="1"/>
  <c r="D169" i="5"/>
  <c r="F35" i="34"/>
  <c r="B7827" i="106" s="1"/>
  <c r="D7827" i="106" s="1"/>
  <c r="B6853" i="106"/>
  <c r="D6853" i="106" s="1"/>
  <c r="E14" i="184"/>
  <c r="H14" i="184" s="1"/>
  <c r="B1124" i="106"/>
  <c r="D1124" i="106" s="1"/>
  <c r="B5334" i="106"/>
  <c r="D5334" i="106" s="1"/>
  <c r="B6885" i="106"/>
  <c r="D6885" i="106" s="1"/>
  <c r="F43" i="34"/>
  <c r="B1747" i="106"/>
  <c r="D1747" i="106" s="1"/>
  <c r="D7" i="7"/>
  <c r="B1763" i="106" s="1"/>
  <c r="D1763" i="106" s="1"/>
  <c r="E102" i="29"/>
  <c r="B2789" i="106"/>
  <c r="D2789" i="106" s="1"/>
  <c r="B5102" i="106"/>
  <c r="D5102" i="106" s="1"/>
  <c r="F96" i="34"/>
  <c r="B7838" i="106" s="1"/>
  <c r="D7838" i="106" s="1"/>
  <c r="B7199" i="106"/>
  <c r="D7199" i="106" s="1"/>
  <c r="C342" i="29"/>
  <c r="B7216" i="106" s="1"/>
  <c r="D7216" i="106" s="1"/>
  <c r="B1314" i="106"/>
  <c r="D1314" i="106" s="1"/>
  <c r="H172" i="29"/>
  <c r="B1123" i="106"/>
  <c r="D1123" i="106" s="1"/>
  <c r="K57" i="29"/>
  <c r="B1523" i="106"/>
  <c r="D1523" i="106" s="1"/>
  <c r="C312" i="29"/>
  <c r="B1524" i="106" s="1"/>
  <c r="D1524" i="106" s="1"/>
  <c r="H76" i="4"/>
  <c r="D9" i="7"/>
  <c r="B1767" i="106" s="1"/>
  <c r="D1767" i="106" s="1"/>
  <c r="B6881" i="106"/>
  <c r="D6881" i="106" s="1"/>
  <c r="F41" i="34"/>
  <c r="J77" i="4"/>
  <c r="B6262" i="106" s="1"/>
  <c r="D6262" i="106" s="1"/>
  <c r="B6238" i="106"/>
  <c r="D6238" i="106" s="1"/>
  <c r="B1749" i="106"/>
  <c r="D1749" i="106" s="1"/>
  <c r="D10" i="7"/>
  <c r="B1765" i="106" s="1"/>
  <c r="D1765" i="106" s="1"/>
  <c r="B7209" i="106"/>
  <c r="D7209" i="106" s="1"/>
  <c r="K340" i="29"/>
  <c r="B1470" i="106"/>
  <c r="D1470" i="106" s="1"/>
  <c r="F70" i="34"/>
  <c r="B1753" i="106"/>
  <c r="D1753" i="106" s="1"/>
  <c r="D12" i="7"/>
  <c r="B1769" i="106" s="1"/>
  <c r="D1769" i="106" s="1"/>
  <c r="B6899" i="106"/>
  <c r="D6899" i="106" s="1"/>
  <c r="F50" i="34"/>
  <c r="B7198" i="106"/>
  <c r="D7198" i="106" s="1"/>
  <c r="B3640" i="106"/>
  <c r="D3640" i="106" s="1"/>
  <c r="F352" i="29"/>
  <c r="B1135" i="106"/>
  <c r="D1135" i="106" s="1"/>
  <c r="G34" i="108"/>
  <c r="E34" i="108"/>
  <c r="B4102" i="106"/>
  <c r="D4102" i="106" s="1"/>
  <c r="D17" i="7"/>
  <c r="B4104" i="106" s="1"/>
  <c r="D4104" i="106" s="1"/>
  <c r="F64" i="34"/>
  <c r="B4211" i="106"/>
  <c r="D4211" i="106" s="1"/>
  <c r="B7206" i="106"/>
  <c r="D7206" i="106" s="1"/>
  <c r="J342" i="29"/>
  <c r="B7223" i="106" s="1"/>
  <c r="D7223" i="106" s="1"/>
  <c r="B3633" i="106"/>
  <c r="D3633" i="106" s="1"/>
  <c r="E352" i="29"/>
  <c r="B1541" i="106"/>
  <c r="D1541" i="106" s="1"/>
  <c r="F312" i="29"/>
  <c r="B1542" i="106" s="1"/>
  <c r="D1542" i="106" s="1"/>
  <c r="B7189" i="106"/>
  <c r="D7189" i="106" s="1"/>
  <c r="G352" i="29"/>
  <c r="B3647" i="106"/>
  <c r="D3647" i="106" s="1"/>
  <c r="B6883" i="106"/>
  <c r="D6883" i="106" s="1"/>
  <c r="F42" i="34"/>
  <c r="B6858" i="106"/>
  <c r="D6858" i="106" s="1"/>
  <c r="F36" i="34"/>
  <c r="B7828" i="106" s="1"/>
  <c r="D7828" i="106" s="1"/>
  <c r="B2973" i="106"/>
  <c r="D2973" i="106" s="1"/>
  <c r="B6897" i="106"/>
  <c r="D6897" i="106" s="1"/>
  <c r="F49" i="34"/>
  <c r="C210" i="29"/>
  <c r="B1340" i="106" s="1"/>
  <c r="D1340" i="106" s="1"/>
  <c r="B1339" i="106"/>
  <c r="D1339" i="106" s="1"/>
  <c r="E38" i="108"/>
  <c r="B1142" i="106"/>
  <c r="D1142" i="106" s="1"/>
  <c r="B1324" i="106"/>
  <c r="D1324" i="106" s="1"/>
  <c r="F69" i="34"/>
  <c r="B7202" i="106"/>
  <c r="D7202" i="106" s="1"/>
  <c r="F342" i="29"/>
  <c r="B7219" i="106" s="1"/>
  <c r="D7219" i="106" s="1"/>
  <c r="B3252" i="106"/>
  <c r="D3252" i="106" s="1"/>
  <c r="F77" i="4"/>
  <c r="B3255" i="106" s="1"/>
  <c r="D3255" i="106" s="1"/>
  <c r="B2724" i="106"/>
  <c r="D2724" i="106" s="1"/>
  <c r="E13" i="184"/>
  <c r="F67" i="34"/>
  <c r="B7074" i="106"/>
  <c r="D7074" i="106" s="1"/>
  <c r="I352" i="29"/>
  <c r="B7230" i="106"/>
  <c r="D7230" i="106" s="1"/>
  <c r="B1512" i="106"/>
  <c r="D1512" i="106" s="1"/>
  <c r="K293" i="29"/>
  <c r="F36" i="108"/>
  <c r="D36" i="108"/>
  <c r="B1137" i="106"/>
  <c r="D1137" i="106" s="1"/>
  <c r="B6895" i="106"/>
  <c r="D6895" i="106" s="1"/>
  <c r="F48" i="34"/>
  <c r="B1107" i="106"/>
  <c r="D1107" i="106" s="1"/>
  <c r="F38" i="34"/>
  <c r="B7830" i="106" s="1"/>
  <c r="D7830" i="106" s="1"/>
  <c r="B5987" i="106"/>
  <c r="D5987" i="106" s="1"/>
  <c r="K109" i="5"/>
  <c r="B281" i="106"/>
  <c r="D281" i="106" s="1"/>
  <c r="D54" i="36"/>
  <c r="A7261" i="106"/>
  <c r="D7260" i="106"/>
  <c r="B288" i="106"/>
  <c r="D288" i="106" s="1"/>
  <c r="E60" i="184" l="1"/>
  <c r="N60" i="184" s="1"/>
  <c r="D342" i="29"/>
  <c r="B7217" i="106" s="1"/>
  <c r="D7217" i="106" s="1"/>
  <c r="B7104" i="106"/>
  <c r="D7104" i="106" s="1"/>
  <c r="D279" i="29"/>
  <c r="K243" i="29"/>
  <c r="B1485" i="106" s="1"/>
  <c r="D1485" i="106" s="1"/>
  <c r="B1345" i="106"/>
  <c r="D1345" i="106" s="1"/>
  <c r="K168" i="29"/>
  <c r="G129" i="29"/>
  <c r="K127" i="29"/>
  <c r="G74" i="29"/>
  <c r="B6879" i="106"/>
  <c r="D6879" i="106" s="1"/>
  <c r="K184" i="29"/>
  <c r="K277" i="29"/>
  <c r="B1508" i="106" s="1"/>
  <c r="D1508" i="106" s="1"/>
  <c r="H312" i="29"/>
  <c r="B1554" i="106" s="1"/>
  <c r="D1554" i="106" s="1"/>
  <c r="K330" i="29"/>
  <c r="E266" i="5"/>
  <c r="F128" i="34"/>
  <c r="B7860" i="106" s="1"/>
  <c r="D7860" i="106" s="1"/>
  <c r="F126" i="34"/>
  <c r="B7858" i="106" s="1"/>
  <c r="D7858" i="106" s="1"/>
  <c r="D14" i="7"/>
  <c r="B1770" i="106" s="1"/>
  <c r="D1770" i="106" s="1"/>
  <c r="B1754" i="106"/>
  <c r="D1754" i="106" s="1"/>
  <c r="B1120" i="106"/>
  <c r="D1120" i="106" s="1"/>
  <c r="K53" i="29"/>
  <c r="B1122" i="106" s="1"/>
  <c r="D1122" i="106" s="1"/>
  <c r="E196" i="29"/>
  <c r="B1352" i="106" s="1"/>
  <c r="D1352" i="106" s="1"/>
  <c r="B2823" i="106"/>
  <c r="D2823" i="106" s="1"/>
  <c r="B5725" i="106"/>
  <c r="D5725" i="106" s="1"/>
  <c r="G109" i="5"/>
  <c r="B5232" i="106"/>
  <c r="D5232" i="106" s="1"/>
  <c r="F124" i="34"/>
  <c r="B7856" i="106" s="1"/>
  <c r="D7856" i="106" s="1"/>
  <c r="B1129" i="106"/>
  <c r="D1129" i="106" s="1"/>
  <c r="E29" i="108"/>
  <c r="G29" i="108"/>
  <c r="F95" i="34"/>
  <c r="B5096" i="106"/>
  <c r="D5096" i="106" s="1"/>
  <c r="K76" i="4"/>
  <c r="B3586" i="106" s="1"/>
  <c r="D3586" i="106" s="1"/>
  <c r="F71" i="34"/>
  <c r="D109" i="5"/>
  <c r="B5356" i="106" s="1"/>
  <c r="D5356" i="106" s="1"/>
  <c r="E61" i="184"/>
  <c r="N61" i="184" s="1"/>
  <c r="B4087" i="106"/>
  <c r="D4087" i="106" s="1"/>
  <c r="E58" i="184"/>
  <c r="B1144" i="106"/>
  <c r="D1144" i="106" s="1"/>
  <c r="E109" i="5"/>
  <c r="B5527" i="106" s="1"/>
  <c r="D5527" i="106" s="1"/>
  <c r="F127" i="34"/>
  <c r="B7859" i="106" s="1"/>
  <c r="D7859" i="106" s="1"/>
  <c r="H170" i="5"/>
  <c r="B5906" i="106" s="1"/>
  <c r="D5906" i="106" s="1"/>
  <c r="D77" i="4"/>
  <c r="B3238" i="106" s="1"/>
  <c r="D3238" i="106" s="1"/>
  <c r="B1744" i="106"/>
  <c r="D1744" i="106" s="1"/>
  <c r="J109" i="5"/>
  <c r="B6352" i="106" s="1"/>
  <c r="D6352" i="106" s="1"/>
  <c r="I129" i="29"/>
  <c r="F74" i="29"/>
  <c r="F114" i="29" s="1"/>
  <c r="B931" i="106" s="1"/>
  <c r="D931" i="106" s="1"/>
  <c r="K42" i="29"/>
  <c r="B1115" i="106" s="1"/>
  <c r="D1115" i="106" s="1"/>
  <c r="L102" i="29"/>
  <c r="L114" i="29" s="1"/>
  <c r="E67" i="184"/>
  <c r="N67" i="184" s="1"/>
  <c r="B7705" i="106"/>
  <c r="D7705" i="106" s="1"/>
  <c r="B2805" i="106"/>
  <c r="D2805" i="106" s="1"/>
  <c r="F56" i="34"/>
  <c r="B7832" i="106" s="1"/>
  <c r="D7832" i="106" s="1"/>
  <c r="D14" i="4"/>
  <c r="B2570" i="106" s="1"/>
  <c r="D2570" i="106" s="1"/>
  <c r="B1752" i="106"/>
  <c r="D1752" i="106" s="1"/>
  <c r="D11" i="7"/>
  <c r="B1768" i="106" s="1"/>
  <c r="D1768" i="106" s="1"/>
  <c r="B727" i="106"/>
  <c r="D727" i="106" s="1"/>
  <c r="C74" i="29"/>
  <c r="B2105" i="106"/>
  <c r="D2105" i="106" s="1"/>
  <c r="I76" i="4"/>
  <c r="B1492" i="106"/>
  <c r="D1492" i="106" s="1"/>
  <c r="K270" i="29"/>
  <c r="B1500" i="106" s="1"/>
  <c r="D1500" i="106" s="1"/>
  <c r="B1283" i="106"/>
  <c r="D1283" i="106" s="1"/>
  <c r="K147" i="29"/>
  <c r="B5780" i="106"/>
  <c r="D5780" i="106" s="1"/>
  <c r="B6848" i="106"/>
  <c r="D6848" i="106" s="1"/>
  <c r="F34" i="34"/>
  <c r="B7826" i="106" s="1"/>
  <c r="D7826" i="106" s="1"/>
  <c r="L210" i="29"/>
  <c r="B1489" i="106"/>
  <c r="D1489" i="106" s="1"/>
  <c r="K261" i="29"/>
  <c r="B1491" i="106" s="1"/>
  <c r="D1491" i="106" s="1"/>
  <c r="J266" i="5"/>
  <c r="B7041" i="106" s="1"/>
  <c r="D7041" i="106" s="1"/>
  <c r="B6839" i="106"/>
  <c r="D6839" i="106" s="1"/>
  <c r="K357" i="29"/>
  <c r="B7792" i="106"/>
  <c r="D7792" i="106" s="1"/>
  <c r="F125" i="34"/>
  <c r="B7857" i="106" s="1"/>
  <c r="D7857" i="106" s="1"/>
  <c r="B778" i="106"/>
  <c r="D778" i="106" s="1"/>
  <c r="B5918" i="106"/>
  <c r="D5918" i="106" s="1"/>
  <c r="I109" i="5"/>
  <c r="I268" i="5" s="1"/>
  <c r="B5946" i="106" s="1"/>
  <c r="D5946" i="106" s="1"/>
  <c r="B1555" i="106"/>
  <c r="D1555" i="106" s="1"/>
  <c r="K303" i="29"/>
  <c r="B4398" i="106"/>
  <c r="D4398" i="106" s="1"/>
  <c r="G266" i="5"/>
  <c r="B5863" i="106" s="1"/>
  <c r="D5863" i="106" s="1"/>
  <c r="F5" i="4"/>
  <c r="B3408" i="106" s="1"/>
  <c r="D3408" i="106" s="1"/>
  <c r="B5592" i="106"/>
  <c r="D5592" i="106" s="1"/>
  <c r="B843" i="106"/>
  <c r="D843" i="106" s="1"/>
  <c r="E74" i="29"/>
  <c r="B871" i="106" s="1"/>
  <c r="D871" i="106" s="1"/>
  <c r="B5557" i="106"/>
  <c r="D5557" i="106" s="1"/>
  <c r="F109" i="5"/>
  <c r="B1104" i="106"/>
  <c r="D1104" i="106" s="1"/>
  <c r="F37" i="34"/>
  <c r="B7829" i="106" s="1"/>
  <c r="D7829" i="106" s="1"/>
  <c r="B6995" i="106"/>
  <c r="D6995" i="106" s="1"/>
  <c r="B1501" i="106"/>
  <c r="D1501" i="106" s="1"/>
  <c r="H102" i="29"/>
  <c r="F52" i="34"/>
  <c r="B7831" i="106" s="1"/>
  <c r="D7831" i="106" s="1"/>
  <c r="K137" i="29"/>
  <c r="K139" i="29" s="1"/>
  <c r="K33" i="29"/>
  <c r="G19" i="108" s="1"/>
  <c r="K362" i="29"/>
  <c r="F72" i="34"/>
  <c r="B1511" i="106"/>
  <c r="D1511" i="106" s="1"/>
  <c r="B1535" i="106"/>
  <c r="D1535" i="106" s="1"/>
  <c r="E312" i="29"/>
  <c r="B1536" i="106" s="1"/>
  <c r="D1536" i="106" s="1"/>
  <c r="B1126" i="106"/>
  <c r="D1126" i="106" s="1"/>
  <c r="D26" i="108"/>
  <c r="D41" i="108" s="1"/>
  <c r="E43" i="108" s="1"/>
  <c r="E15" i="184"/>
  <c r="F26" i="108"/>
  <c r="F41" i="108" s="1"/>
  <c r="G43" i="108" s="1"/>
  <c r="B785" i="106"/>
  <c r="D785" i="106" s="1"/>
  <c r="D74" i="29"/>
  <c r="B813" i="106" s="1"/>
  <c r="D813" i="106" s="1"/>
  <c r="L151" i="29"/>
  <c r="B4396" i="106"/>
  <c r="D4396" i="106" s="1"/>
  <c r="D266" i="5"/>
  <c r="B5501" i="106" s="1"/>
  <c r="D5501" i="106" s="1"/>
  <c r="B4397" i="106"/>
  <c r="D4397" i="106" s="1"/>
  <c r="F266" i="5"/>
  <c r="E129" i="29"/>
  <c r="H342" i="29"/>
  <c r="B7221" i="106" s="1"/>
  <c r="D7221" i="106" s="1"/>
  <c r="B7204" i="106"/>
  <c r="D7204" i="106" s="1"/>
  <c r="E12" i="184"/>
  <c r="H12" i="184" s="1"/>
  <c r="B1121" i="106"/>
  <c r="D1121" i="106" s="1"/>
  <c r="B5066" i="106"/>
  <c r="D5066" i="106" s="1"/>
  <c r="C109" i="5"/>
  <c r="E28" i="108"/>
  <c r="B1128" i="106"/>
  <c r="D1128" i="106" s="1"/>
  <c r="E35" i="108"/>
  <c r="B1136" i="106"/>
  <c r="D1136" i="106" s="1"/>
  <c r="G35" i="108"/>
  <c r="B5752" i="106"/>
  <c r="D5752" i="106" s="1"/>
  <c r="G169" i="5"/>
  <c r="B5770" i="106" s="1"/>
  <c r="D5770" i="106" s="1"/>
  <c r="B7786" i="106"/>
  <c r="D7786" i="106" s="1"/>
  <c r="K334" i="29"/>
  <c r="F68" i="34"/>
  <c r="B7076" i="106"/>
  <c r="D7076" i="106" s="1"/>
  <c r="B4103" i="106"/>
  <c r="D4103" i="106" s="1"/>
  <c r="D18" i="7"/>
  <c r="B4105" i="106" s="1"/>
  <c r="D4105" i="106" s="1"/>
  <c r="G38" i="108"/>
  <c r="B5178" i="106"/>
  <c r="D5178" i="106" s="1"/>
  <c r="F112" i="34"/>
  <c r="B7847" i="106" s="1"/>
  <c r="D7847" i="106" s="1"/>
  <c r="B3668" i="106"/>
  <c r="D3668" i="106" s="1"/>
  <c r="K350" i="29"/>
  <c r="C129" i="29"/>
  <c r="B1351" i="106"/>
  <c r="D1351" i="106" s="1"/>
  <c r="E210" i="29"/>
  <c r="B1353" i="106" s="1"/>
  <c r="D1353" i="106" s="1"/>
  <c r="C77" i="4"/>
  <c r="B3232" i="106" s="1"/>
  <c r="D3232" i="106" s="1"/>
  <c r="B3229" i="106"/>
  <c r="D3229" i="106" s="1"/>
  <c r="B5423" i="106"/>
  <c r="D5423" i="106" s="1"/>
  <c r="B6006" i="106"/>
  <c r="D6006" i="106" s="1"/>
  <c r="K170" i="5"/>
  <c r="F158" i="34"/>
  <c r="B7866" i="106" s="1"/>
  <c r="D7866" i="106" s="1"/>
  <c r="K84" i="29"/>
  <c r="K102" i="29" s="1"/>
  <c r="F129" i="29"/>
  <c r="F151" i="29" s="1"/>
  <c r="B1250" i="106" s="1"/>
  <c r="D1250" i="106" s="1"/>
  <c r="G39" i="108"/>
  <c r="K194" i="29"/>
  <c r="K110" i="29"/>
  <c r="K65" i="29"/>
  <c r="B1133" i="106" s="1"/>
  <c r="D1133" i="106" s="1"/>
  <c r="K229" i="29"/>
  <c r="H12" i="12"/>
  <c r="B1972" i="106"/>
  <c r="D1972" i="106" s="1"/>
  <c r="F106" i="34"/>
  <c r="B7842" i="106" s="1"/>
  <c r="D7842" i="106" s="1"/>
  <c r="B7205" i="106"/>
  <c r="D7205" i="106" s="1"/>
  <c r="I342" i="29"/>
  <c r="B1486" i="106"/>
  <c r="D1486" i="106" s="1"/>
  <c r="K257" i="29"/>
  <c r="B1488" i="106" s="1"/>
  <c r="D1488" i="106" s="1"/>
  <c r="G151" i="29"/>
  <c r="B1258" i="106"/>
  <c r="D1258" i="106" s="1"/>
  <c r="B1017" i="106"/>
  <c r="D1017" i="106" s="1"/>
  <c r="H74" i="29"/>
  <c r="B1045" i="106" s="1"/>
  <c r="D1045" i="106" s="1"/>
  <c r="J151" i="29"/>
  <c r="B7052" i="106" s="1"/>
  <c r="D7052" i="106" s="1"/>
  <c r="B7038" i="106"/>
  <c r="D7038" i="106" s="1"/>
  <c r="B5161" i="106"/>
  <c r="D5161" i="106" s="1"/>
  <c r="F107" i="34"/>
  <c r="B7843" i="106" s="1"/>
  <c r="D7843" i="106" s="1"/>
  <c r="B5741" i="106"/>
  <c r="D5741" i="106" s="1"/>
  <c r="G5" i="4"/>
  <c r="B3409" i="106" s="1"/>
  <c r="D3409" i="106" s="1"/>
  <c r="B6877" i="106"/>
  <c r="D6877" i="106" s="1"/>
  <c r="F39" i="34"/>
  <c r="B5132" i="106"/>
  <c r="D5132" i="106" s="1"/>
  <c r="C170" i="5"/>
  <c r="B5165" i="106"/>
  <c r="D5165" i="106" s="1"/>
  <c r="F108" i="34"/>
  <c r="B7844" i="106" s="1"/>
  <c r="D7844" i="106" s="1"/>
  <c r="B5748" i="106"/>
  <c r="D5748" i="106" s="1"/>
  <c r="B5614" i="106"/>
  <c r="D5614" i="106" s="1"/>
  <c r="F169" i="5"/>
  <c r="B5644" i="106" s="1"/>
  <c r="D5644" i="106" s="1"/>
  <c r="B5304" i="106"/>
  <c r="D5304" i="106" s="1"/>
  <c r="F133" i="34"/>
  <c r="B7865" i="106" s="1"/>
  <c r="D7865" i="106" s="1"/>
  <c r="B1383" i="106"/>
  <c r="D1383" i="106" s="1"/>
  <c r="K204" i="29"/>
  <c r="F15" i="184"/>
  <c r="F19" i="184" s="1"/>
  <c r="B1274" i="106"/>
  <c r="D1274" i="106" s="1"/>
  <c r="E26" i="108"/>
  <c r="G26" i="108"/>
  <c r="B5873" i="106"/>
  <c r="D5873" i="106" s="1"/>
  <c r="H109" i="5"/>
  <c r="B7712" i="106"/>
  <c r="D7712" i="106" s="1"/>
  <c r="K12" i="12"/>
  <c r="D129" i="29"/>
  <c r="L279" i="29"/>
  <c r="L295" i="29" s="1"/>
  <c r="B5599" i="106"/>
  <c r="D5599" i="106" s="1"/>
  <c r="B5360" i="106"/>
  <c r="D5360" i="106" s="1"/>
  <c r="D5" i="4"/>
  <c r="B3406" i="106" s="1"/>
  <c r="D3406" i="106" s="1"/>
  <c r="H149" i="29"/>
  <c r="B1272" i="106" s="1"/>
  <c r="D1272" i="106" s="1"/>
  <c r="B7047" i="106"/>
  <c r="D7047" i="106" s="1"/>
  <c r="B4202" i="106"/>
  <c r="D4202" i="106" s="1"/>
  <c r="E139" i="29"/>
  <c r="B4203" i="106" s="1"/>
  <c r="D4203" i="106" s="1"/>
  <c r="B7107" i="106"/>
  <c r="D7107" i="106" s="1"/>
  <c r="K310" i="29"/>
  <c r="B6400" i="106"/>
  <c r="D6400" i="106" s="1"/>
  <c r="B3258" i="106"/>
  <c r="D3258" i="106" s="1"/>
  <c r="G77" i="4"/>
  <c r="B3261" i="106" s="1"/>
  <c r="D3261" i="106" s="1"/>
  <c r="B929" i="106"/>
  <c r="D929" i="106" s="1"/>
  <c r="G21" i="108"/>
  <c r="B2093" i="106"/>
  <c r="D2093" i="106" s="1"/>
  <c r="B3676" i="106"/>
  <c r="D3676" i="106" s="1"/>
  <c r="K365" i="29"/>
  <c r="K196" i="29"/>
  <c r="B2837" i="106"/>
  <c r="D2837" i="106" s="1"/>
  <c r="B1474" i="106"/>
  <c r="D1474" i="106" s="1"/>
  <c r="G12" i="4"/>
  <c r="B2607" i="106" s="1"/>
  <c r="D2607" i="106" s="1"/>
  <c r="K129" i="29"/>
  <c r="B1279" i="106"/>
  <c r="D1279" i="106" s="1"/>
  <c r="D295" i="29"/>
  <c r="B1448" i="106" s="1"/>
  <c r="D1448" i="106" s="1"/>
  <c r="B1446" i="106"/>
  <c r="D1446" i="106" s="1"/>
  <c r="J114" i="29"/>
  <c r="B7021" i="106" s="1"/>
  <c r="D7021" i="106" s="1"/>
  <c r="B6978" i="106"/>
  <c r="D6978" i="106" s="1"/>
  <c r="H13" i="184"/>
  <c r="K172" i="29"/>
  <c r="B1328" i="106"/>
  <c r="D1328" i="106" s="1"/>
  <c r="K77" i="4"/>
  <c r="B3587" i="106" s="1"/>
  <c r="D3587" i="106" s="1"/>
  <c r="B3635" i="106"/>
  <c r="D3635" i="106" s="1"/>
  <c r="E367" i="29"/>
  <c r="B3636" i="106" s="1"/>
  <c r="D3636" i="106" s="1"/>
  <c r="B1317" i="106"/>
  <c r="D1317" i="106" s="1"/>
  <c r="H174" i="29"/>
  <c r="B1318" i="106" s="1"/>
  <c r="D1318" i="106" s="1"/>
  <c r="B5412" i="106"/>
  <c r="D5412" i="106" s="1"/>
  <c r="D170" i="5"/>
  <c r="B7071" i="106"/>
  <c r="D7071" i="106" s="1"/>
  <c r="F66" i="34"/>
  <c r="J13" i="4"/>
  <c r="E23" i="108"/>
  <c r="B7207" i="106"/>
  <c r="D7207" i="106" s="1"/>
  <c r="K4" i="4"/>
  <c r="B6028" i="106"/>
  <c r="D6028" i="106" s="1"/>
  <c r="I367" i="29"/>
  <c r="B7244" i="106" s="1"/>
  <c r="D7244" i="106" s="1"/>
  <c r="B7234" i="106"/>
  <c r="D7234" i="106" s="1"/>
  <c r="G367" i="29"/>
  <c r="B3650" i="106" s="1"/>
  <c r="D3650" i="106" s="1"/>
  <c r="B3649" i="106"/>
  <c r="D3649" i="106" s="1"/>
  <c r="B2790" i="106"/>
  <c r="D2790" i="106" s="1"/>
  <c r="E6" i="4"/>
  <c r="B2631" i="106" s="1"/>
  <c r="D2631" i="106" s="1"/>
  <c r="B5544" i="106"/>
  <c r="D5544" i="106" s="1"/>
  <c r="D367" i="29"/>
  <c r="B3629" i="106" s="1"/>
  <c r="D3629" i="106" s="1"/>
  <c r="B3628" i="106"/>
  <c r="D3628" i="106" s="1"/>
  <c r="B1323" i="106"/>
  <c r="D1323" i="106" s="1"/>
  <c r="E15" i="4"/>
  <c r="B2633" i="106" s="1"/>
  <c r="D2633" i="106" s="1"/>
  <c r="F60" i="34"/>
  <c r="C267" i="5"/>
  <c r="B5320" i="106"/>
  <c r="D5320" i="106" s="1"/>
  <c r="I6" i="4"/>
  <c r="B5011" i="106" s="1"/>
  <c r="D5011" i="106" s="1"/>
  <c r="B4216" i="106"/>
  <c r="D4216" i="106" s="1"/>
  <c r="B7747" i="106"/>
  <c r="D7747" i="106" s="1"/>
  <c r="E267" i="5"/>
  <c r="F75" i="34"/>
  <c r="B7886" i="106" s="1"/>
  <c r="D7886" i="106" s="1"/>
  <c r="B7220" i="106"/>
  <c r="D7220" i="106" s="1"/>
  <c r="B4441" i="106"/>
  <c r="D4441" i="106" s="1"/>
  <c r="H267" i="5"/>
  <c r="N58" i="184"/>
  <c r="E68" i="184"/>
  <c r="H6" i="4"/>
  <c r="B2656" i="106" s="1"/>
  <c r="D2656" i="106" s="1"/>
  <c r="B6977" i="106"/>
  <c r="D6977" i="106" s="1"/>
  <c r="I114" i="29"/>
  <c r="J4" i="4"/>
  <c r="B1515" i="106"/>
  <c r="D1515" i="106" s="1"/>
  <c r="G16" i="4"/>
  <c r="B2611" i="106" s="1"/>
  <c r="D2611" i="106" s="1"/>
  <c r="B2088" i="106"/>
  <c r="D2088" i="106" s="1"/>
  <c r="J16" i="4"/>
  <c r="B6226" i="106" s="1"/>
  <c r="D6226" i="106" s="1"/>
  <c r="B7215" i="106"/>
  <c r="D7215" i="106" s="1"/>
  <c r="B3298" i="106"/>
  <c r="D3298" i="106" s="1"/>
  <c r="H77" i="4"/>
  <c r="B3299" i="106" s="1"/>
  <c r="D3299" i="106" s="1"/>
  <c r="G24" i="108"/>
  <c r="B1125" i="106"/>
  <c r="D1125" i="106" s="1"/>
  <c r="E24" i="108"/>
  <c r="B1047" i="106"/>
  <c r="D1047" i="106" s="1"/>
  <c r="B3724" i="106"/>
  <c r="D3724" i="106" s="1"/>
  <c r="F73" i="34"/>
  <c r="G15" i="4"/>
  <c r="B6032" i="106" s="1"/>
  <c r="D6032" i="106" s="1"/>
  <c r="F65" i="34"/>
  <c r="B1365" i="106"/>
  <c r="D1365" i="106" s="1"/>
  <c r="B6397" i="106"/>
  <c r="D6397" i="106" s="1"/>
  <c r="J6" i="4"/>
  <c r="B6221" i="106" s="1"/>
  <c r="D6221" i="106" s="1"/>
  <c r="B3621" i="106"/>
  <c r="D3621" i="106" s="1"/>
  <c r="C367" i="29"/>
  <c r="B3622" i="106" s="1"/>
  <c r="D3622" i="106" s="1"/>
  <c r="B1266" i="106"/>
  <c r="D1266" i="106" s="1"/>
  <c r="B1760" i="106"/>
  <c r="D1760" i="106" s="1"/>
  <c r="F367" i="29"/>
  <c r="B3643" i="106" s="1"/>
  <c r="D3643" i="106" s="1"/>
  <c r="B3642" i="106"/>
  <c r="D3642" i="106" s="1"/>
  <c r="B3656" i="106"/>
  <c r="D3656" i="106" s="1"/>
  <c r="H367" i="29"/>
  <c r="B3660" i="106" s="1"/>
  <c r="D3660" i="106" s="1"/>
  <c r="J367" i="29"/>
  <c r="B7245" i="106" s="1"/>
  <c r="D7245" i="106" s="1"/>
  <c r="B7235" i="106"/>
  <c r="D7235" i="106" s="1"/>
  <c r="B1381" i="106"/>
  <c r="D1381" i="106" s="1"/>
  <c r="F13" i="4"/>
  <c r="B2596" i="106" s="1"/>
  <c r="D2596" i="106" s="1"/>
  <c r="B4435" i="106"/>
  <c r="D4435" i="106" s="1"/>
  <c r="I7" i="4"/>
  <c r="B4444" i="106" s="1"/>
  <c r="D4444" i="106" s="1"/>
  <c r="B1481" i="106"/>
  <c r="D1481" i="106" s="1"/>
  <c r="B4442" i="106"/>
  <c r="D4442" i="106" s="1"/>
  <c r="K267" i="5"/>
  <c r="B1119" i="106"/>
  <c r="D1119" i="106" s="1"/>
  <c r="E22" i="108"/>
  <c r="G22" i="108"/>
  <c r="K74" i="29"/>
  <c r="E77" i="4"/>
  <c r="B3277" i="106" s="1"/>
  <c r="D3277" i="106" s="1"/>
  <c r="B3274" i="106"/>
  <c r="D3274" i="106" s="1"/>
  <c r="B2830" i="106"/>
  <c r="D2830" i="106" s="1"/>
  <c r="H210" i="29"/>
  <c r="B1376" i="106" s="1"/>
  <c r="D1376" i="106" s="1"/>
  <c r="A7262" i="106"/>
  <c r="D7261" i="106"/>
  <c r="H151" i="29" l="1"/>
  <c r="B1273" i="106" s="1"/>
  <c r="D1273" i="106" s="1"/>
  <c r="H15" i="184"/>
  <c r="B1249" i="106"/>
  <c r="D1249" i="106" s="1"/>
  <c r="E114" i="29"/>
  <c r="B873" i="106" s="1"/>
  <c r="D873" i="106" s="1"/>
  <c r="B987" i="106"/>
  <c r="D987" i="106" s="1"/>
  <c r="G114" i="29"/>
  <c r="C12" i="4"/>
  <c r="B2556" i="106" s="1"/>
  <c r="D2556" i="106" s="1"/>
  <c r="H114" i="29"/>
  <c r="B1054" i="106" s="1"/>
  <c r="D1054" i="106" s="1"/>
  <c r="K279" i="29"/>
  <c r="K295" i="29" s="1"/>
  <c r="D267" i="5"/>
  <c r="D268" i="5" s="1"/>
  <c r="F170" i="5"/>
  <c r="G170" i="5"/>
  <c r="B5778" i="106" s="1"/>
  <c r="D5778" i="106" s="1"/>
  <c r="D4" i="4"/>
  <c r="B2564" i="106" s="1"/>
  <c r="D2564" i="106" s="1"/>
  <c r="E4" i="4"/>
  <c r="B2630" i="106" s="1"/>
  <c r="D2630" i="106" s="1"/>
  <c r="B1151" i="106"/>
  <c r="D1151" i="106" s="1"/>
  <c r="K112" i="29"/>
  <c r="K114" i="29" s="1"/>
  <c r="F74" i="34"/>
  <c r="J15" i="4"/>
  <c r="B7796" i="106" s="1"/>
  <c r="D7796" i="106" s="1"/>
  <c r="B7790" i="106"/>
  <c r="D7790" i="106" s="1"/>
  <c r="F267" i="5"/>
  <c r="F268" i="5" s="1"/>
  <c r="B5713" i="106"/>
  <c r="D5713" i="106" s="1"/>
  <c r="I77" i="4"/>
  <c r="B3319" i="106" s="1"/>
  <c r="D3319" i="106" s="1"/>
  <c r="B3318" i="106"/>
  <c r="D3318" i="106" s="1"/>
  <c r="G4" i="4"/>
  <c r="B6024" i="106"/>
  <c r="D6024" i="106" s="1"/>
  <c r="N68" i="184"/>
  <c r="K342" i="29"/>
  <c r="F13" i="34" s="1"/>
  <c r="B1108" i="106"/>
  <c r="D1108" i="106" s="1"/>
  <c r="J267" i="5"/>
  <c r="H4" i="4"/>
  <c r="B2655" i="106" s="1"/>
  <c r="D2655" i="106" s="1"/>
  <c r="B6025" i="106"/>
  <c r="D6025" i="106" s="1"/>
  <c r="C6" i="4"/>
  <c r="B2553" i="106" s="1"/>
  <c r="D2553" i="106" s="1"/>
  <c r="B5223" i="106"/>
  <c r="D5223" i="106" s="1"/>
  <c r="B7222" i="106"/>
  <c r="D7222" i="106" s="1"/>
  <c r="F76" i="34"/>
  <c r="B7887" i="106" s="1"/>
  <c r="D7887" i="106" s="1"/>
  <c r="B1977" i="106"/>
  <c r="D1977" i="106" s="1"/>
  <c r="H14" i="12"/>
  <c r="B5121" i="106"/>
  <c r="D5121" i="106" s="1"/>
  <c r="C4" i="4"/>
  <c r="B2551" i="106" s="1"/>
  <c r="D2551" i="106" s="1"/>
  <c r="B5588" i="106"/>
  <c r="D5588" i="106" s="1"/>
  <c r="F4" i="4"/>
  <c r="B5507" i="106"/>
  <c r="D5507" i="106" s="1"/>
  <c r="D7" i="4"/>
  <c r="B2567" i="106" s="1"/>
  <c r="D2567" i="106" s="1"/>
  <c r="B6026" i="106"/>
  <c r="D6026" i="106" s="1"/>
  <c r="I4" i="4"/>
  <c r="K149" i="29"/>
  <c r="B7048" i="106"/>
  <c r="D7048" i="106" s="1"/>
  <c r="D19" i="7"/>
  <c r="B1775" i="106" s="1"/>
  <c r="D1775" i="106" s="1"/>
  <c r="G23" i="108"/>
  <c r="G41" i="108" s="1"/>
  <c r="G44" i="108" s="1"/>
  <c r="G45" i="108" s="1"/>
  <c r="E19" i="184"/>
  <c r="E19" i="108"/>
  <c r="E21" i="108"/>
  <c r="D151" i="29"/>
  <c r="B1234" i="106" s="1"/>
  <c r="D1234" i="106" s="1"/>
  <c r="B1233" i="106"/>
  <c r="D1233" i="106" s="1"/>
  <c r="B1259" i="106"/>
  <c r="D1259" i="106" s="1"/>
  <c r="F58" i="34"/>
  <c r="K6" i="4"/>
  <c r="B3570" i="106" s="1"/>
  <c r="D3570" i="106" s="1"/>
  <c r="B6014" i="106"/>
  <c r="D6014" i="106" s="1"/>
  <c r="C151" i="29"/>
  <c r="B1226" i="106" s="1"/>
  <c r="D1226" i="106" s="1"/>
  <c r="B1225" i="106"/>
  <c r="D1225" i="106" s="1"/>
  <c r="K312" i="29"/>
  <c r="B1560" i="106" s="1"/>
  <c r="D1560" i="106" s="1"/>
  <c r="B1559" i="106"/>
  <c r="D1559" i="106" s="1"/>
  <c r="H13" i="4"/>
  <c r="D114" i="29"/>
  <c r="B815" i="106" s="1"/>
  <c r="D815" i="106" s="1"/>
  <c r="B3674" i="106"/>
  <c r="D3674" i="106" s="1"/>
  <c r="K15" i="4"/>
  <c r="B3573" i="106" s="1"/>
  <c r="D3573" i="106" s="1"/>
  <c r="G267" i="5"/>
  <c r="C114" i="29"/>
  <c r="B757" i="106" s="1"/>
  <c r="D757" i="106" s="1"/>
  <c r="B755" i="106"/>
  <c r="D755" i="106" s="1"/>
  <c r="B7037" i="106"/>
  <c r="D7037" i="106" s="1"/>
  <c r="I151" i="29"/>
  <c r="F17" i="11" s="1"/>
  <c r="F175" i="34"/>
  <c r="B7877" i="106" s="1"/>
  <c r="D7877" i="106" s="1"/>
  <c r="H19" i="184"/>
  <c r="L20" i="184" s="1"/>
  <c r="H15" i="4"/>
  <c r="B2660" i="106" s="1"/>
  <c r="D2660" i="106" s="1"/>
  <c r="B2102" i="106"/>
  <c r="D2102" i="106" s="1"/>
  <c r="F6" i="4"/>
  <c r="B2593" i="106" s="1"/>
  <c r="D2593" i="106" s="1"/>
  <c r="B5653" i="106"/>
  <c r="D5653" i="106" s="1"/>
  <c r="K24" i="12"/>
  <c r="B7719" i="106"/>
  <c r="D7719" i="106" s="1"/>
  <c r="B4157" i="106"/>
  <c r="D4157" i="106" s="1"/>
  <c r="K208" i="29"/>
  <c r="K210" i="29" s="1"/>
  <c r="B3670" i="106"/>
  <c r="D3670" i="106" s="1"/>
  <c r="K352" i="29"/>
  <c r="B1241" i="106"/>
  <c r="D1241" i="106" s="1"/>
  <c r="E151" i="29"/>
  <c r="B1242" i="106" s="1"/>
  <c r="D1242" i="106" s="1"/>
  <c r="D13" i="4"/>
  <c r="B1281" i="106"/>
  <c r="D1281" i="106" s="1"/>
  <c r="B1382" i="106"/>
  <c r="D1382" i="106" s="1"/>
  <c r="F15" i="4"/>
  <c r="B2598" i="106" s="1"/>
  <c r="D2598" i="106" s="1"/>
  <c r="F63" i="34"/>
  <c r="D15" i="4"/>
  <c r="B2571" i="106" s="1"/>
  <c r="D2571" i="106" s="1"/>
  <c r="F57" i="34"/>
  <c r="B1282" i="106"/>
  <c r="D1282" i="106" s="1"/>
  <c r="K16" i="4"/>
  <c r="B3574" i="106" s="1"/>
  <c r="D3574" i="106" s="1"/>
  <c r="B7243" i="106"/>
  <c r="D7243" i="106" s="1"/>
  <c r="B5326" i="106"/>
  <c r="D5326" i="106" s="1"/>
  <c r="C268" i="5"/>
  <c r="C7" i="4"/>
  <c r="K268" i="5"/>
  <c r="B6022" i="106"/>
  <c r="D6022" i="106" s="1"/>
  <c r="K7" i="4"/>
  <c r="B3718" i="106" s="1"/>
  <c r="D3718" i="106" s="1"/>
  <c r="B6220" i="106"/>
  <c r="D6220" i="106" s="1"/>
  <c r="B7042" i="106"/>
  <c r="D7042" i="106" s="1"/>
  <c r="K174" i="29"/>
  <c r="B1331" i="106"/>
  <c r="D1331" i="106" s="1"/>
  <c r="E16" i="4"/>
  <c r="B1145" i="106"/>
  <c r="D1145" i="106" s="1"/>
  <c r="C15" i="4"/>
  <c r="B2559" i="106" s="1"/>
  <c r="D2559" i="106" s="1"/>
  <c r="F53" i="34"/>
  <c r="C13" i="4"/>
  <c r="B2557" i="106" s="1"/>
  <c r="D2557" i="106" s="1"/>
  <c r="B1143" i="106"/>
  <c r="D1143" i="106" s="1"/>
  <c r="B7020" i="106"/>
  <c r="D7020" i="106" s="1"/>
  <c r="F55" i="34"/>
  <c r="H268" i="5"/>
  <c r="H7" i="4"/>
  <c r="B5914" i="106"/>
  <c r="D5914" i="106" s="1"/>
  <c r="E268" i="5"/>
  <c r="B4434" i="106"/>
  <c r="D4434" i="106" s="1"/>
  <c r="E7" i="4"/>
  <c r="B4443" i="106" s="1"/>
  <c r="D4443" i="106" s="1"/>
  <c r="B3569" i="106"/>
  <c r="D3569" i="106" s="1"/>
  <c r="D6" i="4"/>
  <c r="B2566" i="106" s="1"/>
  <c r="D2566" i="106" s="1"/>
  <c r="B5421" i="106"/>
  <c r="D5421" i="106" s="1"/>
  <c r="A7263" i="106"/>
  <c r="D7262" i="106"/>
  <c r="B7224" i="106" l="1"/>
  <c r="D7224" i="106" s="1"/>
  <c r="G13" i="4"/>
  <c r="G17" i="4" s="1"/>
  <c r="B1510" i="106"/>
  <c r="D1510" i="106" s="1"/>
  <c r="E41" i="108"/>
  <c r="E44" i="108" s="1"/>
  <c r="E45" i="108" s="1"/>
  <c r="F54" i="34"/>
  <c r="B989" i="106"/>
  <c r="D989" i="106" s="1"/>
  <c r="G268" i="5"/>
  <c r="B5870" i="106" s="1"/>
  <c r="D5870" i="106" s="1"/>
  <c r="G6" i="4"/>
  <c r="B2604" i="106" s="1"/>
  <c r="D2604" i="106" s="1"/>
  <c r="K8" i="4"/>
  <c r="K10" i="4" s="1"/>
  <c r="B4130" i="106" s="1"/>
  <c r="D4130" i="106" s="1"/>
  <c r="F16" i="4"/>
  <c r="B1387" i="106"/>
  <c r="D1387" i="106" s="1"/>
  <c r="B7054" i="106"/>
  <c r="D7054" i="106" s="1"/>
  <c r="J7" i="4"/>
  <c r="J268" i="5"/>
  <c r="B3225" i="106"/>
  <c r="D3225" i="106" s="1"/>
  <c r="I8" i="4"/>
  <c r="B5720" i="106"/>
  <c r="D5720" i="106" s="1"/>
  <c r="K211" i="29"/>
  <c r="B1389" i="106" s="1"/>
  <c r="D1389" i="106" s="1"/>
  <c r="D16" i="4"/>
  <c r="B2572" i="106" s="1"/>
  <c r="D2572" i="106" s="1"/>
  <c r="B1287" i="106"/>
  <c r="D1287" i="106" s="1"/>
  <c r="J17" i="4"/>
  <c r="B6227" i="106" s="1"/>
  <c r="D6227" i="106" s="1"/>
  <c r="K151" i="29"/>
  <c r="F9" i="34" s="1"/>
  <c r="K13" i="4"/>
  <c r="B3672" i="106"/>
  <c r="D3672" i="106" s="1"/>
  <c r="K367" i="29"/>
  <c r="B3678" i="106" s="1"/>
  <c r="D3678" i="106" s="1"/>
  <c r="F59" i="34"/>
  <c r="F77" i="34" s="1"/>
  <c r="B7834" i="106" s="1"/>
  <c r="D7834" i="106" s="1"/>
  <c r="B7051" i="106"/>
  <c r="D7051" i="106" s="1"/>
  <c r="G7" i="4"/>
  <c r="B2605" i="106" s="1"/>
  <c r="D2605" i="106" s="1"/>
  <c r="B5869" i="106"/>
  <c r="D5869" i="106" s="1"/>
  <c r="B2659" i="106"/>
  <c r="D2659" i="106" s="1"/>
  <c r="H17" i="4"/>
  <c r="B2591" i="106"/>
  <c r="D2591" i="106" s="1"/>
  <c r="H23" i="12"/>
  <c r="B7720" i="106"/>
  <c r="D7720" i="106" s="1"/>
  <c r="B2603" i="106"/>
  <c r="D2603" i="106" s="1"/>
  <c r="G8" i="4"/>
  <c r="F7" i="4"/>
  <c r="B2594" i="106" s="1"/>
  <c r="D2594" i="106" s="1"/>
  <c r="B5719" i="106"/>
  <c r="D5719" i="106" s="1"/>
  <c r="B7019" i="106"/>
  <c r="D7019" i="106" s="1"/>
  <c r="C16" i="4"/>
  <c r="B2560" i="106" s="1"/>
  <c r="D2560" i="106" s="1"/>
  <c r="B7733" i="106"/>
  <c r="D7733" i="106" s="1"/>
  <c r="K26" i="12"/>
  <c r="B7743" i="106" s="1"/>
  <c r="D7743" i="106" s="1"/>
  <c r="F11" i="34"/>
  <c r="B1388" i="106"/>
  <c r="D1388" i="106" s="1"/>
  <c r="B2569" i="106"/>
  <c r="D2569" i="106" s="1"/>
  <c r="B2657" i="106"/>
  <c r="D2657" i="106" s="1"/>
  <c r="H8" i="4"/>
  <c r="D8" i="4"/>
  <c r="B2554" i="106"/>
  <c r="D2554" i="106" s="1"/>
  <c r="C8" i="4"/>
  <c r="B5508" i="106"/>
  <c r="D5508" i="106" s="1"/>
  <c r="B5915" i="106"/>
  <c r="D5915" i="106" s="1"/>
  <c r="K313" i="29"/>
  <c r="B1561" i="106" s="1"/>
  <c r="D1561" i="106" s="1"/>
  <c r="B2634" i="106"/>
  <c r="D2634" i="106" s="1"/>
  <c r="E17" i="4"/>
  <c r="K115" i="29"/>
  <c r="B1153" i="106" s="1"/>
  <c r="D1153" i="106" s="1"/>
  <c r="B5327" i="106"/>
  <c r="D5327" i="106" s="1"/>
  <c r="B2608" i="106"/>
  <c r="D2608" i="106" s="1"/>
  <c r="B1152" i="106"/>
  <c r="D1152" i="106" s="1"/>
  <c r="F8" i="34"/>
  <c r="B3571" i="106"/>
  <c r="D3571" i="106" s="1"/>
  <c r="B5552" i="106"/>
  <c r="D5552" i="106" s="1"/>
  <c r="K175" i="29"/>
  <c r="B1333" i="106" s="1"/>
  <c r="D1333" i="106" s="1"/>
  <c r="F12" i="34"/>
  <c r="B1517" i="106"/>
  <c r="D1517" i="106" s="1"/>
  <c r="B7624" i="106"/>
  <c r="I17" i="11"/>
  <c r="F10" i="34"/>
  <c r="B1332" i="106"/>
  <c r="D1332" i="106" s="1"/>
  <c r="E8" i="4"/>
  <c r="B6023" i="106"/>
  <c r="D6023" i="106" s="1"/>
  <c r="A7264" i="106"/>
  <c r="D7263" i="106"/>
  <c r="J19" i="4" l="1"/>
  <c r="B6229" i="106" s="1"/>
  <c r="D6229" i="106" s="1"/>
  <c r="D17" i="4"/>
  <c r="B1288" i="106"/>
  <c r="D1288" i="106" s="1"/>
  <c r="K296" i="29"/>
  <c r="B1518" i="106" s="1"/>
  <c r="D1518" i="106" s="1"/>
  <c r="K152" i="29"/>
  <c r="B1289" i="106" s="1"/>
  <c r="D1289" i="106" s="1"/>
  <c r="B2606" i="106"/>
  <c r="D2606" i="106" s="1"/>
  <c r="G10" i="4"/>
  <c r="B4126" i="106" s="1"/>
  <c r="D4126" i="106" s="1"/>
  <c r="F8" i="4"/>
  <c r="H18" i="118" s="1"/>
  <c r="B6222" i="106"/>
  <c r="D6222" i="106" s="1"/>
  <c r="J8" i="4"/>
  <c r="K368" i="29"/>
  <c r="B3681" i="106" s="1"/>
  <c r="D3681" i="106" s="1"/>
  <c r="E8" i="146"/>
  <c r="E10" i="146" s="1"/>
  <c r="B3226" i="106"/>
  <c r="D3226" i="106" s="1"/>
  <c r="I20" i="4"/>
  <c r="I10" i="4"/>
  <c r="B4128" i="106" s="1"/>
  <c r="D4128" i="106" s="1"/>
  <c r="D10" i="171"/>
  <c r="D19" i="171" s="1"/>
  <c r="D32" i="171" s="1"/>
  <c r="D49" i="171" s="1"/>
  <c r="C17" i="4"/>
  <c r="C20" i="4" s="1"/>
  <c r="H19" i="4"/>
  <c r="B4141" i="106" s="1"/>
  <c r="D4141" i="106" s="1"/>
  <c r="B2661" i="106"/>
  <c r="D2661" i="106" s="1"/>
  <c r="B3572" i="106"/>
  <c r="D3572" i="106" s="1"/>
  <c r="K17" i="4"/>
  <c r="H24" i="12"/>
  <c r="B1982" i="106"/>
  <c r="D1982" i="106" s="1"/>
  <c r="K343" i="29"/>
  <c r="B7225" i="106" s="1"/>
  <c r="D7225" i="106" s="1"/>
  <c r="B7055" i="106"/>
  <c r="D7055" i="106" s="1"/>
  <c r="B2599" i="106"/>
  <c r="D2599" i="106" s="1"/>
  <c r="F17" i="4"/>
  <c r="B2573" i="106"/>
  <c r="D2573" i="106" s="1"/>
  <c r="D19" i="4"/>
  <c r="B4137" i="106" s="1"/>
  <c r="D4137" i="106" s="1"/>
  <c r="C9" i="146"/>
  <c r="I18" i="11"/>
  <c r="B7625" i="106"/>
  <c r="E10" i="4"/>
  <c r="B4124" i="106" s="1"/>
  <c r="D4124" i="106" s="1"/>
  <c r="E20" i="4"/>
  <c r="B2632" i="106"/>
  <c r="D2632" i="106" s="1"/>
  <c r="F14" i="34"/>
  <c r="B2635" i="106"/>
  <c r="D2635" i="106" s="1"/>
  <c r="E19" i="4"/>
  <c r="B4138" i="106" s="1"/>
  <c r="D4138" i="106" s="1"/>
  <c r="D10" i="4"/>
  <c r="B4123" i="106" s="1"/>
  <c r="D4123" i="106" s="1"/>
  <c r="B2568" i="106"/>
  <c r="D2568" i="106" s="1"/>
  <c r="D20" i="4"/>
  <c r="C8" i="146"/>
  <c r="B2658" i="106"/>
  <c r="D2658" i="106" s="1"/>
  <c r="H20" i="4"/>
  <c r="H10" i="4"/>
  <c r="B4127" i="106" s="1"/>
  <c r="D4127" i="106" s="1"/>
  <c r="G19" i="4"/>
  <c r="B4140" i="106" s="1"/>
  <c r="D4140" i="106" s="1"/>
  <c r="G20" i="4"/>
  <c r="B2612" i="106"/>
  <c r="D2612" i="106" s="1"/>
  <c r="B2555" i="106"/>
  <c r="D2555" i="106" s="1"/>
  <c r="C10" i="4"/>
  <c r="B4122" i="106" s="1"/>
  <c r="D4122" i="106" s="1"/>
  <c r="B8" i="146"/>
  <c r="A7265" i="106"/>
  <c r="D7264" i="106"/>
  <c r="H17" i="118" l="1"/>
  <c r="H25" i="118" s="1"/>
  <c r="K24" i="118" s="1"/>
  <c r="O23" i="118" s="1"/>
  <c r="O25" i="118" s="1"/>
  <c r="H13" i="118"/>
  <c r="D16" i="37"/>
  <c r="B3575" i="106"/>
  <c r="D3575" i="106" s="1"/>
  <c r="K19" i="4"/>
  <c r="B4144" i="106" s="1"/>
  <c r="D4144" i="106" s="1"/>
  <c r="K20" i="4"/>
  <c r="B9" i="146"/>
  <c r="B2561" i="106"/>
  <c r="D2561" i="106" s="1"/>
  <c r="C19" i="4"/>
  <c r="B4136" i="106" s="1"/>
  <c r="D4136" i="106" s="1"/>
  <c r="F16" i="37"/>
  <c r="F20" i="4"/>
  <c r="F10" i="4"/>
  <c r="B4125" i="106" s="1"/>
  <c r="D4125" i="106" s="1"/>
  <c r="D8" i="146"/>
  <c r="B2595" i="106"/>
  <c r="D2595" i="106" s="1"/>
  <c r="B1983" i="106"/>
  <c r="D1983" i="106" s="1"/>
  <c r="H26" i="12"/>
  <c r="B7740" i="106" s="1"/>
  <c r="D7740" i="106" s="1"/>
  <c r="B3227" i="106"/>
  <c r="D3227" i="106" s="1"/>
  <c r="I78" i="4"/>
  <c r="J10" i="4"/>
  <c r="B6225" i="106" s="1"/>
  <c r="D6225" i="106" s="1"/>
  <c r="B6223" i="106"/>
  <c r="D6223" i="106" s="1"/>
  <c r="J20" i="4"/>
  <c r="D9" i="146"/>
  <c r="F19" i="4"/>
  <c r="B4139" i="106" s="1"/>
  <c r="D4139" i="106" s="1"/>
  <c r="B2600" i="106"/>
  <c r="D2600" i="106" s="1"/>
  <c r="C10" i="146"/>
  <c r="H78" i="4"/>
  <c r="B2662" i="106"/>
  <c r="D2662" i="106" s="1"/>
  <c r="B2636" i="106"/>
  <c r="D2636" i="106" s="1"/>
  <c r="E78" i="4"/>
  <c r="B2613" i="106"/>
  <c r="D2613" i="106" s="1"/>
  <c r="G78" i="4"/>
  <c r="B10" i="146"/>
  <c r="B2562" i="106"/>
  <c r="D2562" i="106" s="1"/>
  <c r="C78" i="4"/>
  <c r="F78" i="34"/>
  <c r="B7822" i="106"/>
  <c r="D78" i="4"/>
  <c r="B2574" i="106"/>
  <c r="D2574" i="106" s="1"/>
  <c r="B7631" i="106"/>
  <c r="F177" i="34"/>
  <c r="A7266" i="106"/>
  <c r="D7265" i="106"/>
  <c r="K17" i="118" l="1"/>
  <c r="O16" i="118" s="1"/>
  <c r="H16" i="37"/>
  <c r="D10" i="146"/>
  <c r="F8" i="146"/>
  <c r="F78" i="4"/>
  <c r="B2601" i="106"/>
  <c r="D2601" i="106" s="1"/>
  <c r="I81" i="4"/>
  <c r="B3320" i="106"/>
  <c r="D3320" i="106" s="1"/>
  <c r="F9" i="146"/>
  <c r="B6230" i="106"/>
  <c r="D6230" i="106" s="1"/>
  <c r="J78" i="4"/>
  <c r="B3576" i="106"/>
  <c r="D3576" i="106" s="1"/>
  <c r="K78" i="4"/>
  <c r="B3239" i="106"/>
  <c r="D3239" i="106" s="1"/>
  <c r="D81" i="4"/>
  <c r="H81" i="4"/>
  <c r="B3300" i="106"/>
  <c r="D3300" i="106" s="1"/>
  <c r="E81" i="4"/>
  <c r="B3278" i="106"/>
  <c r="D3278" i="106" s="1"/>
  <c r="F80" i="34"/>
  <c r="B7837" i="106" s="1"/>
  <c r="D7837" i="106" s="1"/>
  <c r="F176" i="34"/>
  <c r="B7835" i="106"/>
  <c r="D7835" i="106" s="1"/>
  <c r="C81" i="4"/>
  <c r="B3233" i="106"/>
  <c r="D3233" i="106" s="1"/>
  <c r="B3262" i="106"/>
  <c r="D3262" i="106" s="1"/>
  <c r="G81" i="4"/>
  <c r="A7267" i="106"/>
  <c r="D7266" i="106"/>
  <c r="F10" i="146" l="1"/>
  <c r="B3588" i="106"/>
  <c r="D3588" i="106" s="1"/>
  <c r="K81" i="4"/>
  <c r="F81" i="4"/>
  <c r="B3256" i="106"/>
  <c r="D3256" i="106" s="1"/>
  <c r="J81" i="4"/>
  <c r="B6263" i="106"/>
  <c r="D6263" i="106" s="1"/>
  <c r="B3323" i="106"/>
  <c r="D3323" i="106" s="1"/>
  <c r="I82" i="4"/>
  <c r="E11" i="146"/>
  <c r="B1686" i="106"/>
  <c r="D1686" i="106" s="1"/>
  <c r="G82" i="4"/>
  <c r="H82" i="4"/>
  <c r="B1700" i="106"/>
  <c r="D1700" i="106" s="1"/>
  <c r="B7878" i="106"/>
  <c r="D7878" i="106" s="1"/>
  <c r="F178" i="34"/>
  <c r="B1644" i="106"/>
  <c r="D1644" i="106" s="1"/>
  <c r="C11" i="146"/>
  <c r="D82" i="4"/>
  <c r="B1630" i="106"/>
  <c r="D1630" i="106" s="1"/>
  <c r="B11" i="146"/>
  <c r="C82" i="4"/>
  <c r="E82" i="4"/>
  <c r="B1658" i="106"/>
  <c r="D1658" i="106" s="1"/>
  <c r="A7268" i="106"/>
  <c r="D7267" i="106"/>
  <c r="B1672" i="106" l="1"/>
  <c r="D1672" i="106" s="1"/>
  <c r="D11" i="146"/>
  <c r="F11" i="146" s="1"/>
  <c r="F82" i="4"/>
  <c r="J16" i="37"/>
  <c r="B4269" i="106" s="1"/>
  <c r="D4269" i="106" s="1"/>
  <c r="H12" i="118"/>
  <c r="K12" i="118" s="1"/>
  <c r="J20" i="118" s="1"/>
  <c r="B2912" i="106"/>
  <c r="D2912" i="106" s="1"/>
  <c r="D63" i="36"/>
  <c r="I41" i="3"/>
  <c r="B3591" i="106"/>
  <c r="D3591" i="106" s="1"/>
  <c r="K82" i="4"/>
  <c r="B6273" i="106"/>
  <c r="D6273" i="106" s="1"/>
  <c r="I83" i="4"/>
  <c r="B6282" i="106" s="1"/>
  <c r="D6282" i="106" s="1"/>
  <c r="B6266" i="106"/>
  <c r="D6266" i="106" s="1"/>
  <c r="J82" i="4"/>
  <c r="D59" i="36"/>
  <c r="E41" i="3"/>
  <c r="B140" i="106"/>
  <c r="D140" i="106" s="1"/>
  <c r="C83" i="4"/>
  <c r="B6276" i="106" s="1"/>
  <c r="D6276" i="106" s="1"/>
  <c r="B6267" i="106"/>
  <c r="D6267" i="106" s="1"/>
  <c r="C41" i="3"/>
  <c r="B92" i="106"/>
  <c r="D92" i="106" s="1"/>
  <c r="D76" i="36"/>
  <c r="D57" i="36"/>
  <c r="B6272" i="106"/>
  <c r="D6272" i="106" s="1"/>
  <c r="H83" i="4"/>
  <c r="B6281" i="106" s="1"/>
  <c r="D6281" i="106" s="1"/>
  <c r="B6271" i="106"/>
  <c r="D6271" i="106" s="1"/>
  <c r="G83" i="4"/>
  <c r="B6280" i="106" s="1"/>
  <c r="D6280" i="106" s="1"/>
  <c r="B6268" i="106"/>
  <c r="D6268" i="106" s="1"/>
  <c r="D83" i="4"/>
  <c r="B6277" i="106" s="1"/>
  <c r="D6277" i="106" s="1"/>
  <c r="F180" i="34"/>
  <c r="B7880" i="106" s="1"/>
  <c r="D7880" i="106" s="1"/>
  <c r="B7879" i="106"/>
  <c r="D7879" i="106" s="1"/>
  <c r="H41" i="3"/>
  <c r="D62" i="36"/>
  <c r="B212" i="106"/>
  <c r="D212" i="106" s="1"/>
  <c r="B6269" i="106"/>
  <c r="D6269" i="106" s="1"/>
  <c r="E83" i="4"/>
  <c r="B6278" i="106" s="1"/>
  <c r="D6278" i="106" s="1"/>
  <c r="B123" i="106"/>
  <c r="D123" i="106" s="1"/>
  <c r="D58" i="36"/>
  <c r="D41" i="3"/>
  <c r="B189" i="106"/>
  <c r="D189" i="106" s="1"/>
  <c r="D61" i="36"/>
  <c r="G41" i="3"/>
  <c r="A7269" i="106"/>
  <c r="D7268" i="106"/>
  <c r="O11" i="118" l="1"/>
  <c r="O13" i="118" s="1"/>
  <c r="D64" i="36"/>
  <c r="J41" i="3"/>
  <c r="B6215" i="106"/>
  <c r="D6215" i="106" s="1"/>
  <c r="K41" i="3"/>
  <c r="B3567" i="106"/>
  <c r="D3567" i="106" s="1"/>
  <c r="D65" i="36"/>
  <c r="F41" i="3"/>
  <c r="B170" i="106"/>
  <c r="D170" i="106" s="1"/>
  <c r="D60" i="36"/>
  <c r="F83" i="4"/>
  <c r="B6279" i="106" s="1"/>
  <c r="D6279" i="106" s="1"/>
  <c r="B6270" i="106"/>
  <c r="D6270" i="106" s="1"/>
  <c r="J83" i="4"/>
  <c r="B6283" i="106" s="1"/>
  <c r="D6283" i="106" s="1"/>
  <c r="B6274" i="106"/>
  <c r="D6274" i="106" s="1"/>
  <c r="C12" i="146"/>
  <c r="D29" i="36"/>
  <c r="J24" i="24" s="1"/>
  <c r="K83" i="4"/>
  <c r="B6284" i="106" s="1"/>
  <c r="D6284" i="106" s="1"/>
  <c r="B6275" i="106"/>
  <c r="D6275" i="106" s="1"/>
  <c r="D50" i="36"/>
  <c r="B2913" i="106"/>
  <c r="D2913" i="106" s="1"/>
  <c r="B190" i="106"/>
  <c r="D190" i="106" s="1"/>
  <c r="D48" i="36"/>
  <c r="D49" i="36"/>
  <c r="B213" i="106"/>
  <c r="D213" i="106" s="1"/>
  <c r="B93" i="106"/>
  <c r="D93" i="106" s="1"/>
  <c r="D44" i="36"/>
  <c r="D46" i="36"/>
  <c r="B141" i="106"/>
  <c r="D141" i="106" s="1"/>
  <c r="D45" i="36"/>
  <c r="B124" i="106"/>
  <c r="D124" i="106" s="1"/>
  <c r="K20" i="118"/>
  <c r="O17" i="118"/>
  <c r="O20" i="118" s="1"/>
  <c r="B282" i="106"/>
  <c r="D282" i="106" s="1"/>
  <c r="N23" i="3"/>
  <c r="A7270" i="106"/>
  <c r="D7269" i="106"/>
  <c r="O35" i="118" l="1"/>
  <c r="O37" i="118" s="1"/>
  <c r="B3568" i="106"/>
  <c r="D3568" i="106" s="1"/>
  <c r="D52" i="36"/>
  <c r="D47" i="36"/>
  <c r="B171" i="106"/>
  <c r="D171" i="106" s="1"/>
  <c r="B6216" i="106"/>
  <c r="D6216" i="106" s="1"/>
  <c r="D51" i="36"/>
  <c r="B284" i="106"/>
  <c r="D284" i="106" s="1"/>
  <c r="D55" i="36"/>
  <c r="A7271" i="106"/>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<sst xmlns="http://schemas.openxmlformats.org/spreadsheetml/2006/main" count="5178" uniqueCount="2099">
  <si>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</si>
  <si>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</si>
  <si>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</si>
  <si>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</si>
  <si>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</si>
  <si>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</si>
  <si>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</si>
  <si>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</si>
  <si>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</si>
  <si>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</si>
  <si>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</si>
  <si>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</si>
  <si>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</si>
  <si>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</si>
  <si>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</si>
  <si>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</si>
  <si>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</si>
  <si>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</si>
  <si>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</si>
  <si>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</si>
  <si>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</si>
  <si>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</si>
  <si>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</si>
  <si>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</si>
  <si>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</si>
  <si>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</si>
  <si>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</si>
  <si>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</si>
  <si>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</si>
  <si>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</si>
  <si>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</si>
  <si>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</si>
  <si>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</si>
  <si>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</si>
  <si>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</si>
  <si>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</si>
  <si>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</si>
  <si>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</si>
  <si>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</si>
  <si>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</si>
  <si>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</si>
  <si>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</si>
  <si>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</si>
  <si>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</si>
  <si>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</si>
  <si>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</si>
  <si>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</si>
  <si>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</si>
  <si>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</si>
  <si>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</si>
  <si>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</si>
  <si>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</si>
  <si>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</si>
  <si>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</si>
  <si>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</si>
  <si>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</si>
  <si>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</si>
  <si>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</si>
  <si>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</si>
  <si>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</si>
  <si>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</si>
  <si>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</si>
  <si>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</si>
  <si>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</si>
  <si>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</si>
  <si>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</si>
  <si>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</si>
  <si>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</si>
  <si>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</si>
  <si>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</si>
  <si>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</si>
  <si>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</si>
  <si>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</si>
  <si>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</si>
  <si>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</si>
  <si>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</si>
  <si>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</si>
  <si>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</si>
  <si>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</si>
  <si>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</si>
  <si>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</si>
  <si>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</si>
  <si>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</si>
  <si>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</si>
  <si>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</si>
  <si>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</si>
  <si>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</si>
  <si>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</si>
  <si>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</si>
  <si>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</si>
  <si>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</si>
  <si>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</si>
  <si>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</si>
  <si>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</si>
  <si>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</si>
  <si>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</si>
  <si>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</si>
  <si>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</si>
  <si>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</si>
  <si>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</si>
  <si>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</si>
  <si>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</si>
  <si>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</si>
  <si>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</si>
  <si>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</si>
  <si>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</si>
  <si>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</si>
  <si>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</si>
  <si>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</si>
  <si>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</si>
  <si>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</si>
  <si>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</si>
  <si>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</si>
  <si>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</si>
  <si>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</si>
  <si>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</si>
  <si>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</si>
  <si>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</si>
  <si>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</si>
  <si>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</si>
  <si>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</si>
  <si>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</si>
  <si>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</si>
  <si>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</si>
  <si>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</si>
  <si>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</si>
  <si>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</si>
  <si>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</si>
  <si>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</si>
  <si>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</si>
  <si>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</si>
  <si>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</si>
  <si>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</si>
  <si>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</si>
  <si>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</si>
  <si>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</si>
  <si>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</si>
  <si>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</si>
  <si>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</si>
  <si>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</si>
  <si>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</si>
  <si>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</si>
  <si>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</si>
  <si>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</si>
  <si>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</si>
  <si>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</si>
  <si>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</si>
  <si>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</si>
  <si>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</si>
  <si>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</si>
  <si>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</si>
  <si>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</si>
  <si>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</si>
  <si>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</si>
  <si>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</si>
  <si>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</si>
  <si>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</si>
  <si>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</si>
  <si>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</si>
  <si>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</si>
  <si>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</si>
  <si>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</si>
  <si>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</si>
  <si>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</si>
  <si>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</si>
  <si>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</si>
  <si>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</si>
  <si>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</si>
  <si>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</si>
  <si>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</si>
  <si>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</si>
  <si>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</si>
  <si>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</si>
  <si>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</si>
  <si>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</si>
  <si>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</si>
  <si>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</si>
  <si>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</si>
  <si>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</si>
  <si>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</si>
  <si>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</si>
  <si>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</si>
  <si>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</si>
  <si>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</si>
  <si>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</si>
  <si>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</si>
  <si>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</si>
  <si>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</si>
  <si>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</si>
  <si>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</si>
  <si>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</si>
  <si>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</si>
  <si>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</si>
  <si>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</si>
  <si>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</si>
  <si>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</si>
  <si>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</si>
  <si>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</si>
  <si>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</si>
  <si>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</si>
  <si>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</si>
  <si>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</si>
  <si>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</si>
  <si>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</si>
  <si>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</si>
  <si>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</si>
  <si>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</si>
  <si>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</si>
  <si>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</si>
  <si>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</si>
  <si>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</si>
  <si>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</si>
  <si>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</si>
  <si>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</si>
  <si>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</si>
  <si>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</si>
  <si>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</si>
  <si>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</si>
  <si>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</si>
  <si>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</si>
  <si>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</si>
  <si>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</si>
  <si>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</si>
  <si>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</si>
  <si>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</si>
  <si>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</si>
  <si>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</si>
  <si>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</si>
  <si>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</si>
  <si>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</si>
  <si>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</si>
  <si>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</si>
  <si>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</si>
  <si>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</si>
  <si>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</si>
  <si>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</si>
  <si>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</si>
  <si>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</si>
  <si>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</si>
  <si>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</si>
  <si>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</si>
  <si>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</si>
  <si>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</si>
  <si>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</si>
  <si>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</si>
  <si>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</si>
  <si>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</si>
  <si>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</si>
  <si>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</si>
  <si>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</si>
  <si>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</si>
  <si>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</si>
  <si>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</si>
  <si>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</si>
  <si>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</si>
  <si>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</si>
  <si>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</si>
  <si>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</si>
  <si>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</si>
  <si>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</si>
  <si>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</si>
  <si>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</si>
  <si>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</si>
  <si>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</si>
  <si>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</si>
  <si>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</si>
  <si>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</si>
  <si>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</si>
  <si>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</si>
  <si>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</si>
  <si>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</si>
  <si>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</si>
  <si>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</si>
  <si>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</si>
  <si>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</si>
  <si>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</si>
  <si>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</si>
  <si>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</si>
  <si>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</si>
  <si>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</si>
  <si>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</si>
  <si>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</si>
  <si>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</si>
  <si>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</si>
  <si>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</si>
  <si>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</si>
  <si>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</si>
  <si>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</si>
  <si>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</si>
  <si>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</si>
  <si>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</si>
  <si>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</si>
  <si>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</si>
  <si>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</si>
  <si>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</si>
  <si>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</si>
  <si>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</si>
  <si>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</si>
  <si>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</si>
  <si>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</si>
  <si>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</si>
  <si>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</si>
  <si>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</si>
  <si>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</si>
  <si>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</si>
  <si>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</si>
  <si>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</si>
  <si>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</si>
  <si>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</si>
  <si>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</si>
  <si>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</si>
  <si>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</si>
  <si>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</si>
  <si>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</si>
  <si>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</si>
  <si>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</si>
  <si>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</si>
  <si>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</si>
  <si>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</si>
  <si>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</si>
  <si>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</si>
  <si>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</si>
  <si>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</si>
  <si>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</si>
  <si>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</si>
  <si>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</si>
  <si>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</si>
  <si>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</si>
  <si>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</si>
  <si>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</si>
  <si>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</si>
  <si>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</si>
  <si>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</si>
  <si>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</si>
  <si>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</si>
  <si>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</si>
  <si>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</si>
  <si>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</si>
  <si>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</si>
  <si>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</si>
  <si>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</si>
  <si>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</si>
  <si>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</si>
  <si>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</si>
  <si>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</si>
  <si>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</si>
  <si>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</si>
  <si>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</si>
  <si>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</si>
  <si>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</si>
  <si>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</si>
  <si>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</si>
  <si>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</si>
  <si>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</si>
  <si>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</si>
  <si>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</si>
  <si>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</si>
  <si>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</si>
  <si>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</si>
  <si>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</si>
  <si>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</si>
  <si>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</si>
  <si>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</si>
  <si>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</si>
  <si>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</si>
  <si>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</si>
  <si>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</si>
  <si>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</si>
  <si>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</si>
  <si>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</si>
  <si>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</si>
  <si>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</si>
  <si>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</si>
  <si>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</si>
  <si>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</si>
  <si>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</si>
  <si>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</si>
  <si>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</si>
  <si>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</si>
  <si>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</si>
  <si>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</si>
  <si>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</si>
  <si>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</si>
  <si>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</si>
  <si>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</si>
  <si>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</si>
  <si>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</si>
  <si>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</si>
  <si>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</si>
  <si>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</si>
  <si>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</si>
  <si>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</si>
  <si>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</si>
  <si>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</si>
  <si>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</si>
  <si>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</si>
  <si>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</si>
  <si>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</si>
  <si>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</si>
  <si>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</si>
  <si>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</si>
  <si>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</si>
  <si>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</si>
  <si>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</si>
  <si>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</si>
  <si>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</si>
  <si>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</si>
  <si>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</si>
  <si>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</si>
  <si>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</si>
  <si>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</si>
  <si>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</si>
  <si>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</si>
  <si>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</si>
  <si>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</si>
  <si>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</si>
  <si>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</si>
  <si>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</si>
  <si>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</si>
  <si>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</si>
  <si>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</si>
  <si>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</si>
  <si>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</si>
  <si>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</si>
  <si>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</si>
  <si>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</si>
  <si>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</si>
  <si>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</si>
  <si>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</si>
  <si>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</si>
  <si>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</si>
  <si>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</si>
  <si>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</si>
  <si>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</si>
  <si>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</si>
  <si>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</si>
  <si>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</si>
  <si>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</si>
  <si>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</si>
  <si>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</si>
  <si>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</si>
  <si>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</si>
  <si>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</si>
  <si>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</si>
  <si>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</si>
  <si>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</si>
  <si>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</si>
  <si>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</si>
  <si>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</si>
  <si>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</si>
  <si>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</si>
  <si>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</si>
  <si>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</si>
  <si>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</si>
  <si>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</si>
  <si>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</si>
  <si>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</si>
  <si>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</si>
  <si>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</si>
  <si>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</si>
  <si>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</si>
  <si>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</si>
  <si>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</si>
  <si>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</si>
  <si>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</si>
  <si>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</si>
  <si>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</si>
  <si>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</si>
  <si>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</si>
  <si>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</si>
  <si>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</si>
  <si>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</si>
  <si>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</si>
  <si>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</si>
  <si>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</si>
  <si>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</si>
  <si>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</si>
  <si>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</si>
  <si>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</si>
  <si>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</si>
  <si>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</si>
  <si>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</si>
  <si>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</si>
  <si>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</si>
  <si>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</si>
  <si>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</si>
  <si>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</si>
  <si>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</si>
  <si>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</si>
  <si>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</si>
  <si>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</si>
  <si>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</si>
  <si>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</si>
  <si>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</si>
  <si>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</si>
  <si>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</si>
  <si>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</si>
  <si>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</si>
  <si>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</si>
  <si>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</si>
  <si>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</si>
  <si>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</si>
  <si>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</si>
  <si>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</si>
  <si>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</si>
  <si>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</si>
  <si>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</si>
  <si>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</si>
  <si>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</si>
  <si>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</si>
  <si>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</si>
  <si>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</si>
  <si>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</si>
  <si>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</si>
  <si>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</si>
  <si>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</si>
  <si>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</si>
  <si>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</si>
  <si>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</si>
  <si>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</si>
  <si>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</si>
  <si>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</si>
  <si>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</si>
  <si>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</si>
  <si>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</si>
  <si>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</si>
  <si>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</si>
  <si>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</si>
  <si>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</si>
  <si>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</si>
  <si>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</si>
  <si>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</si>
  <si>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</si>
  <si>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</si>
  <si>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</si>
  <si>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</si>
  <si>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</si>
  <si>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</si>
  <si>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</si>
  <si>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</si>
  <si>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</si>
  <si>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</si>
  <si>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</si>
  <si>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</si>
  <si>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</si>
  <si>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</si>
  <si>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</si>
  <si>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</si>
  <si>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</si>
  <si>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</si>
  <si>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</si>
  <si>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</si>
  <si>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</si>
  <si>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</si>
  <si>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</si>
  <si>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</si>
  <si>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</si>
  <si>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</si>
  <si>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</si>
  <si>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</si>
  <si>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</si>
  <si>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</si>
  <si>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</si>
  <si>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</si>
  <si>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</si>
  <si>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</si>
  <si>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</si>
  <si>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</si>
  <si>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</si>
  <si>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</si>
  <si>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</si>
  <si>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</si>
  <si>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</si>
  <si>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</si>
  <si>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</si>
  <si>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</si>
  <si>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</si>
  <si>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</si>
  <si>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</si>
  <si>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</si>
  <si>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</si>
  <si>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</si>
  <si>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</si>
  <si>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</si>
  <si>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</si>
  <si>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</si>
  <si>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</si>
  <si>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</si>
  <si>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</si>
  <si>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</si>
  <si>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</si>
  <si>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</si>
  <si>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</si>
  <si>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</si>
  <si>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</si>
  <si>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</si>
  <si>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</si>
  <si>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</si>
  <si>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</si>
  <si>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</si>
  <si>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</si>
  <si>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</si>
  <si>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</si>
  <si>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</si>
  <si>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</si>
  <si>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</si>
  <si>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</si>
  <si>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</si>
  <si>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</si>
  <si>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</si>
  <si>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</si>
  <si>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</si>
  <si>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</si>
  <si>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</si>
  <si>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</si>
  <si>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</si>
  <si>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</si>
  <si>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</si>
  <si>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</si>
  <si>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</si>
  <si>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</si>
  <si>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</si>
  <si>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</si>
  <si>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</si>
  <si>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</si>
  <si>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</si>
  <si>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</si>
  <si>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</si>
  <si>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</si>
  <si>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</si>
  <si>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</si>
  <si>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</si>
  <si>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</si>
  <si>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</si>
  <si>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</si>
  <si>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</si>
  <si>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</si>
  <si>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</si>
  <si>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</si>
  <si>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</si>
  <si>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</si>
  <si>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</si>
  <si>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</si>
  <si>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</si>
  <si>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</si>
  <si>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</si>
  <si>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</si>
  <si>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</si>
  <si>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</si>
  <si>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</si>
  <si>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</si>
  <si>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</si>
  <si>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</si>
  <si>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</si>
  <si>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</si>
  <si>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</si>
  <si>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</si>
  <si>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</si>
  <si>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</si>
  <si>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</si>
  <si>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</si>
  <si>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</si>
  <si>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</si>
  <si>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</si>
  <si>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</si>
  <si>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</si>
  <si>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</si>
  <si>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</si>
  <si>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</si>
  <si>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</si>
  <si>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</si>
  <si>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</si>
  <si>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</si>
  <si>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</si>
  <si>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</si>
  <si>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</si>
  <si>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</si>
  <si>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</si>
  <si>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</si>
  <si>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</si>
  <si>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</si>
  <si>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</si>
  <si>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</si>
  <si>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</si>
  <si>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</si>
  <si>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</si>
  <si>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</si>
  <si>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</si>
  <si>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</si>
  <si>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</si>
  <si>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</si>
  <si>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</si>
  <si>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</si>
  <si>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</si>
  <si>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</si>
  <si>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</si>
  <si>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</si>
  <si>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</si>
  <si>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</si>
  <si>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</si>
  <si>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</si>
  <si>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</si>
  <si>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</si>
  <si>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</si>
  <si>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</si>
  <si>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</si>
  <si>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</si>
  <si>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</si>
  <si>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</si>
  <si>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</si>
  <si>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</si>
  <si>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</si>
  <si>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</si>
  <si>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</si>
  <si>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</si>
  <si>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</si>
  <si>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</si>
  <si>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</si>
  <si>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</si>
  <si>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</si>
  <si>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</si>
  <si>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</si>
  <si>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</si>
  <si>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</si>
  <si>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</si>
  <si>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</si>
  <si>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</si>
  <si>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</si>
  <si>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</si>
  <si>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</si>
  <si>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</si>
  <si>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</si>
  <si>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</si>
  <si>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</si>
  <si>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</si>
  <si>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</si>
  <si>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</si>
  <si>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</si>
  <si>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</si>
  <si>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</si>
  <si>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</si>
  <si>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</si>
  <si>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</si>
  <si>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</si>
  <si>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</si>
  <si>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</si>
  <si>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</si>
  <si>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</si>
  <si>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</si>
  <si>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</si>
  <si>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</si>
  <si>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</si>
  <si>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</si>
  <si>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</si>
  <si>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</si>
  <si>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</si>
  <si>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</si>
  <si>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</si>
  <si>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</si>
  <si>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</si>
  <si>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</si>
  <si>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</si>
  <si>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</si>
  <si>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</si>
  <si>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</si>
  <si>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</si>
  <si>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</si>
  <si>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</si>
  <si>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</si>
  <si>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</si>
  <si>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</si>
  <si>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</si>
  <si>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</si>
  <si>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</si>
  <si>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</si>
  <si>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</si>
  <si>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</si>
  <si>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</si>
  <si>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</si>
  <si>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</si>
  <si>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</si>
  <si>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</si>
  <si>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</si>
  <si>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</si>
  <si>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</si>
  <si>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</si>
  <si>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</si>
  <si>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</si>
  <si>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</si>
  <si>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</si>
  <si>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</si>
  <si>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</si>
  <si>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</si>
  <si>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</si>
  <si>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</si>
  <si>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</si>
  <si>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</si>
  <si>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</si>
  <si>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</si>
  <si>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</si>
  <si>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</si>
  <si>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</si>
  <si>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</si>
  <si>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</si>
  <si>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</si>
  <si>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</si>
  <si>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</si>
  <si>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</si>
  <si>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</si>
  <si>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</si>
  <si>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</si>
  <si>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</si>
  <si>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</si>
  <si>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</si>
  <si>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</si>
  <si>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</si>
  <si>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</si>
  <si>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</si>
  <si>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</si>
  <si>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</si>
  <si>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</si>
  <si>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</si>
  <si>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</si>
  <si>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</si>
  <si>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</si>
  <si>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</si>
  <si>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</si>
  <si>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</si>
  <si>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</si>
  <si>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</si>
  <si>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</si>
  <si>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</si>
  <si>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</si>
  <si>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</si>
  <si>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</si>
  <si>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</si>
  <si>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</si>
  <si>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</si>
  <si>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</si>
  <si>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</si>
  <si>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</si>
  <si>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</si>
  <si>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</si>
  <si>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</si>
  <si>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</si>
  <si>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</si>
  <si>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</si>
  <si>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</si>
  <si>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</si>
  <si>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</si>
  <si>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</si>
  <si>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</si>
  <si>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</si>
  <si>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</si>
  <si>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</si>
  <si>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</si>
  <si>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</si>
  <si>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</si>
  <si>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</si>
  <si>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</si>
  <si>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</si>
  <si>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</si>
  <si>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</si>
  <si>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</si>
  <si>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</si>
  <si>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</si>
  <si>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</si>
  <si>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</si>
  <si>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</si>
  <si>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</si>
  <si>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</si>
  <si>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</si>
  <si>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</si>
  <si>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</si>
  <si>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</si>
  <si>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</si>
  <si>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</si>
  <si>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</si>
  <si>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</si>
  <si>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</si>
  <si>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</si>
  <si>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</si>
  <si>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</si>
  <si>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</si>
  <si>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</si>
  <si>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</si>
  <si>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</si>
  <si>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</si>
  <si>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</si>
  <si>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</si>
  <si>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</si>
  <si>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</si>
  <si>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</si>
  <si>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</si>
  <si>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</si>
  <si>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</si>
  <si>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</si>
  <si>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</si>
  <si>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</si>
  <si>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</si>
  <si>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</si>
  <si>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</si>
  <si>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</si>
  <si>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</si>
  <si>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</si>
  <si>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</si>
  <si>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</si>
  <si>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</si>
  <si>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</si>
  <si>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</si>
  <si>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</si>
  <si>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</si>
  <si>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</si>
  <si>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</si>
  <si>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</si>
  <si>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</si>
  <si>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</si>
  <si>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</si>
  <si>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</si>
  <si>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</si>
  <si>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</si>
  <si>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</si>
  <si>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</si>
  <si>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</si>
  <si>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</si>
  <si>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</si>
  <si>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</si>
  <si>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</si>
  <si>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</si>
  <si>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</si>
  <si>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</si>
  <si>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</si>
  <si>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</si>
  <si>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</si>
  <si>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</si>
  <si>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</si>
  <si>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</si>
  <si>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</si>
  <si>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</si>
  <si>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</si>
  <si>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</si>
  <si>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</si>
  <si>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</si>
  <si>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</si>
  <si>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</si>
  <si>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</si>
  <si>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</si>
  <si>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</si>
  <si>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</si>
  <si>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</si>
  <si>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</si>
  <si>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</si>
  <si>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</si>
  <si>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</si>
  <si>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</si>
  <si>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</si>
  <si>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</si>
  <si>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</si>
  <si>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</si>
  <si>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</si>
  <si>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</si>
  <si>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</si>
  <si>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</si>
  <si>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</si>
  <si>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</si>
  <si>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</si>
  <si>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</si>
  <si>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</si>
  <si>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</si>
  <si>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</si>
  <si>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</si>
  <si>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</si>
  <si>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</si>
  <si>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</si>
  <si>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</si>
  <si>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</si>
  <si>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</si>
  <si>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</si>
  <si>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</si>
  <si>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</si>
  <si>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</si>
  <si>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</si>
  <si>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</si>
  <si>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</si>
  <si>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</si>
  <si>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</si>
  <si>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</si>
  <si>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</si>
  <si>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</si>
  <si>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</si>
  <si>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</si>
  <si>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</si>
  <si>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</si>
  <si>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</si>
  <si>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</si>
  <si>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</si>
  <si>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</si>
  <si>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</si>
  <si>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</si>
  <si>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</si>
  <si>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</si>
  <si>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</si>
  <si>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</si>
  <si>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</si>
  <si>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</si>
  <si>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</si>
  <si>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</si>
  <si>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</si>
  <si>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</si>
  <si>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</si>
  <si>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</si>
  <si>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</si>
  <si>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</si>
  <si>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</si>
  <si>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</si>
  <si>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</si>
  <si>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</si>
  <si>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</si>
  <si>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</si>
  <si>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</si>
  <si>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</si>
  <si>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</si>
  <si>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</si>
  <si>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</si>
  <si>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</si>
  <si>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</si>
  <si>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</si>
  <si>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</si>
  <si>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</si>
  <si>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</si>
  <si>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</si>
  <si>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</si>
  <si>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</si>
  <si>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</si>
  <si>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</si>
  <si>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</si>
  <si>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</si>
  <si>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</si>
  <si>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</si>
  <si>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</si>
  <si>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</si>
  <si>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</si>
  <si>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</si>
  <si>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</si>
  <si>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</si>
  <si>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</si>
  <si>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</si>
  <si>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</si>
  <si>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</si>
  <si>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</si>
  <si>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</si>
  <si>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</si>
  <si>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</si>
  <si>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</si>
  <si>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</si>
  <si>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</si>
  <si>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</si>
  <si>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</si>
  <si>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</si>
  <si>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</si>
  <si>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</si>
  <si>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</si>
  <si>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</si>
  <si>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</si>
  <si>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</si>
  <si>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</si>
  <si>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</si>
  <si>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</si>
  <si>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</si>
  <si>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</si>
  <si>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</si>
  <si>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</si>
  <si>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</si>
  <si>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</si>
  <si>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</si>
  <si>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</si>
  <si>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</si>
  <si>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</si>
  <si>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</si>
  <si>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</si>
  <si>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</si>
  <si>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</si>
  <si>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</si>
  <si>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</si>
  <si>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</si>
  <si>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</si>
  <si>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</si>
  <si>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</si>
  <si>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</si>
  <si>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</si>
  <si>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</si>
  <si>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</si>
  <si>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</si>
  <si>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</si>
  <si>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</si>
  <si>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</si>
  <si>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</si>
  <si>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</si>
  <si>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</si>
  <si>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</si>
  <si>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</si>
  <si>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</si>
  <si>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</si>
  <si>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</si>
  <si>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</si>
  <si>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</si>
  <si>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</si>
  <si>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</si>
  <si>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</si>
  <si>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</si>
  <si>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</si>
  <si>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</si>
  <si>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</si>
  <si>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</si>
  <si>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</si>
  <si>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</si>
  <si>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</si>
  <si>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</si>
  <si>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</si>
  <si>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</si>
  <si>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</si>
  <si>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</si>
  <si>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</si>
  <si>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</si>
  <si>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</si>
  <si>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</si>
  <si>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</si>
  <si>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</si>
  <si>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</si>
  <si>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</si>
  <si>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</si>
  <si>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</si>
  <si>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</si>
  <si>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</si>
  <si>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</si>
  <si>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</si>
  <si>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</si>
  <si>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</si>
  <si>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</si>
  <si>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</si>
  <si>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</si>
  <si>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</si>
  <si>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</si>
  <si>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</si>
  <si>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</si>
  <si>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</si>
  <si>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</si>
  <si>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</si>
  <si>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</si>
  <si>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</si>
  <si>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</si>
  <si>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</si>
  <si>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</si>
  <si>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</si>
  <si>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</si>
  <si>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</si>
  <si>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</si>
  <si>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</si>
  <si>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</si>
  <si>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</si>
  <si>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</si>
  <si>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</si>
  <si>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</si>
  <si>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</si>
  <si>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</si>
  <si>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</si>
  <si>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</si>
  <si>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</si>
  <si>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</si>
  <si>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</si>
  <si>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</si>
  <si>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</si>
  <si>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</si>
  <si>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</si>
  <si>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</si>
  <si>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</si>
  <si>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</si>
  <si>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</si>
  <si>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</si>
  <si>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</si>
  <si>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</si>
  <si>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</si>
  <si>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</si>
  <si>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</si>
  <si>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</si>
  <si>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</si>
  <si>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</si>
  <si>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</si>
  <si>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</si>
  <si>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</si>
  <si>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</si>
  <si>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</si>
  <si>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</si>
  <si>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</si>
  <si>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</si>
  <si>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</si>
  <si>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</si>
  <si>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</si>
  <si>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</si>
  <si>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</si>
  <si>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</si>
  <si>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</si>
  <si>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</si>
  <si>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</si>
  <si>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</si>
  <si>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</si>
  <si>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</si>
  <si>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</si>
  <si>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</si>
  <si>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</si>
  <si>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</si>
  <si>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</si>
  <si>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</si>
  <si>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</si>
  <si>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</si>
  <si>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</si>
  <si>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</si>
  <si>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</si>
  <si>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</si>
  <si>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</si>
  <si>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</si>
  <si>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</si>
  <si>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</si>
  <si>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</si>
  <si>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</si>
  <si>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</si>
  <si>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</si>
  <si>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</si>
  <si>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</si>
  <si>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</si>
  <si>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</si>
  <si>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</si>
  <si>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</si>
  <si>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</si>
  <si>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</si>
  <si>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</si>
  <si>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</si>
  <si>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</si>
  <si>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</si>
  <si>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</si>
  <si>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</si>
  <si>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</si>
  <si>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</si>
  <si>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</si>
  <si>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</si>
  <si>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</si>
  <si>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</si>
  <si>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</si>
  <si>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</si>
  <si>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</si>
  <si>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</si>
  <si>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</si>
  <si>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</si>
  <si>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</si>
  <si>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</si>
  <si>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</si>
  <si>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</si>
  <si>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</si>
  <si>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</si>
  <si>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</si>
  <si>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</si>
  <si>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</si>
  <si>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</si>
  <si>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</si>
  <si>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</si>
  <si>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</si>
  <si>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</si>
  <si>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</si>
  <si>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</si>
  <si>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</si>
  <si>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</si>
  <si>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</si>
  <si>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</si>
  <si>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</si>
  <si>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</si>
  <si>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</si>
  <si>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</si>
  <si>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</si>
  <si>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</si>
  <si>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</si>
  <si>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</si>
  <si>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</si>
  <si>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</si>
  <si>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</si>
  <si>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</si>
  <si>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</si>
  <si>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</si>
  <si>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</si>
  <si>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</si>
  <si>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</si>
  <si>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</si>
  <si>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</si>
  <si>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</si>
  <si>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</si>
  <si>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</si>
  <si>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</si>
  <si>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</si>
  <si>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</si>
  <si>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</si>
  <si>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</si>
  <si>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</si>
  <si>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</si>
  <si>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</si>
  <si>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</si>
  <si>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</si>
  <si>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</si>
  <si>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</si>
  <si>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</si>
  <si>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</si>
  <si>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</si>
  <si>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</si>
  <si>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</si>
  <si>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</si>
  <si>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</si>
  <si>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</si>
  <si>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</si>
  <si>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</si>
  <si>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</si>
  <si>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</si>
  <si>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</si>
  <si>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</si>
  <si>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</si>
  <si>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</si>
  <si>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</si>
  <si>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</si>
  <si>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</si>
  <si>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</si>
  <si>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</si>
  <si>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</si>
  <si>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</si>
  <si>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</si>
  <si>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</si>
  <si>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</si>
  <si>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</si>
  <si>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</si>
  <si>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</si>
  <si>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</si>
  <si>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</si>
  <si>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</si>
  <si>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</si>
  <si>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</si>
  <si>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</si>
  <si>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</si>
  <si>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</si>
  <si>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</si>
  <si>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</si>
  <si>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</si>
  <si>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</si>
  <si>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</si>
  <si>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</si>
  <si>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</si>
  <si>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</si>
  <si>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</si>
  <si>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</si>
  <si>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</si>
  <si>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</si>
  <si>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</si>
  <si>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</si>
  <si>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</si>
  <si>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</si>
  <si>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</si>
  <si>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</si>
  <si>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</si>
  <si>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</si>
  <si>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</si>
  <si>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</si>
  <si>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</si>
  <si>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</si>
  <si>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</si>
  <si>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</si>
  <si>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</si>
  <si>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</si>
  <si>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</si>
  <si>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</si>
  <si>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</si>
  <si>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</si>
  <si>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</si>
  <si>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</si>
  <si>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</si>
  <si>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</si>
  <si>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</si>
  <si>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</si>
  <si>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</si>
  <si>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</si>
  <si>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</si>
  <si>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</si>
  <si>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</si>
  <si>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</si>
  <si>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</si>
  <si>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</si>
  <si>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</si>
  <si>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</si>
  <si>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</si>
  <si>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</si>
  <si>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</si>
  <si>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</si>
  <si>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</si>
  <si>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</si>
  <si>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</si>
  <si>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</si>
  <si>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</si>
  <si>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</si>
  <si>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</si>
  <si>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</si>
  <si>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</si>
  <si>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</si>
  <si>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</si>
  <si>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</si>
  <si>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</si>
  <si>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</si>
  <si>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</si>
  <si>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</si>
  <si>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</si>
  <si>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</si>
  <si>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</si>
  <si>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</si>
  <si>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</si>
  <si>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</si>
  <si>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</si>
  <si>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</si>
  <si>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</si>
  <si>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</si>
  <si>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</si>
  <si>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</si>
  <si>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</si>
  <si>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</si>
  <si>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</si>
  <si>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</si>
  <si>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</si>
  <si>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</si>
  <si>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</si>
  <si>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</si>
  <si>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</si>
  <si>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</si>
  <si>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</si>
  <si>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</si>
  <si>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</si>
  <si>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</si>
  <si>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</si>
  <si>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</si>
  <si>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</si>
  <si>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</si>
  <si>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</si>
  <si>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</si>
  <si>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</si>
  <si>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</si>
  <si>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</si>
  <si>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</si>
  <si>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</si>
  <si>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</si>
  <si>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</si>
  <si>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</si>
  <si>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</si>
  <si>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</si>
  <si>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</si>
  <si>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</si>
  <si>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</si>
  <si>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</si>
  <si>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</si>
  <si>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</si>
  <si>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</si>
  <si>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</si>
  <si>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</si>
  <si>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</si>
  <si>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</si>
  <si>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</si>
  <si>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</si>
  <si>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</si>
  <si>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</si>
  <si>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</si>
  <si>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</si>
  <si>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</si>
  <si>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</si>
  <si>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</si>
  <si>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</si>
  <si>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</si>
  <si>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</si>
  <si>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</si>
  <si>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</si>
  <si>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</si>
  <si>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</si>
  <si>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</si>
  <si>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</si>
  <si>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</si>
  <si>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</si>
  <si>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</si>
  <si>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</si>
  <si>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</si>
  <si>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</si>
  <si>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</si>
  <si>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</si>
  <si>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</si>
  <si>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</si>
  <si>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</si>
  <si>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</si>
  <si>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</si>
  <si>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</si>
  <si>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</si>
  <si>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</si>
  <si>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</si>
  <si>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</si>
  <si>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</si>
  <si>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</si>
  <si>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</si>
  <si>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</si>
  <si>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</si>
  <si>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</si>
  <si>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</si>
  <si>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</si>
  <si>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</si>
  <si>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</si>
  <si>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</si>
  <si>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</si>
  <si>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</si>
  <si>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</si>
  <si>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</si>
  <si>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</si>
  <si>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</si>
  <si>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</si>
  <si>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</si>
  <si>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</si>
  <si>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</si>
  <si>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</si>
  <si>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</si>
  <si>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</si>
  <si>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</si>
  <si>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</si>
  <si>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</si>
  <si>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</si>
  <si>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</si>
  <si>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</si>
  <si>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</si>
  <si>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</si>
  <si>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</si>
  <si>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</si>
  <si>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</si>
  <si>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</si>
  <si>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</si>
  <si>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</si>
  <si>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</si>
  <si>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</si>
  <si>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</si>
  <si>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</si>
  <si>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</si>
  <si>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</si>
  <si>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</si>
  <si>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</si>
  <si>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</si>
  <si>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</si>
  <si>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</si>
  <si>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</si>
  <si>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</si>
  <si>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</si>
  <si>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</si>
  <si>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</si>
  <si>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</si>
  <si>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</si>
  <si>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</si>
  <si>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</si>
  <si>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</si>
  <si>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</si>
  <si>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</si>
  <si>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</si>
  <si>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</si>
  <si>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</si>
  <si>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</si>
  <si>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</si>
  <si>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</si>
  <si>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</si>
  <si>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</si>
  <si>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</si>
  <si>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</si>
  <si>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</si>
  <si>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</si>
  <si>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</si>
  <si>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</si>
  <si>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</si>
  <si>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</si>
  <si>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</si>
  <si>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</si>
  <si>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</si>
  <si>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</si>
  <si>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</si>
  <si>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</si>
  <si>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</si>
  <si>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</si>
  <si>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</si>
  <si>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</si>
  <si>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</si>
  <si>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</si>
  <si>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</si>
  <si>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</si>
  <si>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</si>
  <si>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</si>
  <si>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</si>
  <si>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</si>
  <si>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</si>
  <si>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</si>
  <si>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</si>
  <si>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</si>
  <si>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</si>
  <si>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</si>
  <si>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</si>
  <si>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</si>
  <si>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</si>
  <si>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</si>
  <si>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</si>
  <si>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</si>
  <si>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</si>
  <si>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</si>
  <si>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</si>
  <si>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</si>
  <si>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</si>
  <si>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</si>
  <si>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</si>
  <si>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</si>
  <si>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</si>
  <si>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</si>
  <si>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</si>
  <si>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</si>
  <si>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</si>
  <si>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</si>
  <si>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</si>
  <si>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</si>
  <si>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</si>
  <si>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</si>
  <si>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</si>
  <si>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</si>
  <si>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</si>
  <si>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</si>
  <si>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</si>
  <si>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</si>
  <si>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</si>
  <si>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</si>
  <si>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</si>
  <si>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</si>
  <si>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</si>
  <si>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</si>
  <si>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</si>
  <si>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</si>
  <si>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</si>
  <si>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</si>
  <si>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</si>
  <si>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</si>
  <si>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</si>
  <si>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</si>
  <si>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</si>
  <si>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</si>
  <si>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</si>
  <si>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</si>
  <si>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</si>
  <si>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</si>
  <si>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</si>
  <si>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</si>
  <si>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</si>
  <si>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</si>
  <si>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</si>
  <si>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</si>
  <si>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</si>
  <si>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</si>
  <si>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</si>
  <si>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</si>
  <si>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</si>
  <si>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</si>
  <si>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</si>
  <si>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</si>
  <si>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</si>
  <si>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</si>
  <si>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</si>
  <si>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</si>
  <si>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</si>
  <si>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</si>
  <si>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</si>
  <si>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</si>
  <si>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</si>
  <si>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</si>
  <si>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</si>
  <si>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</si>
  <si>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</si>
  <si>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</si>
  <si>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</si>
  <si>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</si>
  <si>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</si>
  <si>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</si>
  <si>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</si>
  <si>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</si>
  <si>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</si>
  <si>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</si>
  <si>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</si>
  <si>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</si>
  <si>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</si>
  <si>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</si>
  <si>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</si>
  <si>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</si>
  <si>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</si>
  <si>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</si>
  <si>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</si>
  <si>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</si>
  <si>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</si>
  <si>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</si>
  <si>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</si>
  <si>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</si>
  <si>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</si>
  <si>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</si>
  <si>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</si>
  <si>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</si>
  <si>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</si>
  <si>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</si>
  <si>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</si>
  <si>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</si>
  <si>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</si>
  <si>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</si>
  <si>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</si>
  <si>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</si>
  <si>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</si>
  <si>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</si>
  <si>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</si>
  <si>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</si>
  <si>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</si>
  <si>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</si>
  <si>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</si>
  <si>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</si>
  <si>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</si>
  <si>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</si>
  <si>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</si>
  <si>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</si>
  <si>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</si>
  <si>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</si>
  <si>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</si>
  <si>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</si>
  <si>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</si>
  <si>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</si>
  <si>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</si>
  <si>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</si>
  <si>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</si>
  <si>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</si>
  <si>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</si>
  <si>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</si>
  <si>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</si>
  <si>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</si>
  <si>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</si>
  <si>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</si>
  <si>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</si>
  <si>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</si>
  <si>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</si>
  <si>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</si>
  <si>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</si>
  <si>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</si>
  <si>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</si>
  <si>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</si>
  <si>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</si>
  <si>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</si>
  <si>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</si>
  <si>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</si>
  <si>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</si>
  <si>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</si>
  <si>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</si>
  <si>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</si>
  <si>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</si>
  <si>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</si>
  <si>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</si>
  <si>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</si>
  <si>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</si>
  <si>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</si>
  <si>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</si>
  <si>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</si>
  <si>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</si>
  <si>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</si>
  <si>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</si>
  <si>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</si>
  <si>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</si>
  <si>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</si>
  <si>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</si>
  <si>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</si>
  <si>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</si>
  <si>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</si>
  <si>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</si>
  <si>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</si>
  <si>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</si>
  <si>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</si>
  <si>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</si>
  <si>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</si>
  <si>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</si>
  <si>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</si>
  <si>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</si>
  <si>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</si>
  <si>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</si>
  <si>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</si>
  <si>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</si>
  <si>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</si>
  <si>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</si>
  <si>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</si>
  <si>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</si>
  <si>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</si>
  <si>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</si>
  <si>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</si>
  <si>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</si>
  <si>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</si>
  <si>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</si>
  <si>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</si>
  <si>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</si>
  <si>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</si>
  <si>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</si>
  <si>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</si>
  <si>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</si>
  <si>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</si>
  <si>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</si>
  <si>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</si>
  <si>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</si>
  <si>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</si>
  <si>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</si>
  <si>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</si>
  <si>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</si>
  <si>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</si>
  <si>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</si>
  <si>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</si>
  <si>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</si>
  <si>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</si>
  <si>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</si>
  <si>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</si>
  <si>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</si>
  <si>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</si>
  <si>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</si>
  <si>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</si>
  <si>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</si>
  <si>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</si>
  <si>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</si>
  <si>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</si>
  <si>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</si>
  <si>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</si>
  <si>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</si>
  <si>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</si>
  <si>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</si>
  <si>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</si>
  <si>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</si>
  <si>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</si>
  <si>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</si>
  <si>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</si>
  <si>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</si>
  <si>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</si>
  <si>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</si>
  <si>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</si>
  <si>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</si>
  <si>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</si>
  <si>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</si>
  <si>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</si>
  <si>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</si>
  <si>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</si>
  <si>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</si>
  <si>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</si>
  <si>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</si>
  <si>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</si>
  <si>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</si>
  <si>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</si>
  <si>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</si>
  <si>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</si>
  <si>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</si>
  <si>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</si>
  <si>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</si>
  <si>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</si>
  <si>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</si>
  <si>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</si>
  <si>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</si>
  <si>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</si>
  <si>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</si>
  <si>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</si>
  <si>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</si>
  <si>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</si>
  <si>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</si>
  <si>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</si>
  <si>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</si>
  <si>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</si>
  <si>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</si>
  <si>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</si>
  <si>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</si>
  <si>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</si>
  <si>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</si>
  <si>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</si>
  <si>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</si>
  <si>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</si>
  <si>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</si>
  <si>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</si>
  <si>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</si>
  <si>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</si>
  <si>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</si>
  <si>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</si>
  <si>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</si>
  <si>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</si>
  <si>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</si>
  <si>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</si>
  <si>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</si>
  <si>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</si>
  <si>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</si>
  <si>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</si>
  <si>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</si>
  <si>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</si>
  <si>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</si>
  <si>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</si>
  <si>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</si>
  <si>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</si>
  <si>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</si>
  <si>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</si>
  <si>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</si>
  <si>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</si>
  <si>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</si>
  <si>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</si>
  <si>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</si>
  <si>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</si>
  <si>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</si>
  <si>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</si>
  <si>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</si>
  <si>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</si>
  <si>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</si>
  <si>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</si>
  <si>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</si>
  <si>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</si>
  <si>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</si>
  <si>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</si>
  <si>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</si>
  <si>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</si>
  <si>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</si>
  <si>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</si>
  <si>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</si>
  <si>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</si>
  <si>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</si>
  <si>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</si>
  <si>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</si>
  <si>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</si>
  <si>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</si>
  <si>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</si>
  <si>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</si>
  <si>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</si>
  <si>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</si>
  <si>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</si>
  <si>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</si>
  <si>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</si>
  <si>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</si>
  <si>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</si>
  <si>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</si>
  <si>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</si>
  <si>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</si>
  <si>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</si>
  <si>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</si>
  <si>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</si>
  <si>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</si>
  <si>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</si>
  <si>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</si>
  <si>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</si>
  <si>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</si>
  <si>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</si>
  <si>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</si>
  <si>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</si>
  <si>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</si>
  <si>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</si>
  <si>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</si>
  <si>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</si>
  <si>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</si>
  <si>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</si>
  <si>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</si>
  <si>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</si>
  <si>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</si>
  <si>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</si>
  <si>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</si>
  <si>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</si>
  <si>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</si>
  <si>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</si>
  <si>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</si>
  <si>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</si>
  <si>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</si>
  <si>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</si>
  <si>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</si>
  <si>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</si>
  <si>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</si>
  <si>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</si>
  <si>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</si>
  <si>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</si>
  <si>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</si>
  <si>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</si>
  <si>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</si>
  <si>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</si>
  <si>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</si>
  <si>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</si>
  <si>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</si>
  <si>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</si>
  <si>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</si>
  <si>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</si>
  <si>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</si>
  <si>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</si>
  <si>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</si>
  <si>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</si>
  <si>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</si>
  <si>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</si>
  <si>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</si>
  <si>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</si>
  <si>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</si>
  <si>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</si>
  <si>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</si>
  <si>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</si>
  <si>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</si>
  <si>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</si>
  <si>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</si>
  <si>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</si>
  <si>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</si>
  <si>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</si>
  <si>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</si>
  <si>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</si>
  <si>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</si>
  <si>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</si>
  <si>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</si>
  <si>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</si>
  <si>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</si>
  <si>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</si>
  <si>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</si>
  <si>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</si>
  <si>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</si>
  <si>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</si>
  <si>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</si>
  <si>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</si>
  <si>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</si>
  <si>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</si>
  <si>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</si>
  <si>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</si>
  <si>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</si>
  <si>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</si>
  <si>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</si>
  <si>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</si>
  <si>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</si>
  <si>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</si>
  <si>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</si>
  <si>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</si>
  <si>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</si>
  <si>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</si>
  <si>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</si>
  <si>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</si>
  <si>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</si>
  <si>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</si>
  <si>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</si>
  <si>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</si>
  <si>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</si>
  <si>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</si>
  <si>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</si>
  <si>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</si>
  <si>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</si>
  <si>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</si>
  <si>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</si>
  <si>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</si>
  <si>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</si>
  <si>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</si>
  <si>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</si>
  <si>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</si>
  <si>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</si>
  <si>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</si>
  <si>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</si>
  <si>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</si>
  <si>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</si>
  <si>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</si>
  <si>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</si>
  <si>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</si>
  <si>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</si>
  <si>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</si>
  <si>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</si>
  <si>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</si>
  <si>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x</t>
  </si>
  <si>
    <t>4213 HIGHWAY 12</t>
  </si>
  <si>
    <t>RICHMOND</t>
  </si>
  <si>
    <t>DLEVENDOSKI@NSD2.COM</t>
  </si>
  <si>
    <t>X</t>
  </si>
  <si>
    <t>IDSLAF</t>
  </si>
  <si>
    <t>Richmond-Burton Community High School #157</t>
  </si>
  <si>
    <t>Special Education District of McHenry County</t>
  </si>
  <si>
    <t>KEVIN SMITH</t>
  </si>
  <si>
    <t>Xerox Financial Copier Lease</t>
  </si>
  <si>
    <t>Capital Lease</t>
  </si>
  <si>
    <t>Page 10, Line 74 - Other Food Service</t>
  </si>
  <si>
    <t>Conagra Food Service</t>
  </si>
  <si>
    <t>Library Fines, Rebates</t>
  </si>
  <si>
    <t>Page 15, Line 41 - Other Support Services - Pupils</t>
  </si>
  <si>
    <t>OT Salaries, Mileage Reimbursements</t>
  </si>
  <si>
    <t>Page 16, Line 56 - Other Support Services - School Admin</t>
  </si>
  <si>
    <t>Salaries, Mileage Reimbursements, Assist. Direct. Of Spec. Ed., Other Misc. Expenses</t>
  </si>
  <si>
    <t>Page 16, Line 73 - Other Support Services</t>
  </si>
  <si>
    <t>Mileage Reimbursements</t>
  </si>
  <si>
    <t>Page 19, Line 237 - Other Support Services - Pupils</t>
  </si>
  <si>
    <t>OT Benefits</t>
  </si>
  <si>
    <t>Page 20, Line 260 - Other Support Services - School Administration</t>
  </si>
  <si>
    <t>Curriculum  Specialists, Assist. Direct. Of Spec. Ed. &amp; Office Staff Benefits</t>
  </si>
  <si>
    <t>Audit Check:</t>
  </si>
  <si>
    <t>Page 29: Contracts Paid in Current Year (CY) MUST be completed.</t>
  </si>
  <si>
    <t>No Contracts Paid in CY</t>
  </si>
  <si>
    <t>Page 24, Line 31 - Difference in Outstanding and Retired Debt</t>
  </si>
  <si>
    <t>No contracts</t>
  </si>
  <si>
    <t>Page 8, Line 80 - Other Changes in Fund Balances - Increases (Decreases)</t>
  </si>
  <si>
    <t>Conversion from accrual to cash basis accounting</t>
  </si>
  <si>
    <t>Richmond Burton HS</t>
  </si>
  <si>
    <t>NIHIP</t>
  </si>
  <si>
    <t>Page 11, Line 107 - Other Local Revenues</t>
  </si>
  <si>
    <t>Outstanding debt reported was higher than actual due to previous calculation error</t>
  </si>
  <si>
    <t>PDF in Opinion Page with signature</t>
  </si>
  <si>
    <t xml:space="preserve"> Nippersink 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</si>
</sst>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29" borderId="0" applyNumberFormat="0" applyBorder="0" applyAlignment="0" applyProtection="0"/>
    <xf numFmtId="0" fontId="144" fillId="30"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9" borderId="0" applyNumberFormat="0" applyBorder="0" applyAlignment="0" applyProtection="0"/>
    <xf numFmtId="0" fontId="144" fillId="33"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6" borderId="0" applyNumberFormat="0" applyBorder="0" applyAlignment="0" applyProtection="0"/>
    <xf numFmtId="0" fontId="144" fillId="30" borderId="0" applyNumberFormat="0" applyBorder="0" applyAlignment="0" applyProtection="0"/>
    <xf numFmtId="0" fontId="156" fillId="30"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34"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44" fillId="29" borderId="0" applyNumberFormat="0" applyBorder="0" applyAlignment="0" applyProtection="0"/>
    <xf numFmtId="0" fontId="144"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4" fillId="0" borderId="0"/>
    <xf numFmtId="0" fontId="142" fillId="0" borderId="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198" fontId="163" fillId="0" borderId="0" applyFill="0" applyBorder="0" applyProtection="0">
      <alignment horizontal="right"/>
    </xf>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2" fillId="0" borderId="0"/>
    <xf numFmtId="0" fontId="11" fillId="0" borderId="0"/>
    <xf numFmtId="0" fontId="11" fillId="0" borderId="0"/>
    <xf numFmtId="0" fontId="11" fillId="0" borderId="0"/>
    <xf numFmtId="0" fontId="11" fillId="0" borderId="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7" fillId="0" borderId="0" applyNumberFormat="0" applyFill="0" applyBorder="0" applyAlignment="0" applyProtection="0">
      <alignment vertical="top"/>
      <protection locked="0"/>
    </xf>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2" fillId="62" borderId="171" applyNumberFormat="0" applyAlignment="0" applyProtection="0"/>
    <xf numFmtId="0" fontId="155" fillId="0" borderId="177" applyNumberFormat="0" applyFill="0" applyAlignment="0" applyProtection="0"/>
    <xf numFmtId="43" fontId="4" fillId="0" borderId="0" applyFont="0" applyFill="0" applyBorder="0" applyAlignment="0" applyProtection="0"/>
    <xf numFmtId="0" fontId="4"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43" fontId="4" fillId="0" borderId="0" applyFont="0" applyFill="0" applyBorder="0" applyAlignment="0" applyProtection="0"/>
    <xf numFmtId="0" fontId="4" fillId="0" borderId="0"/>
    <xf numFmtId="0" fontId="4" fillId="0" borderId="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43"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cellStyleXfs>
  <cellXfs count="263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0" fontId="58" fillId="0" borderId="0" xfId="3" applyFont="1" applyAlignment="1">
      <alignment horizontal="center" vertical="center"/>
    </xf>
    <xf numFmtId="0" fontId="3"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6" borderId="77" xfId="3741" applyNumberFormat="1" applyFont="1" applyFill="1" applyBorder="1" applyAlignment="1">
      <alignment horizontal="center"/>
    </xf>
    <xf numFmtId="0" fontId="58" fillId="66"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6" borderId="0" xfId="3741" applyNumberFormat="1" applyFont="1" applyFill="1" applyAlignment="1">
      <alignment horizontal="center"/>
    </xf>
    <xf numFmtId="0" fontId="58" fillId="0" borderId="185" xfId="3741" applyFont="1" applyBorder="1" applyAlignment="1">
      <alignment horizontal="center"/>
    </xf>
    <xf numFmtId="38" fontId="58" fillId="0" borderId="188" xfId="3741" applyNumberFormat="1" applyFont="1" applyBorder="1" applyAlignment="1" applyProtection="1">
      <alignment horizontal="center"/>
      <protection locked="0"/>
    </xf>
    <xf numFmtId="38" fontId="58" fillId="0" borderId="189" xfId="3741" applyNumberFormat="1" applyFont="1" applyBorder="1" applyAlignment="1" applyProtection="1">
      <alignment horizontal="center"/>
      <protection locked="0"/>
    </xf>
    <xf numFmtId="0" fontId="58" fillId="0" borderId="188" xfId="3741" applyFont="1" applyBorder="1" applyAlignment="1">
      <alignment horizontal="center"/>
    </xf>
    <xf numFmtId="38" fontId="58" fillId="0" borderId="191" xfId="3741" applyNumberFormat="1" applyFont="1" applyBorder="1" applyAlignment="1" applyProtection="1">
      <alignment horizontal="center"/>
      <protection locked="0"/>
    </xf>
    <xf numFmtId="38" fontId="58" fillId="0" borderId="192" xfId="3741" applyNumberFormat="1" applyFont="1" applyBorder="1" applyAlignment="1" applyProtection="1">
      <alignment horizontal="center"/>
      <protection locked="0"/>
    </xf>
    <xf numFmtId="38" fontId="66" fillId="67" borderId="193" xfId="3741" applyNumberFormat="1" applyFont="1" applyFill="1" applyBorder="1" applyAlignment="1" applyProtection="1">
      <alignment horizontal="center"/>
      <protection locked="0"/>
    </xf>
    <xf numFmtId="0" fontId="58" fillId="0" borderId="191"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6"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8" fontId="2" fillId="0" borderId="155" xfId="19" applyNumberFormat="1" applyFont="1" applyBorder="1" applyAlignment="1" applyProtection="1">
      <alignment horizontal="righ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90" xfId="3741" applyFont="1" applyBorder="1"/>
    <xf numFmtId="0" fontId="58" fillId="0" borderId="188" xfId="3741" applyFont="1" applyBorder="1"/>
    <xf numFmtId="0" fontId="58" fillId="0" borderId="187" xfId="3741" applyFont="1" applyBorder="1"/>
    <xf numFmtId="0" fontId="58" fillId="0" borderId="185" xfId="3741" applyFont="1" applyBorder="1"/>
    <xf numFmtId="0" fontId="66" fillId="0" borderId="183" xfId="3741" applyFont="1" applyBorder="1"/>
    <xf numFmtId="0" fontId="66" fillId="0" borderId="77"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6" borderId="183" xfId="3741" applyFont="1" applyFill="1" applyBorder="1"/>
    <xf numFmtId="0" fontId="58" fillId="66"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1" xfId="3741" applyFont="1" applyBorder="1"/>
    <xf numFmtId="0" fontId="58" fillId="0" borderId="190" xfId="3741" applyFont="1" applyBorder="1" applyAlignment="1">
      <alignment wrapText="1"/>
    </xf>
    <xf numFmtId="0" fontId="58" fillId="0" borderId="188" xfId="3741" applyFont="1" applyBorder="1" applyAlignment="1">
      <alignment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67" borderId="78" xfId="3" applyFont="1" applyFill="1" applyBorder="1" applyAlignment="1" applyProtection="1">
      <alignment horizontal="left" vertical="center" indent="1"/>
      <protection locked="0"/>
    </xf>
    <xf numFmtId="0" fontId="66" fillId="67" borderId="78" xfId="3" applyFont="1" applyFill="1" applyBorder="1" applyAlignment="1" applyProtection="1">
      <alignment horizontal="left" vertical="center"/>
      <protection locked="0"/>
    </xf>
    <xf numFmtId="0" fontId="58" fillId="22" borderId="181"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67"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742">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1476375</xdr:colOff>
          <xdr:row>5</xdr:row>
          <xdr:rowOff>142875</xdr:rowOff>
        </xdr:from>
        <xdr:to>
          <xdr:col>1</xdr:col>
          <xdr:colOff>2390775</xdr:colOff>
          <xdr:row>10</xdr:row>
          <xdr:rowOff>19050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5</xdr:row>
          <xdr:rowOff>133350</xdr:rowOff>
        </xdr:from>
        <xdr:to>
          <xdr:col>1</xdr:col>
          <xdr:colOff>1076325</xdr:colOff>
          <xdr:row>10</xdr:row>
          <xdr:rowOff>9525</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3">
        <f>+'AFR20'!E4</f>
        <v>44119</v>
      </c>
      <c r="C1" s="2043"/>
      <c r="D1" s="2044"/>
      <c r="I1" s="2122" t="s">
        <v>402</v>
      </c>
      <c r="J1" s="2123"/>
      <c r="K1" s="2123"/>
      <c r="L1" s="2123"/>
      <c r="M1" s="2123"/>
      <c r="N1" s="2123"/>
      <c r="O1" s="2123"/>
      <c r="P1" s="2123"/>
      <c r="Q1" s="2123"/>
      <c r="R1" s="2123"/>
      <c r="S1" s="2123"/>
    </row>
    <row r="2" spans="1:32" ht="12" customHeight="1" x14ac:dyDescent="0.2">
      <c r="A2" s="1820" t="str">
        <f>"Due to ISBE on "</f>
        <v xml:space="preserve">Due to ISBE on </v>
      </c>
      <c r="B2" s="2045">
        <f>+'AFR20'!F4</f>
        <v>44151</v>
      </c>
      <c r="C2" s="2045"/>
      <c r="D2" s="2046"/>
      <c r="I2" s="2124" t="s">
        <v>2000</v>
      </c>
      <c r="J2" s="2123"/>
      <c r="K2" s="2123"/>
      <c r="L2" s="2123"/>
      <c r="M2" s="2123"/>
      <c r="N2" s="2123"/>
      <c r="O2" s="2123"/>
      <c r="P2" s="2123"/>
      <c r="Q2" s="2123"/>
      <c r="R2" s="2123"/>
      <c r="S2" s="2123"/>
    </row>
    <row r="3" spans="1:32" ht="12" customHeight="1" x14ac:dyDescent="0.2">
      <c r="A3" s="1823" t="str">
        <f>"SD/JA"&amp;MID('AFR20'!E2,3,2)</f>
        <v>SD/JA20</v>
      </c>
      <c r="B3" s="151"/>
      <c r="C3" s="151"/>
      <c r="D3" s="152"/>
      <c r="I3" s="2124" t="s">
        <v>52</v>
      </c>
      <c r="J3" s="2123"/>
      <c r="K3" s="2123"/>
      <c r="L3" s="2123"/>
      <c r="M3" s="2123"/>
      <c r="N3" s="2123"/>
      <c r="O3" s="2123"/>
      <c r="P3" s="2123"/>
      <c r="Q3" s="2123"/>
      <c r="R3" s="2123"/>
      <c r="S3" s="2123"/>
    </row>
    <row r="4" spans="1:32" ht="12" customHeight="1" x14ac:dyDescent="0.2">
      <c r="A4" s="37"/>
      <c r="I4" s="2124" t="s">
        <v>521</v>
      </c>
      <c r="J4" s="2123"/>
      <c r="K4" s="2123"/>
      <c r="L4" s="2123"/>
      <c r="M4" s="2123"/>
      <c r="N4" s="2123"/>
      <c r="O4" s="2123"/>
      <c r="P4" s="2123"/>
      <c r="Q4" s="2123"/>
      <c r="R4" s="2123"/>
      <c r="S4" s="2123"/>
    </row>
    <row r="5" spans="1:32" ht="14.1" customHeight="1" x14ac:dyDescent="0.2">
      <c r="B5" s="101" t="s">
        <v>2062</v>
      </c>
      <c r="C5" s="26" t="s">
        <v>903</v>
      </c>
      <c r="D5" s="81"/>
      <c r="E5" s="81"/>
      <c r="H5" s="38"/>
      <c r="I5" s="2131" t="s">
        <v>675</v>
      </c>
      <c r="J5" s="2076"/>
      <c r="K5" s="2076"/>
      <c r="L5" s="2076"/>
      <c r="M5" s="2076"/>
      <c r="N5" s="2076"/>
      <c r="O5" s="2076"/>
      <c r="P5" s="2076"/>
      <c r="Q5" s="2076"/>
      <c r="R5" s="2076"/>
      <c r="S5" s="2076"/>
      <c r="AF5" s="1816"/>
    </row>
    <row r="6" spans="1:32" ht="14.1" customHeight="1" x14ac:dyDescent="0.2">
      <c r="B6" s="101"/>
      <c r="C6" s="26" t="s">
        <v>904</v>
      </c>
      <c r="D6" s="81"/>
      <c r="E6" s="81"/>
      <c r="I6" s="2130" t="s">
        <v>876</v>
      </c>
      <c r="J6" s="2076"/>
      <c r="K6" s="2076"/>
      <c r="L6" s="2076"/>
      <c r="M6" s="2076"/>
      <c r="N6" s="2076"/>
      <c r="O6" s="2076"/>
      <c r="P6" s="2076"/>
      <c r="Q6" s="2076"/>
      <c r="R6" s="2076"/>
      <c r="S6" s="2076"/>
    </row>
    <row r="7" spans="1:32" ht="12.2" customHeight="1" x14ac:dyDescent="0.2">
      <c r="I7" s="2125" t="str">
        <f>"June 30, "&amp;'AFR20'!E2</f>
        <v>June 30, 2020</v>
      </c>
      <c r="J7" s="2126"/>
      <c r="K7" s="2126"/>
      <c r="L7" s="2126"/>
      <c r="M7" s="2126"/>
      <c r="N7" s="2126"/>
      <c r="O7" s="2126"/>
      <c r="P7" s="2126"/>
      <c r="Q7" s="2126"/>
      <c r="R7" s="2126"/>
      <c r="S7" s="212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7" t="s">
        <v>669</v>
      </c>
      <c r="J9" s="2128"/>
      <c r="K9" s="2128"/>
      <c r="L9" s="2128"/>
      <c r="M9" s="2128"/>
      <c r="N9" s="2128"/>
      <c r="O9" s="2128"/>
      <c r="P9" s="2128"/>
      <c r="Q9" s="2128"/>
      <c r="R9" s="2128"/>
      <c r="S9" s="2129"/>
      <c r="T9" s="2072" t="s">
        <v>530</v>
      </c>
      <c r="U9" s="2073"/>
      <c r="V9" s="2073"/>
      <c r="W9" s="2073"/>
      <c r="X9" s="2073"/>
      <c r="Y9" s="2073"/>
      <c r="Z9" s="2073"/>
      <c r="AA9" s="2074"/>
    </row>
    <row r="10" spans="1:32" ht="13.5" customHeight="1" x14ac:dyDescent="0.2">
      <c r="A10" s="2081" t="s">
        <v>670</v>
      </c>
      <c r="B10" s="2082"/>
      <c r="C10" s="2082"/>
      <c r="D10" s="2082"/>
      <c r="E10" s="2082"/>
      <c r="F10" s="2082"/>
      <c r="G10" s="2082"/>
      <c r="H10" s="2083"/>
      <c r="I10" s="29"/>
      <c r="J10" s="30"/>
      <c r="K10" s="28"/>
      <c r="R10" s="30"/>
      <c r="S10" s="30"/>
      <c r="T10" s="2075"/>
      <c r="U10" s="2076"/>
      <c r="V10" s="2076"/>
      <c r="W10" s="2076"/>
      <c r="X10" s="2076"/>
      <c r="Y10" s="2076"/>
      <c r="Z10" s="2076"/>
      <c r="AA10" s="2077"/>
    </row>
    <row r="11" spans="1:32" ht="14.25" customHeight="1" x14ac:dyDescent="0.2">
      <c r="A11" s="2084" t="s">
        <v>948</v>
      </c>
      <c r="B11" s="2085"/>
      <c r="C11" s="2085"/>
      <c r="D11" s="2085"/>
      <c r="E11" s="2085"/>
      <c r="F11" s="2085"/>
      <c r="G11" s="2085"/>
      <c r="H11" s="2086"/>
      <c r="I11" s="27"/>
      <c r="J11" s="71"/>
      <c r="K11" s="27"/>
      <c r="O11" s="144" t="s">
        <v>2062</v>
      </c>
      <c r="P11" s="97" t="s">
        <v>199</v>
      </c>
      <c r="Q11" s="30"/>
      <c r="R11" s="28"/>
      <c r="S11" s="27"/>
      <c r="T11" s="2078"/>
      <c r="U11" s="2079"/>
      <c r="V11" s="2079"/>
      <c r="W11" s="2079"/>
      <c r="X11" s="2079"/>
      <c r="Y11" s="2079"/>
      <c r="Z11" s="2079"/>
      <c r="AA11" s="2080"/>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2">
        <v>44063002003</v>
      </c>
      <c r="B13" s="2093"/>
      <c r="C13" s="2093"/>
      <c r="D13" s="2093"/>
      <c r="E13" s="2093"/>
      <c r="F13" s="2093"/>
      <c r="G13" s="2093"/>
      <c r="H13" s="2094"/>
      <c r="I13" s="31"/>
      <c r="J13" s="30"/>
      <c r="K13" s="28"/>
      <c r="L13" s="30"/>
      <c r="M13" s="30"/>
      <c r="N13" s="30"/>
      <c r="O13" s="30"/>
      <c r="P13" s="30"/>
      <c r="Q13" s="30"/>
      <c r="R13" s="30"/>
      <c r="S13" s="30"/>
      <c r="T13" s="2097" t="s">
        <v>2015</v>
      </c>
      <c r="U13" s="2098"/>
      <c r="V13" s="2098"/>
      <c r="W13" s="2098"/>
      <c r="X13" s="2098"/>
      <c r="Y13" s="2099"/>
      <c r="Z13" s="2099"/>
      <c r="AA13" s="2100"/>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90" t="s">
        <v>2017</v>
      </c>
      <c r="B15" s="2095"/>
      <c r="C15" s="2095"/>
      <c r="D15" s="2095"/>
      <c r="E15" s="2095"/>
      <c r="F15" s="2095"/>
      <c r="G15" s="2095"/>
      <c r="H15" s="2096"/>
      <c r="T15" s="2058" t="s">
        <v>2070</v>
      </c>
      <c r="U15" s="2059"/>
      <c r="V15" s="2059"/>
      <c r="W15" s="2059"/>
      <c r="X15" s="2059"/>
      <c r="Y15" s="2101"/>
      <c r="Z15" s="2101"/>
      <c r="AA15" s="210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0" t="s">
        <v>2098</v>
      </c>
      <c r="B17" s="2120"/>
      <c r="C17" s="2120"/>
      <c r="D17" s="2120"/>
      <c r="E17" s="2120"/>
      <c r="F17" s="2120"/>
      <c r="G17" s="2120"/>
      <c r="H17" s="2121"/>
      <c r="T17" s="2107" t="s">
        <v>2016</v>
      </c>
      <c r="U17" s="2108"/>
      <c r="V17" s="2108"/>
      <c r="W17" s="2108"/>
      <c r="X17" s="2108"/>
      <c r="Y17" s="2108"/>
      <c r="Z17" s="2108"/>
      <c r="AA17" s="2109"/>
    </row>
    <row r="18" spans="1:27" ht="13.5" customHeight="1" x14ac:dyDescent="0.2">
      <c r="A18" s="82" t="s">
        <v>527</v>
      </c>
      <c r="B18" s="73"/>
      <c r="C18" s="69"/>
      <c r="D18" s="73"/>
      <c r="E18" s="73"/>
      <c r="F18" s="73"/>
      <c r="G18" s="73"/>
      <c r="H18" s="53"/>
      <c r="I18" s="2117" t="s">
        <v>671</v>
      </c>
      <c r="J18" s="2118"/>
      <c r="K18" s="2118"/>
      <c r="L18" s="2118"/>
      <c r="M18" s="2118"/>
      <c r="N18" s="2118"/>
      <c r="O18" s="2118"/>
      <c r="P18" s="2118"/>
      <c r="Q18" s="2118"/>
      <c r="R18" s="2118"/>
      <c r="S18" s="2119"/>
      <c r="T18" s="82" t="s">
        <v>705</v>
      </c>
      <c r="U18" s="48"/>
      <c r="V18" s="69"/>
      <c r="W18" s="47"/>
      <c r="X18" s="82" t="s">
        <v>264</v>
      </c>
      <c r="Y18" s="78"/>
      <c r="Z18" s="154" t="s">
        <v>672</v>
      </c>
      <c r="AA18" s="44"/>
    </row>
    <row r="19" spans="1:27" ht="13.5" customHeight="1" x14ac:dyDescent="0.2">
      <c r="A19" s="2090" t="s">
        <v>2063</v>
      </c>
      <c r="B19" s="2091"/>
      <c r="C19" s="2091"/>
      <c r="D19" s="2091"/>
      <c r="E19" s="2091"/>
      <c r="F19" s="2091"/>
      <c r="G19" s="2091"/>
      <c r="H19" s="2089"/>
      <c r="I19" s="30"/>
      <c r="J19" s="96"/>
      <c r="K19" s="40"/>
      <c r="L19" s="38"/>
      <c r="M19" s="109" t="s">
        <v>312</v>
      </c>
      <c r="P19" s="27"/>
      <c r="Q19" s="27"/>
      <c r="R19" s="27"/>
      <c r="S19" s="31"/>
      <c r="T19" s="2090" t="s">
        <v>2017</v>
      </c>
      <c r="U19" s="2088"/>
      <c r="V19" s="2088"/>
      <c r="W19" s="2089"/>
      <c r="X19" s="2105" t="s">
        <v>2018</v>
      </c>
      <c r="Y19" s="2106"/>
      <c r="Z19" s="2103">
        <v>60050</v>
      </c>
      <c r="AA19" s="2104"/>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87" t="s">
        <v>2064</v>
      </c>
      <c r="B21" s="2088"/>
      <c r="C21" s="2088"/>
      <c r="D21" s="2088"/>
      <c r="E21" s="2088"/>
      <c r="F21" s="2088"/>
      <c r="G21" s="2088"/>
      <c r="H21" s="2089"/>
      <c r="I21" s="2113" t="s">
        <v>673</v>
      </c>
      <c r="J21" s="2076"/>
      <c r="K21" s="2076"/>
      <c r="L21" s="2076"/>
      <c r="M21" s="2076"/>
      <c r="N21" s="2076"/>
      <c r="O21" s="2076"/>
      <c r="P21" s="2076"/>
      <c r="Q21" s="2076"/>
      <c r="R21" s="2076"/>
      <c r="S21" s="2077"/>
      <c r="T21" s="2055" t="s">
        <v>2019</v>
      </c>
      <c r="U21" s="2056"/>
      <c r="V21" s="2056"/>
      <c r="W21" s="2056"/>
      <c r="X21" s="2069" t="s">
        <v>2020</v>
      </c>
      <c r="Y21" s="2070"/>
      <c r="Z21" s="2070"/>
      <c r="AA21" s="2071"/>
    </row>
    <row r="22" spans="1:27" ht="13.5" customHeight="1" x14ac:dyDescent="0.2">
      <c r="A22" s="84" t="s">
        <v>528</v>
      </c>
      <c r="B22" s="56"/>
      <c r="C22" s="56"/>
      <c r="D22" s="56"/>
      <c r="E22" s="56"/>
      <c r="F22" s="56"/>
      <c r="G22" s="56"/>
      <c r="H22" s="57"/>
      <c r="I22" s="2114" t="s">
        <v>1409</v>
      </c>
      <c r="J22" s="2115"/>
      <c r="K22" s="2115"/>
      <c r="L22" s="2115"/>
      <c r="M22" s="2115"/>
      <c r="N22" s="2115"/>
      <c r="O22" s="2115"/>
      <c r="P22" s="2115"/>
      <c r="Q22" s="2115"/>
      <c r="R22" s="2115"/>
      <c r="S22" s="2116"/>
      <c r="T22" s="82" t="s">
        <v>1496</v>
      </c>
      <c r="U22" s="48"/>
      <c r="V22" s="69"/>
      <c r="W22" s="48"/>
      <c r="X22" s="155" t="s">
        <v>1306</v>
      </c>
      <c r="Z22" s="43"/>
      <c r="AA22" s="44"/>
    </row>
    <row r="23" spans="1:27" ht="13.5" customHeight="1" x14ac:dyDescent="0.2">
      <c r="A23" s="2110" t="s">
        <v>2065</v>
      </c>
      <c r="B23" s="2111"/>
      <c r="C23" s="2111"/>
      <c r="D23" s="2111"/>
      <c r="E23" s="2111"/>
      <c r="F23" s="2111"/>
      <c r="G23" s="2111"/>
      <c r="H23" s="2112"/>
      <c r="T23" s="2050" t="s">
        <v>2021</v>
      </c>
      <c r="U23" s="2051"/>
      <c r="V23" s="2051"/>
      <c r="W23" s="2051"/>
      <c r="X23" s="2066">
        <v>44530</v>
      </c>
      <c r="Y23" s="2067"/>
      <c r="Z23" s="2067"/>
      <c r="AA23" s="2068"/>
    </row>
    <row r="24" spans="1:27" ht="14.1" customHeight="1" x14ac:dyDescent="0.2">
      <c r="A24" s="85" t="s">
        <v>672</v>
      </c>
      <c r="B24" s="46"/>
      <c r="C24" s="46"/>
      <c r="D24" s="46"/>
      <c r="E24" s="46"/>
      <c r="F24" s="46"/>
      <c r="G24" s="46"/>
      <c r="H24" s="58"/>
      <c r="J24" s="2152">
        <f>IF(B5="x",IF(AUDITCHECK!D29="AFR form Incomplete.","",IF(AUDITCHECK!D29="Deficit reduction plan is required.","School District must complete a deficit reduction plan in the 2020-2021 Budget",)),"")</f>
        <v>0</v>
      </c>
      <c r="K24" s="2152"/>
      <c r="L24" s="2152"/>
      <c r="M24" s="2152"/>
      <c r="N24" s="2152"/>
      <c r="O24" s="2152"/>
      <c r="P24" s="2152"/>
      <c r="Q24" s="2152"/>
      <c r="R24" s="2152"/>
      <c r="S24" s="2153"/>
      <c r="T24" s="102" t="s">
        <v>528</v>
      </c>
      <c r="U24" s="103"/>
      <c r="V24" s="103"/>
      <c r="W24" s="103"/>
      <c r="X24" s="104"/>
      <c r="Y24" s="104"/>
      <c r="Z24" s="104"/>
      <c r="AA24" s="105"/>
    </row>
    <row r="25" spans="1:27" ht="14.1" customHeight="1" x14ac:dyDescent="0.2">
      <c r="A25" s="2087">
        <v>60071</v>
      </c>
      <c r="B25" s="2088"/>
      <c r="C25" s="2088"/>
      <c r="D25" s="2088"/>
      <c r="E25" s="2088"/>
      <c r="F25" s="2088"/>
      <c r="G25" s="2088"/>
      <c r="H25" s="2089"/>
      <c r="I25" s="110"/>
      <c r="J25" s="2154"/>
      <c r="K25" s="2154"/>
      <c r="L25" s="2154"/>
      <c r="M25" s="2154"/>
      <c r="N25" s="2154"/>
      <c r="O25" s="2154"/>
      <c r="P25" s="2154"/>
      <c r="Q25" s="2154"/>
      <c r="R25" s="2154"/>
      <c r="S25" s="2155"/>
      <c r="T25" s="2047" t="s">
        <v>2022</v>
      </c>
      <c r="U25" s="2048"/>
      <c r="V25" s="2048"/>
      <c r="W25" s="2048"/>
      <c r="X25" s="2048"/>
      <c r="Y25" s="2048"/>
      <c r="Z25" s="2048"/>
      <c r="AA25" s="204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45" t="s">
        <v>1491</v>
      </c>
      <c r="J27" s="2118"/>
      <c r="K27" s="2118"/>
      <c r="L27" s="2118"/>
      <c r="M27" s="2118"/>
      <c r="N27" s="2118"/>
      <c r="O27" s="2118"/>
      <c r="P27" s="2118"/>
      <c r="Q27" s="2118"/>
      <c r="R27" s="2118"/>
      <c r="S27" s="2119"/>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99"/>
      <c r="K29" s="28" t="s">
        <v>572</v>
      </c>
      <c r="L29" s="144" t="s">
        <v>2066</v>
      </c>
      <c r="M29" s="40" t="s">
        <v>99</v>
      </c>
      <c r="N29" s="32" t="s">
        <v>1503</v>
      </c>
      <c r="O29" s="32"/>
      <c r="P29" s="32"/>
      <c r="Q29" s="32"/>
      <c r="R29" s="32"/>
      <c r="S29" s="120"/>
      <c r="T29" s="6"/>
      <c r="U29" s="6"/>
      <c r="V29" s="6"/>
      <c r="W29" s="6"/>
      <c r="X29" s="6"/>
      <c r="Y29" s="6"/>
      <c r="Z29" s="6"/>
      <c r="AA29" s="129"/>
    </row>
    <row r="30" spans="1:27" ht="13.5" customHeight="1" x14ac:dyDescent="0.2">
      <c r="A30" s="149"/>
      <c r="B30" s="133" t="s">
        <v>2062</v>
      </c>
      <c r="C30" s="121" t="s">
        <v>1153</v>
      </c>
      <c r="D30" s="28"/>
      <c r="E30" s="28"/>
      <c r="F30" s="136"/>
      <c r="G30" s="111"/>
      <c r="H30" s="111"/>
      <c r="I30" s="51"/>
      <c r="J30" s="99"/>
      <c r="K30" s="28" t="s">
        <v>572</v>
      </c>
      <c r="L30" s="144" t="s">
        <v>2066</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2066</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91"/>
      <c r="Q35" s="2088"/>
      <c r="R35" s="208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0"/>
      <c r="B38" s="2120"/>
      <c r="C38" s="2120"/>
      <c r="D38" s="2120"/>
      <c r="E38" s="2120"/>
      <c r="F38" s="2088"/>
      <c r="G38" s="2088"/>
      <c r="H38" s="2089"/>
      <c r="I38" s="2139"/>
      <c r="J38" s="2059"/>
      <c r="K38" s="2059"/>
      <c r="L38" s="2059"/>
      <c r="M38" s="2059"/>
      <c r="N38" s="2059"/>
      <c r="O38" s="2059"/>
      <c r="P38" s="2060"/>
      <c r="Q38" s="2060"/>
      <c r="R38" s="2060"/>
      <c r="S38" s="2061"/>
      <c r="T38" s="2058"/>
      <c r="U38" s="2059"/>
      <c r="V38" s="2059"/>
      <c r="W38" s="2059"/>
      <c r="X38" s="2060"/>
      <c r="Y38" s="2060"/>
      <c r="Z38" s="2060"/>
      <c r="AA38" s="2061"/>
    </row>
    <row r="39" spans="1:27" ht="12" customHeight="1" x14ac:dyDescent="0.2">
      <c r="A39" s="2143" t="s">
        <v>528</v>
      </c>
      <c r="B39" s="2144"/>
      <c r="C39" s="69"/>
      <c r="D39" s="66"/>
      <c r="E39" s="66"/>
      <c r="F39" s="76"/>
      <c r="G39" s="66"/>
      <c r="H39" s="53"/>
      <c r="I39" s="2143" t="s">
        <v>528</v>
      </c>
      <c r="J39" s="2144"/>
      <c r="K39" s="2144"/>
      <c r="L39" s="2144"/>
      <c r="M39" s="2144"/>
      <c r="N39" s="64"/>
      <c r="O39" s="69"/>
      <c r="P39" s="69"/>
      <c r="Q39" s="75"/>
      <c r="R39" s="69"/>
      <c r="S39" s="53"/>
      <c r="T39" s="69" t="s">
        <v>528</v>
      </c>
      <c r="U39" s="48"/>
      <c r="V39" s="69"/>
      <c r="W39" s="47"/>
      <c r="X39" s="75"/>
      <c r="Y39" s="43"/>
      <c r="Z39" s="43"/>
      <c r="AA39" s="44"/>
    </row>
    <row r="40" spans="1:27" ht="13.5" customHeight="1" x14ac:dyDescent="0.2">
      <c r="A40" s="2146"/>
      <c r="B40" s="2147"/>
      <c r="C40" s="2148"/>
      <c r="D40" s="2148"/>
      <c r="E40" s="2148"/>
      <c r="F40" s="2149"/>
      <c r="G40" s="2149"/>
      <c r="H40" s="2150"/>
      <c r="I40" s="2062"/>
      <c r="J40" s="2064"/>
      <c r="K40" s="2064"/>
      <c r="L40" s="2064"/>
      <c r="M40" s="2064"/>
      <c r="N40" s="2064"/>
      <c r="O40" s="2064"/>
      <c r="P40" s="2064"/>
      <c r="Q40" s="2064"/>
      <c r="R40" s="2064"/>
      <c r="S40" s="2065"/>
      <c r="T40" s="2062"/>
      <c r="U40" s="2063"/>
      <c r="V40" s="2064"/>
      <c r="W40" s="2064"/>
      <c r="X40" s="2064"/>
      <c r="Y40" s="2064"/>
      <c r="Z40" s="2064"/>
      <c r="AA40" s="2065"/>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6"/>
      <c r="B42" s="2137"/>
      <c r="C42" s="2138"/>
      <c r="D42" s="2151"/>
      <c r="E42" s="2137"/>
      <c r="F42" s="2137"/>
      <c r="G42" s="2137"/>
      <c r="H42" s="2138"/>
      <c r="I42" s="2057"/>
      <c r="J42" s="2053"/>
      <c r="K42" s="2053"/>
      <c r="L42" s="2053"/>
      <c r="M42" s="2053"/>
      <c r="N42" s="2053"/>
      <c r="O42" s="2054"/>
      <c r="P42" s="2052"/>
      <c r="Q42" s="2053"/>
      <c r="R42" s="2053"/>
      <c r="S42" s="2054"/>
      <c r="T42" s="2057"/>
      <c r="U42" s="2053"/>
      <c r="V42" s="2053"/>
      <c r="W42" s="2054"/>
      <c r="X42" s="2052"/>
      <c r="Y42" s="2053"/>
      <c r="Z42" s="2053"/>
      <c r="AA42" s="2054"/>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40"/>
      <c r="B44" s="2141"/>
      <c r="C44" s="2141"/>
      <c r="D44" s="2141"/>
      <c r="E44" s="2141"/>
      <c r="F44" s="2141"/>
      <c r="G44" s="2141"/>
      <c r="H44" s="2142"/>
      <c r="I44" s="2132"/>
      <c r="J44" s="2134"/>
      <c r="K44" s="2134"/>
      <c r="L44" s="2134"/>
      <c r="M44" s="2134"/>
      <c r="N44" s="2134"/>
      <c r="O44" s="2134"/>
      <c r="P44" s="2134"/>
      <c r="Q44" s="2134"/>
      <c r="R44" s="2134"/>
      <c r="S44" s="2135"/>
      <c r="T44" s="2132"/>
      <c r="U44" s="2133"/>
      <c r="V44" s="2133"/>
      <c r="W44" s="2133"/>
      <c r="X44" s="2133"/>
      <c r="Y44" s="2133"/>
      <c r="Z44" s="2134"/>
      <c r="AA44" s="2135"/>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19" sqref="E1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94" t="s">
        <v>1776</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295"/>
      <c r="B3" s="1287"/>
      <c r="C3" s="1288"/>
      <c r="D3" s="1289" t="s">
        <v>254</v>
      </c>
      <c r="E3" s="1288"/>
      <c r="F3" s="1289" t="s">
        <v>255</v>
      </c>
    </row>
    <row r="4" spans="1:8" ht="13.7" customHeight="1" x14ac:dyDescent="0.2">
      <c r="A4" s="579" t="s">
        <v>1144</v>
      </c>
      <c r="B4" s="1710">
        <f>'Revenues 9-14'!C5</f>
        <v>9294761</v>
      </c>
      <c r="C4" s="1711">
        <v>4660565</v>
      </c>
      <c r="D4" s="1712">
        <f>B4-C4</f>
        <v>4634196</v>
      </c>
      <c r="E4" s="1711">
        <v>9845841</v>
      </c>
      <c r="F4" s="1712">
        <f>E4-C4</f>
        <v>5185276</v>
      </c>
    </row>
    <row r="5" spans="1:8" ht="13.7" customHeight="1" x14ac:dyDescent="0.2">
      <c r="A5" s="579" t="s">
        <v>864</v>
      </c>
      <c r="B5" s="1713">
        <f>'Revenues 9-14'!D5</f>
        <v>1613736</v>
      </c>
      <c r="C5" s="1654">
        <v>826277</v>
      </c>
      <c r="D5" s="1714">
        <f t="shared" ref="D5:D18" si="0">B5-C5</f>
        <v>787459</v>
      </c>
      <c r="E5" s="1654">
        <v>1745582</v>
      </c>
      <c r="F5" s="1714">
        <f>E5-C5</f>
        <v>919305</v>
      </c>
    </row>
    <row r="6" spans="1:8" ht="13.7" customHeight="1" x14ac:dyDescent="0.2">
      <c r="A6" s="579" t="s">
        <v>408</v>
      </c>
      <c r="B6" s="1713">
        <f>'Revenues 9-14'!E5</f>
        <v>0</v>
      </c>
      <c r="C6" s="1654"/>
      <c r="D6" s="1714">
        <f t="shared" si="0"/>
        <v>0</v>
      </c>
      <c r="E6" s="1654"/>
      <c r="F6" s="1714">
        <f t="shared" ref="F6:F18" si="1">E6-C6</f>
        <v>0</v>
      </c>
    </row>
    <row r="7" spans="1:8" ht="13.7" customHeight="1" x14ac:dyDescent="0.2">
      <c r="A7" s="579" t="s">
        <v>154</v>
      </c>
      <c r="B7" s="1713">
        <f>'Revenues 9-14'!F5</f>
        <v>314309</v>
      </c>
      <c r="C7" s="1654">
        <v>157829</v>
      </c>
      <c r="D7" s="1714">
        <f t="shared" si="0"/>
        <v>156480</v>
      </c>
      <c r="E7" s="1654">
        <v>333427</v>
      </c>
      <c r="F7" s="1714">
        <f t="shared" si="1"/>
        <v>175598</v>
      </c>
    </row>
    <row r="8" spans="1:8" ht="13.7" customHeight="1" x14ac:dyDescent="0.2">
      <c r="A8" s="579" t="s">
        <v>1168</v>
      </c>
      <c r="B8" s="1713">
        <f>'Revenues 9-14'!G5</f>
        <v>264479</v>
      </c>
      <c r="C8" s="1654">
        <v>132066</v>
      </c>
      <c r="D8" s="1714">
        <f t="shared" si="0"/>
        <v>132413</v>
      </c>
      <c r="E8" s="1654">
        <v>279001</v>
      </c>
      <c r="F8" s="1714">
        <f t="shared" si="1"/>
        <v>146935</v>
      </c>
    </row>
    <row r="9" spans="1:8" ht="13.7" customHeight="1" x14ac:dyDescent="0.2">
      <c r="A9" s="579" t="s">
        <v>405</v>
      </c>
      <c r="B9" s="1713">
        <f>'Revenues 9-14'!H5</f>
        <v>0</v>
      </c>
      <c r="C9" s="1654"/>
      <c r="D9" s="1714">
        <f t="shared" si="0"/>
        <v>0</v>
      </c>
      <c r="E9" s="1654"/>
      <c r="F9" s="1714">
        <f t="shared" si="1"/>
        <v>0</v>
      </c>
    </row>
    <row r="10" spans="1:8" ht="13.7" customHeight="1" x14ac:dyDescent="0.2">
      <c r="A10" s="579" t="s">
        <v>404</v>
      </c>
      <c r="B10" s="1713">
        <f>'Revenues 9-14'!I5</f>
        <v>25966</v>
      </c>
      <c r="C10" s="1654">
        <v>13927</v>
      </c>
      <c r="D10" s="1714">
        <f t="shared" si="0"/>
        <v>12039</v>
      </c>
      <c r="E10" s="1654">
        <v>29423</v>
      </c>
      <c r="F10" s="1714">
        <f t="shared" si="1"/>
        <v>15496</v>
      </c>
    </row>
    <row r="11" spans="1:8" x14ac:dyDescent="0.2">
      <c r="A11" s="579" t="s">
        <v>406</v>
      </c>
      <c r="B11" s="1713">
        <f>'Revenues 9-14'!J5</f>
        <v>179362</v>
      </c>
      <c r="C11" s="1654">
        <v>90288</v>
      </c>
      <c r="D11" s="1714">
        <f t="shared" si="0"/>
        <v>89074</v>
      </c>
      <c r="E11" s="1654">
        <v>190740</v>
      </c>
      <c r="F11" s="1714">
        <f t="shared" si="1"/>
        <v>100452</v>
      </c>
    </row>
    <row r="12" spans="1:8" ht="13.7" customHeight="1" x14ac:dyDescent="0.2">
      <c r="A12" s="579" t="s">
        <v>156</v>
      </c>
      <c r="B12" s="1713">
        <f>'Revenues 9-14'!K5</f>
        <v>1008</v>
      </c>
      <c r="C12" s="1654">
        <v>510</v>
      </c>
      <c r="D12" s="1714">
        <f t="shared" si="0"/>
        <v>498</v>
      </c>
      <c r="E12" s="1654">
        <v>1078</v>
      </c>
      <c r="F12" s="1714">
        <f t="shared" si="1"/>
        <v>568</v>
      </c>
    </row>
    <row r="13" spans="1:8" ht="13.7" customHeight="1" x14ac:dyDescent="0.2">
      <c r="A13" s="579" t="s">
        <v>929</v>
      </c>
      <c r="B13" s="1713">
        <f>SUM('Revenues 9-14'!C6:D6)</f>
        <v>0</v>
      </c>
      <c r="C13" s="1654"/>
      <c r="D13" s="1714">
        <f t="shared" si="0"/>
        <v>0</v>
      </c>
      <c r="E13" s="1654"/>
      <c r="F13" s="1714">
        <f t="shared" si="1"/>
        <v>0</v>
      </c>
    </row>
    <row r="14" spans="1:8" ht="13.7" customHeight="1" x14ac:dyDescent="0.2">
      <c r="A14" s="579" t="s">
        <v>407</v>
      </c>
      <c r="B14" s="1713">
        <f>SUM('Revenues 9-14'!C7:D7,'Revenues 9-14'!F7:H7)</f>
        <v>179362</v>
      </c>
      <c r="C14" s="1654">
        <v>90288</v>
      </c>
      <c r="D14" s="1714">
        <f t="shared" si="0"/>
        <v>89074</v>
      </c>
      <c r="E14" s="1654">
        <v>190740</v>
      </c>
      <c r="F14" s="1714">
        <f t="shared" si="1"/>
        <v>100452</v>
      </c>
    </row>
    <row r="15" spans="1:8" ht="13.7" customHeight="1" x14ac:dyDescent="0.2">
      <c r="A15" s="579" t="s">
        <v>1147</v>
      </c>
      <c r="B15" s="1713">
        <f>SUM('Revenues 9-14'!D9:E9,'Revenues 9-14'!H9)</f>
        <v>0</v>
      </c>
      <c r="C15" s="1654"/>
      <c r="D15" s="1714">
        <f t="shared" si="0"/>
        <v>0</v>
      </c>
      <c r="E15" s="1654"/>
      <c r="F15" s="1714">
        <f t="shared" si="1"/>
        <v>0</v>
      </c>
    </row>
    <row r="16" spans="1:8" ht="13.7" customHeight="1" x14ac:dyDescent="0.2">
      <c r="A16" s="579" t="s">
        <v>1148</v>
      </c>
      <c r="B16" s="1713">
        <f>'Revenues 9-14'!G8</f>
        <v>264475</v>
      </c>
      <c r="C16" s="1654">
        <v>132066</v>
      </c>
      <c r="D16" s="1714">
        <f t="shared" si="0"/>
        <v>132409</v>
      </c>
      <c r="E16" s="1654">
        <v>279001</v>
      </c>
      <c r="F16" s="1714">
        <f t="shared" si="1"/>
        <v>146935</v>
      </c>
    </row>
    <row r="17" spans="1:6" ht="13.7" customHeight="1" x14ac:dyDescent="0.2">
      <c r="A17" s="579" t="s">
        <v>1149</v>
      </c>
      <c r="B17" s="1713">
        <f>'Revenues 9-14'!C10</f>
        <v>0</v>
      </c>
      <c r="C17" s="1654"/>
      <c r="D17" s="1714">
        <f t="shared" si="0"/>
        <v>0</v>
      </c>
      <c r="E17" s="1654"/>
      <c r="F17" s="1714">
        <f t="shared" si="1"/>
        <v>0</v>
      </c>
    </row>
    <row r="18" spans="1:6" ht="13.7" customHeight="1" x14ac:dyDescent="0.2">
      <c r="A18" s="579" t="s">
        <v>756</v>
      </c>
      <c r="B18" s="1713">
        <f>SUM('Revenues 9-14'!C11:K11)</f>
        <v>0</v>
      </c>
      <c r="C18" s="1654"/>
      <c r="D18" s="1714">
        <f t="shared" si="0"/>
        <v>0</v>
      </c>
      <c r="E18" s="1654"/>
      <c r="F18" s="1714">
        <f t="shared" si="1"/>
        <v>0</v>
      </c>
    </row>
    <row r="19" spans="1:6" ht="13.7" customHeight="1" thickBot="1" x14ac:dyDescent="0.25">
      <c r="A19" s="1425" t="s">
        <v>1150</v>
      </c>
      <c r="B19" s="1715">
        <f>SUM(B4:B18)</f>
        <v>12137458</v>
      </c>
      <c r="C19" s="1715">
        <f>SUM(C4:C18)</f>
        <v>6103816</v>
      </c>
      <c r="D19" s="1715">
        <f>SUM(D4:D18)</f>
        <v>6033642</v>
      </c>
      <c r="E19" s="1715">
        <f>SUM(E4:E18)</f>
        <v>12894833</v>
      </c>
      <c r="F19" s="1715">
        <f>SUM(F4:F18)</f>
        <v>6791017</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K59"/>
  <sheetViews>
    <sheetView showGridLines="0" defaultGridColor="0" topLeftCell="B1" colorId="8" zoomScale="110" zoomScaleNormal="110" workbookViewId="0">
      <selection activeCell="G32" sqref="G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0" t="s">
        <v>625</v>
      </c>
      <c r="B1" s="2301"/>
      <c r="C1" s="585"/>
    </row>
    <row r="2" spans="1:7" ht="33.75" x14ac:dyDescent="0.2">
      <c r="A2" s="2309" t="s">
        <v>1776</v>
      </c>
      <c r="B2" s="2310"/>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13" t="s">
        <v>1103</v>
      </c>
      <c r="B3" s="2314"/>
      <c r="C3" s="2302"/>
      <c r="D3" s="2303"/>
      <c r="E3" s="2303"/>
      <c r="F3" s="2304"/>
    </row>
    <row r="4" spans="1:7" ht="12.75" customHeight="1" thickBot="1" x14ac:dyDescent="0.25">
      <c r="A4" s="2311" t="s">
        <v>626</v>
      </c>
      <c r="B4" s="2312"/>
      <c r="C4" s="1646"/>
      <c r="D4" s="1646"/>
      <c r="E4" s="1646"/>
      <c r="F4" s="1721">
        <f>SUM(C4+D4)-E4</f>
        <v>0</v>
      </c>
    </row>
    <row r="5" spans="1:7" ht="15.75" customHeight="1" thickTop="1" x14ac:dyDescent="0.2">
      <c r="A5" s="2296" t="s">
        <v>1100</v>
      </c>
      <c r="B5" s="2297"/>
      <c r="C5" s="2305"/>
      <c r="D5" s="2306"/>
      <c r="E5" s="2306"/>
      <c r="F5" s="2307"/>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298" t="s">
        <v>627</v>
      </c>
      <c r="B15" s="2299"/>
      <c r="C15" s="1721">
        <f>SUM(C6:C14)</f>
        <v>0</v>
      </c>
      <c r="D15" s="1721">
        <f>SUM(D6:D14)</f>
        <v>0</v>
      </c>
      <c r="E15" s="1721">
        <f>SUM(E6:E14)</f>
        <v>0</v>
      </c>
      <c r="F15" s="1721">
        <f>SUM(F6:F14)</f>
        <v>0</v>
      </c>
      <c r="G15" s="473"/>
    </row>
    <row r="16" spans="1:7" s="197" customFormat="1" ht="15.75" customHeight="1" thickTop="1" x14ac:dyDescent="0.2">
      <c r="A16" s="2308" t="s">
        <v>1101</v>
      </c>
      <c r="B16" s="2297"/>
      <c r="C16" s="2305"/>
      <c r="D16" s="2306"/>
      <c r="E16" s="2306"/>
      <c r="F16" s="2307"/>
    </row>
    <row r="17" spans="1:11" ht="12.75" customHeight="1" thickBot="1" x14ac:dyDescent="0.25">
      <c r="A17" s="2321" t="s">
        <v>64</v>
      </c>
      <c r="B17" s="2322"/>
      <c r="C17" s="1722"/>
      <c r="D17" s="1654"/>
      <c r="E17" s="1722"/>
      <c r="F17" s="1721">
        <f>SUM(C17+D17)-E17</f>
        <v>0</v>
      </c>
    </row>
    <row r="18" spans="1:11" ht="12.75" customHeight="1" thickTop="1" thickBot="1" x14ac:dyDescent="0.25">
      <c r="A18" s="2321" t="s">
        <v>6</v>
      </c>
      <c r="B18" s="2322"/>
      <c r="C18" s="1722"/>
      <c r="D18" s="1654"/>
      <c r="E18" s="1722"/>
      <c r="F18" s="1721">
        <f>SUM(C18+D18)-E18</f>
        <v>0</v>
      </c>
    </row>
    <row r="19" spans="1:11" ht="12.75" customHeight="1" thickTop="1" thickBot="1" x14ac:dyDescent="0.25">
      <c r="A19" s="2321" t="s">
        <v>385</v>
      </c>
      <c r="B19" s="2322"/>
      <c r="C19" s="1722"/>
      <c r="D19" s="1654"/>
      <c r="E19" s="1722"/>
      <c r="F19" s="1721">
        <f>SUM(C19+D19)-E19</f>
        <v>0</v>
      </c>
    </row>
    <row r="20" spans="1:11" ht="12.75" customHeight="1" thickTop="1" thickBot="1" x14ac:dyDescent="0.25">
      <c r="A20" s="2321" t="s">
        <v>445</v>
      </c>
      <c r="B20" s="2322"/>
      <c r="C20" s="1722"/>
      <c r="D20" s="1654"/>
      <c r="E20" s="1722"/>
      <c r="F20" s="1721">
        <f>SUM(C20+D20)-E20</f>
        <v>0</v>
      </c>
    </row>
    <row r="21" spans="1:11" ht="14.25" thickTop="1" thickBot="1" x14ac:dyDescent="0.25">
      <c r="A21" s="2298" t="s">
        <v>628</v>
      </c>
      <c r="B21" s="2299"/>
      <c r="C21" s="1721">
        <f>SUM(C17:C20)</f>
        <v>0</v>
      </c>
      <c r="D21" s="1721">
        <f>SUM(D17:D20)</f>
        <v>0</v>
      </c>
      <c r="E21" s="1721">
        <f>SUM(E17:E20)</f>
        <v>0</v>
      </c>
      <c r="F21" s="1721">
        <f>SUM(F17:F20)</f>
        <v>0</v>
      </c>
      <c r="G21" s="473"/>
    </row>
    <row r="22" spans="1:11" ht="15.75" customHeight="1" thickTop="1" x14ac:dyDescent="0.2">
      <c r="A22" s="2323" t="s">
        <v>1102</v>
      </c>
      <c r="B22" s="2297"/>
      <c r="C22" s="2305"/>
      <c r="D22" s="2306"/>
      <c r="E22" s="2306"/>
      <c r="F22" s="2307"/>
    </row>
    <row r="23" spans="1:11" ht="13.5" thickBot="1" x14ac:dyDescent="0.25">
      <c r="A23" s="2311" t="s">
        <v>629</v>
      </c>
      <c r="B23" s="2312"/>
      <c r="C23" s="1646"/>
      <c r="D23" s="1646"/>
      <c r="E23" s="1646"/>
      <c r="F23" s="1721">
        <f>SUM(C23+D23)-E23</f>
        <v>0</v>
      </c>
      <c r="G23" s="473"/>
    </row>
    <row r="24" spans="1:11" ht="15.75" customHeight="1" thickTop="1" x14ac:dyDescent="0.2">
      <c r="A24" s="2323" t="s">
        <v>2003</v>
      </c>
      <c r="B24" s="2297"/>
      <c r="C24" s="2305"/>
      <c r="D24" s="2306"/>
      <c r="E24" s="2306"/>
      <c r="F24" s="2307"/>
    </row>
    <row r="25" spans="1:11" ht="13.5" thickBot="1" x14ac:dyDescent="0.25">
      <c r="A25" s="2311" t="s">
        <v>2004</v>
      </c>
      <c r="B25" s="2312"/>
      <c r="C25" s="1646"/>
      <c r="D25" s="1646"/>
      <c r="E25" s="1646"/>
      <c r="F25" s="1721">
        <f>SUM(C25+D25)-E25</f>
        <v>0</v>
      </c>
      <c r="G25" s="473"/>
    </row>
    <row r="26" spans="1:11" ht="15.75" customHeight="1" thickTop="1" x14ac:dyDescent="0.2">
      <c r="A26" s="2296" t="s">
        <v>652</v>
      </c>
      <c r="B26" s="2297"/>
      <c r="C26" s="589"/>
      <c r="D26" s="589"/>
      <c r="E26" s="589"/>
      <c r="F26" s="590"/>
    </row>
    <row r="27" spans="1:11" ht="13.5" thickBot="1" x14ac:dyDescent="0.25">
      <c r="A27" s="2298" t="s">
        <v>1060</v>
      </c>
      <c r="B27" s="2299"/>
      <c r="C27" s="1654"/>
      <c r="D27" s="1654"/>
      <c r="E27" s="1654"/>
      <c r="F27" s="1721">
        <f>SUM(C27+D27)-E27</f>
        <v>0</v>
      </c>
      <c r="G27" s="473"/>
    </row>
    <row r="28" spans="1:11" ht="7.5" customHeight="1" thickTop="1" x14ac:dyDescent="0.2">
      <c r="A28" s="489"/>
    </row>
    <row r="29" spans="1:11" ht="23.25" customHeight="1" x14ac:dyDescent="0.2">
      <c r="A29" s="2324" t="s">
        <v>578</v>
      </c>
      <c r="B29" s="2301"/>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1874</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t="s">
        <v>2071</v>
      </c>
      <c r="B31" s="595">
        <v>41875</v>
      </c>
      <c r="C31" s="1723">
        <v>416935</v>
      </c>
      <c r="D31" s="1724">
        <v>7</v>
      </c>
      <c r="E31" s="1723">
        <v>20847</v>
      </c>
      <c r="F31" s="1723"/>
      <c r="G31" s="1723">
        <v>-6949</v>
      </c>
      <c r="H31" s="1723">
        <v>13898</v>
      </c>
      <c r="I31" s="1725">
        <f>((E31+F31)-H31)+G31</f>
        <v>0</v>
      </c>
      <c r="J31" s="1723">
        <v>0</v>
      </c>
      <c r="K31" s="596"/>
    </row>
    <row r="32" spans="1:11" ht="12" customHeight="1" x14ac:dyDescent="0.2">
      <c r="A32" s="594"/>
      <c r="B32" s="595"/>
      <c r="C32" s="1723"/>
      <c r="D32" s="1724"/>
      <c r="E32" s="1723"/>
      <c r="F32" s="1723"/>
      <c r="G32" s="1723"/>
      <c r="H32" s="1723"/>
      <c r="I32" s="1725">
        <f>((E32+F32)-H32)+G32</f>
        <v>0</v>
      </c>
      <c r="J32" s="1723"/>
      <c r="K32" s="596"/>
    </row>
    <row r="33" spans="1:11" ht="12" customHeight="1" x14ac:dyDescent="0.2">
      <c r="A33" s="594"/>
      <c r="B33" s="595"/>
      <c r="C33" s="1723"/>
      <c r="D33" s="1724"/>
      <c r="E33" s="1723"/>
      <c r="F33" s="1723"/>
      <c r="G33" s="1723"/>
      <c r="H33" s="1723"/>
      <c r="I33" s="1725">
        <f t="shared" ref="I33:I48" si="1">((E33+F33)-H33)+G33</f>
        <v>0</v>
      </c>
      <c r="J33" s="1723"/>
      <c r="K33" s="596"/>
    </row>
    <row r="34" spans="1:11" ht="12" customHeight="1" x14ac:dyDescent="0.2">
      <c r="A34" s="594"/>
      <c r="B34" s="595"/>
      <c r="C34" s="1723"/>
      <c r="D34" s="1724"/>
      <c r="E34" s="1723"/>
      <c r="F34" s="1723"/>
      <c r="G34" s="1723"/>
      <c r="H34" s="1723"/>
      <c r="I34" s="1725">
        <f t="shared" si="1"/>
        <v>0</v>
      </c>
      <c r="J34" s="1723"/>
      <c r="K34" s="597"/>
    </row>
    <row r="35" spans="1:11" ht="12" customHeight="1" x14ac:dyDescent="0.2">
      <c r="A35" s="594"/>
      <c r="B35" s="595"/>
      <c r="C35" s="1726"/>
      <c r="D35" s="1724"/>
      <c r="E35" s="1726"/>
      <c r="F35" s="1726"/>
      <c r="G35" s="1726"/>
      <c r="H35" s="1726"/>
      <c r="I35" s="1725">
        <f t="shared" si="1"/>
        <v>0</v>
      </c>
      <c r="J35" s="1726"/>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416935</v>
      </c>
      <c r="D49" s="1731"/>
      <c r="E49" s="1725">
        <f t="shared" ref="E49:J49" si="2">SUM(E31:E48)</f>
        <v>20847</v>
      </c>
      <c r="F49" s="1725">
        <f t="shared" si="2"/>
        <v>0</v>
      </c>
      <c r="G49" s="1725">
        <f t="shared" si="2"/>
        <v>-6949</v>
      </c>
      <c r="H49" s="1725">
        <f t="shared" si="2"/>
        <v>13898</v>
      </c>
      <c r="I49" s="1725">
        <f t="shared" si="2"/>
        <v>0</v>
      </c>
      <c r="J49" s="1725">
        <f t="shared" si="2"/>
        <v>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315" t="s">
        <v>580</v>
      </c>
      <c r="C52" s="2316"/>
      <c r="D52" s="2316"/>
      <c r="E52" s="603" t="s">
        <v>839</v>
      </c>
      <c r="F52" s="2317" t="s">
        <v>2072</v>
      </c>
      <c r="G52" s="2318"/>
      <c r="H52" s="596"/>
      <c r="I52" s="596"/>
      <c r="J52" s="600"/>
    </row>
    <row r="53" spans="1:11" ht="11.25" customHeight="1" x14ac:dyDescent="0.2">
      <c r="A53" s="604" t="s">
        <v>906</v>
      </c>
      <c r="B53" s="605" t="s">
        <v>944</v>
      </c>
      <c r="C53" s="600"/>
      <c r="D53" s="597"/>
      <c r="E53" s="603" t="s">
        <v>494</v>
      </c>
      <c r="F53" s="2319"/>
      <c r="G53" s="2320"/>
      <c r="H53" s="596"/>
      <c r="I53" s="596"/>
      <c r="J53" s="600"/>
    </row>
    <row r="54" spans="1:11" ht="11.25" customHeight="1" x14ac:dyDescent="0.2">
      <c r="A54" s="606" t="s">
        <v>907</v>
      </c>
      <c r="B54" s="601" t="s">
        <v>945</v>
      </c>
      <c r="C54" s="600"/>
      <c r="D54" s="597"/>
      <c r="E54" s="603" t="s">
        <v>495</v>
      </c>
      <c r="F54" s="2319"/>
      <c r="G54" s="232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C44" sqref="C4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1" t="s">
        <v>850</v>
      </c>
      <c r="B1" s="2352"/>
      <c r="C1" s="2352"/>
      <c r="D1" s="2352"/>
      <c r="E1" s="2352"/>
      <c r="F1" s="2352"/>
      <c r="G1" s="2353"/>
      <c r="H1" s="1291"/>
      <c r="I1" s="614"/>
      <c r="J1" s="400"/>
    </row>
    <row r="2" spans="1:11" ht="26.25" x14ac:dyDescent="0.2">
      <c r="A2" s="2328" t="s">
        <v>1655</v>
      </c>
      <c r="B2" s="2329"/>
      <c r="C2" s="2329"/>
      <c r="D2" s="2329"/>
      <c r="E2" s="2330"/>
      <c r="F2" s="615" t="s">
        <v>897</v>
      </c>
      <c r="G2" s="616" t="s">
        <v>1652</v>
      </c>
      <c r="H2" s="616" t="s">
        <v>407</v>
      </c>
      <c r="I2" s="616" t="s">
        <v>1147</v>
      </c>
      <c r="J2" s="616" t="s">
        <v>1786</v>
      </c>
      <c r="K2" s="616" t="s">
        <v>137</v>
      </c>
    </row>
    <row r="3" spans="1:11" x14ac:dyDescent="0.2">
      <c r="A3" s="2331" t="str">
        <f>"Cash Basis Fund Balance as of July 1, "&amp;'AFR20'!E2-1</f>
        <v>Cash Basis Fund Balance as of July 1, 2019</v>
      </c>
      <c r="B3" s="2332"/>
      <c r="C3" s="2332"/>
      <c r="D3" s="2332"/>
      <c r="E3" s="2333"/>
      <c r="F3" s="617"/>
      <c r="G3" s="1733"/>
      <c r="H3" s="1733"/>
      <c r="I3" s="1733"/>
      <c r="J3" s="1734"/>
      <c r="K3" s="1734"/>
    </row>
    <row r="4" spans="1:11" x14ac:dyDescent="0.2">
      <c r="A4" s="2334" t="s">
        <v>366</v>
      </c>
      <c r="B4" s="2335"/>
      <c r="C4" s="2335"/>
      <c r="D4" s="2335"/>
      <c r="E4" s="2316"/>
      <c r="F4" s="620"/>
      <c r="G4" s="1735"/>
      <c r="H4" s="1736"/>
      <c r="I4" s="1735"/>
      <c r="J4" s="1737"/>
      <c r="K4" s="1737"/>
    </row>
    <row r="5" spans="1:11" x14ac:dyDescent="0.2">
      <c r="A5" s="2354" t="s">
        <v>1059</v>
      </c>
      <c r="B5" s="2325"/>
      <c r="C5" s="2325"/>
      <c r="D5" s="2325"/>
      <c r="E5" s="2355"/>
      <c r="F5" s="622" t="s">
        <v>842</v>
      </c>
      <c r="G5" s="1738"/>
      <c r="H5" s="1733">
        <f>'Revenues 9-14'!C7</f>
        <v>179362</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0</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0</v>
      </c>
    </row>
    <row r="10" spans="1:11" x14ac:dyDescent="0.2">
      <c r="A10" s="2354" t="s">
        <v>1787</v>
      </c>
      <c r="B10" s="2325"/>
      <c r="C10" s="2325"/>
      <c r="D10" s="2325"/>
      <c r="E10" s="2356"/>
      <c r="F10" s="633" t="s">
        <v>856</v>
      </c>
      <c r="G10" s="1742"/>
      <c r="H10" s="1743"/>
      <c r="I10" s="1733"/>
      <c r="J10" s="1734"/>
      <c r="K10" s="1734"/>
    </row>
    <row r="11" spans="1:11" x14ac:dyDescent="0.2">
      <c r="A11" s="2354" t="s">
        <v>159</v>
      </c>
      <c r="B11" s="2325"/>
      <c r="C11" s="2325"/>
      <c r="D11" s="2325"/>
      <c r="E11" s="2355"/>
      <c r="F11" s="622" t="s">
        <v>846</v>
      </c>
      <c r="G11" s="1738"/>
      <c r="H11" s="1733"/>
      <c r="I11" s="1733"/>
      <c r="J11" s="1734"/>
      <c r="K11" s="1740"/>
    </row>
    <row r="12" spans="1:11" ht="13.5" thickBot="1" x14ac:dyDescent="0.25">
      <c r="A12" s="2342" t="s">
        <v>898</v>
      </c>
      <c r="B12" s="2343"/>
      <c r="C12" s="2343"/>
      <c r="D12" s="2343"/>
      <c r="E12" s="2344"/>
      <c r="F12" s="1426"/>
      <c r="G12" s="1744">
        <f>SUM(G5:G11)</f>
        <v>0</v>
      </c>
      <c r="H12" s="1744">
        <f>SUM(H5:H11)</f>
        <v>179362</v>
      </c>
      <c r="I12" s="1744">
        <f>SUM(I5:I11)</f>
        <v>0</v>
      </c>
      <c r="J12" s="1744">
        <f>SUM(J5:J11)</f>
        <v>0</v>
      </c>
      <c r="K12" s="1744">
        <f>SUM(K5:K11)</f>
        <v>0</v>
      </c>
    </row>
    <row r="13" spans="1:11" ht="13.5" thickTop="1" x14ac:dyDescent="0.2">
      <c r="A13" s="2336" t="s">
        <v>367</v>
      </c>
      <c r="B13" s="2337"/>
      <c r="C13" s="2337"/>
      <c r="D13" s="2337"/>
      <c r="E13" s="2338"/>
      <c r="F13" s="634"/>
      <c r="G13" s="1745"/>
      <c r="H13" s="1746"/>
      <c r="I13" s="1747"/>
      <c r="J13" s="1747"/>
      <c r="K13" s="1747"/>
    </row>
    <row r="14" spans="1:11" x14ac:dyDescent="0.2">
      <c r="A14" s="2360" t="s">
        <v>453</v>
      </c>
      <c r="B14" s="2360"/>
      <c r="C14" s="2360"/>
      <c r="D14" s="2360"/>
      <c r="E14" s="2361"/>
      <c r="F14" s="635" t="s">
        <v>848</v>
      </c>
      <c r="G14" s="1742"/>
      <c r="H14" s="1733">
        <f>H12</f>
        <v>179362</v>
      </c>
      <c r="I14" s="1738"/>
      <c r="J14" s="1740"/>
      <c r="K14" s="1734"/>
    </row>
    <row r="15" spans="1:11" x14ac:dyDescent="0.2">
      <c r="A15" s="2325" t="s">
        <v>4</v>
      </c>
      <c r="B15" s="2325"/>
      <c r="C15" s="2325"/>
      <c r="D15" s="2325"/>
      <c r="E15" s="2355"/>
      <c r="F15" s="635" t="s">
        <v>849</v>
      </c>
      <c r="G15" s="1738"/>
      <c r="H15" s="1733"/>
      <c r="I15" s="1733"/>
      <c r="J15" s="1734"/>
      <c r="K15" s="1734"/>
    </row>
    <row r="16" spans="1:11" x14ac:dyDescent="0.2">
      <c r="A16" s="2325" t="s">
        <v>295</v>
      </c>
      <c r="B16" s="2325"/>
      <c r="C16" s="2325"/>
      <c r="D16" s="2325"/>
      <c r="E16" s="2355"/>
      <c r="F16" s="635" t="s">
        <v>916</v>
      </c>
      <c r="G16" s="1739"/>
      <c r="H16" s="1735"/>
      <c r="I16" s="1735"/>
      <c r="J16" s="1737"/>
      <c r="K16" s="1737"/>
    </row>
    <row r="17" spans="1:15" x14ac:dyDescent="0.2">
      <c r="A17" s="2349" t="s">
        <v>928</v>
      </c>
      <c r="B17" s="2349"/>
      <c r="C17" s="2349"/>
      <c r="D17" s="2349"/>
      <c r="E17" s="2350"/>
      <c r="F17" s="636"/>
      <c r="G17" s="1748"/>
      <c r="H17" s="1749"/>
      <c r="I17" s="1749"/>
      <c r="J17" s="1750"/>
      <c r="K17" s="1751"/>
    </row>
    <row r="18" spans="1:15" x14ac:dyDescent="0.2">
      <c r="A18" s="2339" t="s">
        <v>365</v>
      </c>
      <c r="B18" s="2340"/>
      <c r="C18" s="2340"/>
      <c r="D18" s="2340"/>
      <c r="E18" s="2341"/>
      <c r="F18" s="635" t="s">
        <v>925</v>
      </c>
      <c r="G18" s="1742"/>
      <c r="H18" s="1742"/>
      <c r="I18" s="1742"/>
      <c r="J18" s="1734"/>
      <c r="K18" s="1752"/>
    </row>
    <row r="19" spans="1:15" ht="21.75" customHeight="1" x14ac:dyDescent="0.2">
      <c r="A19" s="2362" t="s">
        <v>1783</v>
      </c>
      <c r="B19" s="2362"/>
      <c r="C19" s="2362"/>
      <c r="D19" s="2362"/>
      <c r="E19" s="2363"/>
      <c r="F19" s="635" t="s">
        <v>926</v>
      </c>
      <c r="G19" s="1742"/>
      <c r="H19" s="1742"/>
      <c r="I19" s="1742"/>
      <c r="J19" s="1734"/>
      <c r="K19" s="1752"/>
    </row>
    <row r="20" spans="1:15" x14ac:dyDescent="0.2">
      <c r="A20" s="2339" t="s">
        <v>1788</v>
      </c>
      <c r="B20" s="2340"/>
      <c r="C20" s="2340"/>
      <c r="D20" s="2340"/>
      <c r="E20" s="2341"/>
      <c r="F20" s="635" t="s">
        <v>927</v>
      </c>
      <c r="G20" s="1742"/>
      <c r="H20" s="1742"/>
      <c r="I20" s="1742"/>
      <c r="J20" s="1734"/>
      <c r="K20" s="1752"/>
    </row>
    <row r="21" spans="1:15" ht="13.5" thickBot="1" x14ac:dyDescent="0.25">
      <c r="A21" s="2345" t="s">
        <v>633</v>
      </c>
      <c r="B21" s="2345"/>
      <c r="C21" s="2345"/>
      <c r="D21" s="2345"/>
      <c r="E21" s="2345"/>
      <c r="F21" s="1427"/>
      <c r="G21" s="1749"/>
      <c r="H21" s="1753"/>
      <c r="I21" s="1753"/>
      <c r="J21" s="1754">
        <f>SUM(J18:J20)</f>
        <v>0</v>
      </c>
      <c r="K21" s="1750"/>
    </row>
    <row r="22" spans="1:15" ht="13.5" thickTop="1" x14ac:dyDescent="0.2">
      <c r="A22" s="2325" t="s">
        <v>1789</v>
      </c>
      <c r="B22" s="2325"/>
      <c r="C22" s="2325"/>
      <c r="D22" s="2325"/>
      <c r="E22" s="2355"/>
      <c r="F22" s="635" t="s">
        <v>856</v>
      </c>
      <c r="G22" s="1742"/>
      <c r="H22" s="1733"/>
      <c r="I22" s="1733"/>
      <c r="J22" s="1755"/>
      <c r="K22" s="1734"/>
    </row>
    <row r="23" spans="1:15" ht="13.5" thickBot="1" x14ac:dyDescent="0.25">
      <c r="A23" s="2346" t="s">
        <v>899</v>
      </c>
      <c r="B23" s="2345"/>
      <c r="C23" s="2345"/>
      <c r="D23" s="2345"/>
      <c r="E23" s="2345"/>
      <c r="F23" s="1429"/>
      <c r="G23" s="1744">
        <f>SUM(G14:G16,G21,G22)</f>
        <v>0</v>
      </c>
      <c r="H23" s="1744">
        <f>SUM(H14:H16,H21,H22)</f>
        <v>179362</v>
      </c>
      <c r="I23" s="1744">
        <f>SUM(I14:I16,I21,I22)</f>
        <v>0</v>
      </c>
      <c r="J23" s="1744">
        <f>SUM(J14:J16,J21,J22)</f>
        <v>0</v>
      </c>
      <c r="K23" s="1744">
        <f>SUM(K14:K16,K21,K22)</f>
        <v>0</v>
      </c>
      <c r="M23" s="1835"/>
      <c r="N23" s="1835"/>
      <c r="O23" s="1835"/>
    </row>
    <row r="24" spans="1:15" ht="14.25" thickTop="1" thickBot="1" x14ac:dyDescent="0.25">
      <c r="A24" s="2347" t="str">
        <f>"Ending Cash Basis Fund Balance as of June 30, "&amp;'AFR20'!E2</f>
        <v>Ending Cash Basis Fund Balance as of June 30, 2020</v>
      </c>
      <c r="B24" s="2348"/>
      <c r="C24" s="2348"/>
      <c r="D24" s="2348"/>
      <c r="E24" s="2348"/>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1873</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57"/>
      <c r="I31" s="2358"/>
      <c r="J31" s="2358"/>
      <c r="K31" s="2358"/>
    </row>
    <row r="32" spans="1:15" x14ac:dyDescent="0.2">
      <c r="A32" s="649"/>
      <c r="B32" s="232"/>
      <c r="C32" s="232"/>
      <c r="D32" s="232"/>
      <c r="E32" s="645"/>
      <c r="F32" s="651" t="s">
        <v>537</v>
      </c>
      <c r="G32" s="618"/>
      <c r="H32" s="2359"/>
      <c r="I32" s="2358"/>
      <c r="J32" s="2358"/>
      <c r="K32" s="2358"/>
    </row>
    <row r="33" spans="1:11" ht="1.5" customHeight="1" x14ac:dyDescent="0.2">
      <c r="A33" s="652" t="s">
        <v>1158</v>
      </c>
      <c r="B33" s="341"/>
      <c r="C33" s="341"/>
      <c r="D33" s="341"/>
      <c r="E33" s="341"/>
      <c r="F33" s="341"/>
      <c r="G33" s="653"/>
      <c r="H33" s="2359"/>
      <c r="I33" s="2358"/>
      <c r="J33" s="2358"/>
      <c r="K33" s="2358"/>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5" t="s">
        <v>538</v>
      </c>
      <c r="B41" s="2326"/>
      <c r="C41" s="2326"/>
      <c r="D41" s="2326"/>
      <c r="E41" s="2326"/>
      <c r="F41" s="2327"/>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1784</v>
      </c>
      <c r="B46" s="382" t="s">
        <v>1653</v>
      </c>
    </row>
    <row r="47" spans="1:11" s="663" customFormat="1" ht="12.75" customHeight="1" x14ac:dyDescent="0.2">
      <c r="A47" s="661"/>
      <c r="B47" s="662" t="s">
        <v>1654</v>
      </c>
      <c r="E47" s="662"/>
      <c r="K47" s="664"/>
    </row>
    <row r="48" spans="1:11" ht="12.75" customHeight="1" x14ac:dyDescent="0.2">
      <c r="A48" s="1293"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F16" sqref="F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6" t="s">
        <v>1872</v>
      </c>
      <c r="B1" s="2367"/>
      <c r="C1" s="2368"/>
      <c r="D1" s="666"/>
      <c r="E1" s="667"/>
      <c r="F1" s="667"/>
      <c r="G1" s="668"/>
      <c r="H1" s="669"/>
      <c r="I1" s="670"/>
      <c r="J1" s="2364"/>
      <c r="K1" s="2365"/>
      <c r="L1" s="2365"/>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v>791988</v>
      </c>
      <c r="D5" s="1759"/>
      <c r="E5" s="1759"/>
      <c r="F5" s="1754">
        <f>(C5+D5)-E5</f>
        <v>791988</v>
      </c>
      <c r="G5" s="676"/>
      <c r="H5" s="680"/>
      <c r="I5" s="680"/>
      <c r="J5" s="680"/>
      <c r="K5" s="637"/>
      <c r="L5" s="1435">
        <f>F5-K5</f>
        <v>791988</v>
      </c>
    </row>
    <row r="6" spans="1:14" ht="14.25" thickTop="1" thickBot="1" x14ac:dyDescent="0.25">
      <c r="A6" s="629" t="s">
        <v>1106</v>
      </c>
      <c r="B6" s="679">
        <v>222</v>
      </c>
      <c r="C6" s="1734"/>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v>13115510</v>
      </c>
      <c r="D8" s="1760"/>
      <c r="E8" s="1760"/>
      <c r="F8" s="1754">
        <f>(C8+D8)-E8</f>
        <v>13115510</v>
      </c>
      <c r="G8" s="681">
        <v>50</v>
      </c>
      <c r="H8" s="619">
        <v>5429429</v>
      </c>
      <c r="I8" s="619">
        <v>262310</v>
      </c>
      <c r="J8" s="619"/>
      <c r="K8" s="1435">
        <f>(H8+I8)-J8</f>
        <v>5691739</v>
      </c>
      <c r="L8" s="1435">
        <f>F8-K8</f>
        <v>7423771</v>
      </c>
    </row>
    <row r="9" spans="1:14" ht="14.25" thickTop="1" thickBot="1" x14ac:dyDescent="0.25">
      <c r="A9" s="629" t="s">
        <v>1108</v>
      </c>
      <c r="B9" s="679">
        <v>232</v>
      </c>
      <c r="C9" s="1734"/>
      <c r="D9" s="1734"/>
      <c r="E9" s="1734"/>
      <c r="F9" s="1754">
        <f>(C9+D9)-E9</f>
        <v>0</v>
      </c>
      <c r="G9" s="681">
        <v>20</v>
      </c>
      <c r="H9" s="619"/>
      <c r="I9" s="619"/>
      <c r="J9" s="619"/>
      <c r="K9" s="1435">
        <f>(H9+I9)-J9</f>
        <v>0</v>
      </c>
      <c r="L9" s="1435">
        <f>F9-K9</f>
        <v>0</v>
      </c>
    </row>
    <row r="10" spans="1:14" ht="24" thickTop="1" thickBot="1" x14ac:dyDescent="0.25">
      <c r="A10" s="682" t="s">
        <v>1109</v>
      </c>
      <c r="B10" s="679">
        <v>240</v>
      </c>
      <c r="C10" s="1761">
        <v>1696192</v>
      </c>
      <c r="D10" s="1761"/>
      <c r="E10" s="1761"/>
      <c r="F10" s="1762">
        <f>(C10+D10)-E10</f>
        <v>1696192</v>
      </c>
      <c r="G10" s="681">
        <v>20</v>
      </c>
      <c r="H10" s="683">
        <v>550870</v>
      </c>
      <c r="I10" s="683">
        <v>84809</v>
      </c>
      <c r="J10" s="683"/>
      <c r="K10" s="1435">
        <f>(H10+I10)-J10</f>
        <v>635679</v>
      </c>
      <c r="L10" s="1435">
        <f>F10-K10</f>
        <v>1060513</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v>5092514</v>
      </c>
      <c r="D12" s="1760">
        <v>138822</v>
      </c>
      <c r="E12" s="1760"/>
      <c r="F12" s="1754">
        <f>(C12+D12)-E12</f>
        <v>5231336</v>
      </c>
      <c r="G12" s="681">
        <v>10</v>
      </c>
      <c r="H12" s="619">
        <v>4180464</v>
      </c>
      <c r="I12" s="619">
        <v>516143</v>
      </c>
      <c r="J12" s="619"/>
      <c r="K12" s="1435">
        <f>(H12+I12)-J12</f>
        <v>4696607</v>
      </c>
      <c r="L12" s="1435">
        <f>F12-K12</f>
        <v>534729</v>
      </c>
    </row>
    <row r="13" spans="1:14" ht="14.25" thickTop="1" thickBot="1" x14ac:dyDescent="0.25">
      <c r="A13" s="684" t="s">
        <v>1111</v>
      </c>
      <c r="B13" s="679">
        <v>252</v>
      </c>
      <c r="C13" s="1760"/>
      <c r="D13" s="1760"/>
      <c r="E13" s="1760"/>
      <c r="F13" s="1754">
        <f>(C13+D13)-E13</f>
        <v>0</v>
      </c>
      <c r="G13" s="681">
        <v>5</v>
      </c>
      <c r="H13" s="619"/>
      <c r="I13" s="619"/>
      <c r="J13" s="619"/>
      <c r="K13" s="1435">
        <f>(H13+I13)-J13</f>
        <v>0</v>
      </c>
      <c r="L13" s="1435">
        <f>F13-K13</f>
        <v>0</v>
      </c>
    </row>
    <row r="14" spans="1:14" ht="14.25" thickTop="1" thickBot="1" x14ac:dyDescent="0.25">
      <c r="A14" s="684" t="s">
        <v>1112</v>
      </c>
      <c r="B14" s="679">
        <v>253</v>
      </c>
      <c r="C14" s="1734"/>
      <c r="D14" s="1734"/>
      <c r="E14" s="1734"/>
      <c r="F14" s="1754">
        <f>(C14+D14)-E14</f>
        <v>0</v>
      </c>
      <c r="G14" s="681">
        <v>3</v>
      </c>
      <c r="H14" s="619"/>
      <c r="I14" s="619"/>
      <c r="J14" s="619"/>
      <c r="K14" s="1435">
        <f>(H14+I14)-J14</f>
        <v>0</v>
      </c>
      <c r="L14" s="1435">
        <f>F14-K14</f>
        <v>0</v>
      </c>
    </row>
    <row r="15" spans="1:14" ht="15" customHeight="1" thickTop="1" thickBot="1" x14ac:dyDescent="0.25">
      <c r="A15" s="1359" t="s">
        <v>525</v>
      </c>
      <c r="B15" s="1358">
        <v>260</v>
      </c>
      <c r="C15" s="1760"/>
      <c r="D15" s="1760"/>
      <c r="E15" s="1760"/>
      <c r="F15" s="1754">
        <f>(C15+D15)-E15</f>
        <v>0</v>
      </c>
      <c r="G15" s="685" t="s">
        <v>856</v>
      </c>
      <c r="H15" s="632"/>
      <c r="I15" s="632"/>
      <c r="J15" s="632"/>
      <c r="K15" s="632"/>
      <c r="L15" s="1435">
        <f>F15-K15</f>
        <v>0</v>
      </c>
    </row>
    <row r="16" spans="1:14" ht="15" customHeight="1" thickTop="1" thickBot="1" x14ac:dyDescent="0.25">
      <c r="A16" s="1431" t="s">
        <v>638</v>
      </c>
      <c r="B16" s="1432">
        <v>200</v>
      </c>
      <c r="C16" s="1754">
        <f>SUM(C3,C5:C6,C8:C10,C12:C15)</f>
        <v>20696204</v>
      </c>
      <c r="D16" s="1754">
        <f>SUM(D3,D5:D6,D8:D10,D12:D15)</f>
        <v>138822</v>
      </c>
      <c r="E16" s="1754">
        <f>SUM(E3,E5:E6,E8:E10,E12:E15)</f>
        <v>0</v>
      </c>
      <c r="F16" s="1754">
        <f>SUM(F3,F5:F6,F8:F10,F12:F15)</f>
        <v>20835026</v>
      </c>
      <c r="G16" s="681"/>
      <c r="H16" s="1428">
        <f>SUM(H3,H6,H8:H10,H12:H14,)</f>
        <v>10160763</v>
      </c>
      <c r="I16" s="1428">
        <f>SUM(I3,I6,I8:I10,I12:I14,)</f>
        <v>863262</v>
      </c>
      <c r="J16" s="1428">
        <f>SUM(J3,J6,J8:J10,J12:J14,)</f>
        <v>0</v>
      </c>
      <c r="K16" s="1428">
        <f>(H16+I16)-J16</f>
        <v>11024025</v>
      </c>
      <c r="L16" s="1428">
        <f>F16-K16</f>
        <v>9811001</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7138</v>
      </c>
      <c r="G17" s="676">
        <v>10</v>
      </c>
      <c r="H17" s="621"/>
      <c r="I17" s="1435">
        <f>F17/G17</f>
        <v>713.8</v>
      </c>
      <c r="J17" s="621"/>
      <c r="K17" s="638"/>
      <c r="L17" s="638"/>
    </row>
    <row r="18" spans="1:12" ht="14.25" thickTop="1" thickBot="1" x14ac:dyDescent="0.25">
      <c r="A18" s="1433" t="s">
        <v>679</v>
      </c>
      <c r="B18" s="1434"/>
      <c r="C18" s="623"/>
      <c r="D18" s="623"/>
      <c r="E18" s="623"/>
      <c r="F18" s="686"/>
      <c r="G18" s="687"/>
      <c r="H18" s="624"/>
      <c r="I18" s="1428">
        <f>SUM(I16,I17)</f>
        <v>863975.8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126" activePane="bottomLeft" state="frozen"/>
      <selection activeCell="A47" sqref="A47"/>
      <selection pane="bottomLeft" activeCell="F177" sqref="F17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2" t="str">
        <f>"ESTIMATED OPERATING EXPENSE PER PUPIL (OEPP)/PER CAPITA TUITION CHARGE (PCTC) COMPUTATIONS ("&amp;'AFR20'!E2-1&amp;" - "&amp;'AFR20'!E2&amp;")"</f>
        <v>ESTIMATED OPERATING EXPENSE PER PUPIL (OEPP)/PER CAPITA TUITION CHARGE (PCTC) COMPUTATIONS (2019 - 2020)</v>
      </c>
      <c r="B1" s="2373"/>
      <c r="C1" s="2373"/>
      <c r="D1" s="2373"/>
      <c r="E1" s="2373"/>
      <c r="F1" s="2374"/>
      <c r="G1" s="691"/>
      <c r="I1" s="701"/>
    </row>
    <row r="2" spans="1:9" ht="15" customHeight="1" thickBot="1" x14ac:dyDescent="0.25">
      <c r="A2" s="2375" t="s">
        <v>474</v>
      </c>
      <c r="B2" s="2376"/>
      <c r="C2" s="2376"/>
      <c r="D2" s="2376"/>
      <c r="E2" s="2376"/>
      <c r="F2" s="2377"/>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78"/>
      <c r="B5" s="2379"/>
      <c r="C5" s="2379"/>
      <c r="D5" s="2379"/>
      <c r="E5" s="2379"/>
      <c r="F5" s="2379"/>
    </row>
    <row r="6" spans="1:9" ht="13.5" customHeight="1" thickBot="1" x14ac:dyDescent="0.25">
      <c r="A6" s="2369" t="s">
        <v>1094</v>
      </c>
      <c r="B6" s="2370"/>
      <c r="C6" s="2370"/>
      <c r="D6" s="2370"/>
      <c r="E6" s="2370"/>
      <c r="F6" s="2371"/>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13659256</v>
      </c>
      <c r="G8" s="701"/>
    </row>
    <row r="9" spans="1:9" x14ac:dyDescent="0.2">
      <c r="A9" s="705" t="s">
        <v>457</v>
      </c>
      <c r="B9" s="706" t="s">
        <v>1845</v>
      </c>
      <c r="C9" s="707"/>
      <c r="D9" s="705" t="s">
        <v>498</v>
      </c>
      <c r="E9" s="704"/>
      <c r="F9" s="1764">
        <f>'Expenditures 15-22'!K151</f>
        <v>1372028</v>
      </c>
      <c r="G9" s="708"/>
    </row>
    <row r="10" spans="1:9" x14ac:dyDescent="0.2">
      <c r="A10" s="705" t="s">
        <v>496</v>
      </c>
      <c r="B10" s="706" t="s">
        <v>1846</v>
      </c>
      <c r="C10" s="707"/>
      <c r="D10" s="705" t="s">
        <v>498</v>
      </c>
      <c r="E10" s="704"/>
      <c r="F10" s="1764">
        <f>'Expenditures 15-22'!K174</f>
        <v>13898</v>
      </c>
      <c r="G10" s="708"/>
    </row>
    <row r="11" spans="1:9" x14ac:dyDescent="0.2">
      <c r="A11" s="705" t="s">
        <v>458</v>
      </c>
      <c r="B11" s="706" t="s">
        <v>1847</v>
      </c>
      <c r="C11" s="707"/>
      <c r="D11" s="705" t="s">
        <v>498</v>
      </c>
      <c r="E11" s="704"/>
      <c r="F11" s="1764">
        <f>'Expenditures 15-22'!K210</f>
        <v>470129</v>
      </c>
      <c r="G11" s="708"/>
    </row>
    <row r="12" spans="1:9" x14ac:dyDescent="0.2">
      <c r="A12" s="705" t="s">
        <v>459</v>
      </c>
      <c r="B12" s="706" t="s">
        <v>1848</v>
      </c>
      <c r="C12" s="707"/>
      <c r="D12" s="705" t="s">
        <v>498</v>
      </c>
      <c r="E12" s="704"/>
      <c r="F12" s="1764">
        <f>'Expenditures 15-22'!K295</f>
        <v>449423</v>
      </c>
      <c r="G12" s="708"/>
    </row>
    <row r="13" spans="1:9" x14ac:dyDescent="0.2">
      <c r="A13" s="705" t="s">
        <v>106</v>
      </c>
      <c r="B13" s="706" t="s">
        <v>1849</v>
      </c>
      <c r="C13" s="707"/>
      <c r="D13" s="705" t="s">
        <v>498</v>
      </c>
      <c r="E13" s="704"/>
      <c r="F13" s="1764">
        <f>'Expenditures 15-22'!K342</f>
        <v>116130</v>
      </c>
      <c r="G13" s="709"/>
    </row>
    <row r="14" spans="1:9" ht="12" customHeight="1" thickBot="1" x14ac:dyDescent="0.25">
      <c r="A14" s="1436"/>
      <c r="B14" s="1437"/>
      <c r="C14" s="1438"/>
      <c r="D14" s="1439" t="s">
        <v>498</v>
      </c>
      <c r="E14" s="1440" t="s">
        <v>951</v>
      </c>
      <c r="F14" s="1765">
        <f>SUM(F8:F13)</f>
        <v>16080864</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0</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72">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1906</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48850</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0</v>
      </c>
      <c r="G52" s="701"/>
    </row>
    <row r="53" spans="1:7" x14ac:dyDescent="0.2">
      <c r="A53" s="705" t="s">
        <v>456</v>
      </c>
      <c r="B53" s="705" t="s">
        <v>1455</v>
      </c>
      <c r="C53" s="724">
        <f>'Expenditures 15-22'!B102</f>
        <v>4000</v>
      </c>
      <c r="D53" s="723" t="str">
        <f>'Expenditures 15-22'!A102</f>
        <v>Total Payments to Other Govt Units</v>
      </c>
      <c r="E53" s="704"/>
      <c r="F53" s="1771">
        <f>'Expenditures 15-22'!K102</f>
        <v>332724</v>
      </c>
      <c r="G53" s="701"/>
    </row>
    <row r="54" spans="1:7" x14ac:dyDescent="0.2">
      <c r="A54" s="705" t="s">
        <v>456</v>
      </c>
      <c r="B54" s="705" t="s">
        <v>1456</v>
      </c>
      <c r="C54" s="724" t="s">
        <v>974</v>
      </c>
      <c r="D54" s="720" t="s">
        <v>1085</v>
      </c>
      <c r="E54" s="704"/>
      <c r="F54" s="1771">
        <f>'Expenditures 15-22'!G114</f>
        <v>120975</v>
      </c>
      <c r="G54" s="701"/>
    </row>
    <row r="55" spans="1:7" x14ac:dyDescent="0.2">
      <c r="A55" s="705" t="s">
        <v>456</v>
      </c>
      <c r="B55" s="705" t="s">
        <v>1457</v>
      </c>
      <c r="C55" s="724" t="s">
        <v>974</v>
      </c>
      <c r="D55" s="720" t="s">
        <v>288</v>
      </c>
      <c r="E55" s="704"/>
      <c r="F55" s="1771">
        <f>'Expenditures 15-22'!I114</f>
        <v>7138</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1">
        <f>'Expenditures 15-22'!K139</f>
        <v>0</v>
      </c>
      <c r="G57" s="701"/>
    </row>
    <row r="58" spans="1:7" x14ac:dyDescent="0.2">
      <c r="A58" s="705" t="s">
        <v>457</v>
      </c>
      <c r="B58" s="705" t="s">
        <v>1851</v>
      </c>
      <c r="C58" s="721" t="s">
        <v>974</v>
      </c>
      <c r="D58" s="720" t="s">
        <v>1085</v>
      </c>
      <c r="E58" s="704"/>
      <c r="F58" s="1773">
        <f>'Expenditures 15-22'!G151</f>
        <v>17846</v>
      </c>
      <c r="G58" s="701"/>
    </row>
    <row r="59" spans="1:7" x14ac:dyDescent="0.2">
      <c r="A59" s="728" t="s">
        <v>457</v>
      </c>
      <c r="B59" s="692" t="s">
        <v>1852</v>
      </c>
      <c r="C59" s="729" t="s">
        <v>974</v>
      </c>
      <c r="D59" s="692" t="s">
        <v>288</v>
      </c>
      <c r="F59" s="1774">
        <f>'Expenditures 15-22'!I151</f>
        <v>0</v>
      </c>
      <c r="G59" s="701"/>
    </row>
    <row r="60" spans="1:7" x14ac:dyDescent="0.2">
      <c r="A60" s="728" t="s">
        <v>496</v>
      </c>
      <c r="B60" s="692" t="s">
        <v>1853</v>
      </c>
      <c r="C60" s="729">
        <v>4000</v>
      </c>
      <c r="D60" s="692" t="s">
        <v>309</v>
      </c>
      <c r="F60" s="1772">
        <f>'Expenditures 15-22'!K160</f>
        <v>0</v>
      </c>
      <c r="G60" s="701"/>
    </row>
    <row r="61" spans="1:7" x14ac:dyDescent="0.2">
      <c r="A61" s="730" t="s">
        <v>496</v>
      </c>
      <c r="B61" s="730" t="s">
        <v>1854</v>
      </c>
      <c r="C61" s="731" t="str">
        <f>'Expenditures 15-22'!B170</f>
        <v>5300</v>
      </c>
      <c r="D61" s="732" t="s">
        <v>308</v>
      </c>
      <c r="E61" s="715"/>
      <c r="F61" s="1771">
        <f>'Expenditures 15-22'!K170</f>
        <v>13898</v>
      </c>
      <c r="G61" s="701"/>
    </row>
    <row r="62" spans="1:7" x14ac:dyDescent="0.2">
      <c r="A62" s="705" t="s">
        <v>458</v>
      </c>
      <c r="B62" s="705" t="s">
        <v>1855</v>
      </c>
      <c r="C62" s="721">
        <f>'Expenditures 15-22'!B185</f>
        <v>3000</v>
      </c>
      <c r="D62" s="712" t="s">
        <v>446</v>
      </c>
      <c r="E62" s="704"/>
      <c r="F62" s="177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1857</v>
      </c>
      <c r="C64" s="731" t="str">
        <f>'Expenditures 15-22'!B206</f>
        <v>5300</v>
      </c>
      <c r="D64" s="727" t="s">
        <v>308</v>
      </c>
      <c r="E64" s="704"/>
      <c r="F64" s="1771">
        <f>'Expenditures 15-22'!K206</f>
        <v>0</v>
      </c>
      <c r="G64" s="701"/>
    </row>
    <row r="65" spans="1:9" x14ac:dyDescent="0.2">
      <c r="A65" s="705" t="s">
        <v>458</v>
      </c>
      <c r="B65" s="705" t="s">
        <v>1858</v>
      </c>
      <c r="C65" s="721" t="s">
        <v>974</v>
      </c>
      <c r="D65" s="720" t="s">
        <v>1085</v>
      </c>
      <c r="E65" s="704"/>
      <c r="F65" s="1771">
        <f>'Expenditures 15-22'!G210</f>
        <v>0</v>
      </c>
      <c r="G65" s="701"/>
    </row>
    <row r="66" spans="1:9" x14ac:dyDescent="0.2">
      <c r="A66" s="705" t="s">
        <v>458</v>
      </c>
      <c r="B66" s="705" t="s">
        <v>1859</v>
      </c>
      <c r="C66" s="721" t="s">
        <v>974</v>
      </c>
      <c r="D66" s="720" t="s">
        <v>288</v>
      </c>
      <c r="E66" s="704"/>
      <c r="F66" s="1771">
        <f>'Expenditures 15-22'!I210</f>
        <v>0</v>
      </c>
      <c r="G66" s="701"/>
    </row>
    <row r="67" spans="1:9" x14ac:dyDescent="0.2">
      <c r="A67" s="705" t="s">
        <v>459</v>
      </c>
      <c r="B67" s="705" t="s">
        <v>1860</v>
      </c>
      <c r="C67" s="721" t="str">
        <f>'Expenditures 15-22'!B216</f>
        <v>1125</v>
      </c>
      <c r="D67" s="727" t="str">
        <f>'Expenditures 15-22'!A216</f>
        <v>Pre-K Programs</v>
      </c>
      <c r="E67" s="704"/>
      <c r="F67" s="1771">
        <f>'Expenditures 15-22'!K216</f>
        <v>0</v>
      </c>
      <c r="G67" s="701"/>
    </row>
    <row r="68" spans="1:9" x14ac:dyDescent="0.2">
      <c r="A68" s="705" t="s">
        <v>459</v>
      </c>
      <c r="B68" s="705" t="s">
        <v>1459</v>
      </c>
      <c r="C68" s="721" t="str">
        <f>'Expenditures 15-22'!B218</f>
        <v>1225</v>
      </c>
      <c r="D68" s="727" t="str">
        <f>'Expenditures 15-22'!A218</f>
        <v>Special Education Programs - Pre-K</v>
      </c>
      <c r="E68" s="704"/>
      <c r="F68" s="1771">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1862</v>
      </c>
      <c r="C70" s="721">
        <f>'Expenditures 15-22'!B221</f>
        <v>1300</v>
      </c>
      <c r="D70" s="722" t="str">
        <f>'Expenditures 15-22'!A221</f>
        <v>Adult/Continuing Education Programs</v>
      </c>
      <c r="E70" s="704"/>
      <c r="F70" s="1771">
        <f>'Expenditures 15-22'!K221</f>
        <v>0</v>
      </c>
      <c r="G70" s="701"/>
    </row>
    <row r="71" spans="1:9" x14ac:dyDescent="0.2">
      <c r="A71" s="705" t="s">
        <v>459</v>
      </c>
      <c r="B71" s="705" t="s">
        <v>1863</v>
      </c>
      <c r="C71" s="721">
        <f>'Expenditures 15-22'!B224</f>
        <v>1600</v>
      </c>
      <c r="D71" s="722" t="str">
        <f>'Expenditures 15-22'!A224</f>
        <v>Summer School Programs</v>
      </c>
      <c r="E71" s="704"/>
      <c r="F71" s="1771">
        <f>'Expenditures 15-22'!K224</f>
        <v>2687</v>
      </c>
      <c r="G71" s="701"/>
    </row>
    <row r="72" spans="1:9" x14ac:dyDescent="0.2">
      <c r="A72" s="705" t="s">
        <v>459</v>
      </c>
      <c r="B72" s="705" t="s">
        <v>1864</v>
      </c>
      <c r="C72" s="721">
        <f>'Expenditures 15-22'!B280</f>
        <v>3000</v>
      </c>
      <c r="D72" s="712" t="s">
        <v>446</v>
      </c>
      <c r="E72" s="704"/>
      <c r="F72" s="1771">
        <f>'Expenditures 15-22'!K280</f>
        <v>0</v>
      </c>
      <c r="G72" s="701"/>
    </row>
    <row r="73" spans="1:9" x14ac:dyDescent="0.2">
      <c r="A73" s="705" t="s">
        <v>459</v>
      </c>
      <c r="B73" s="705" t="s">
        <v>1865</v>
      </c>
      <c r="C73" s="721" t="str">
        <f>'Expenditures 15-22'!B285</f>
        <v>4000</v>
      </c>
      <c r="D73" s="722" t="str">
        <f>'Expenditures 15-22'!A285</f>
        <v>Total Payments to Other Govt Units</v>
      </c>
      <c r="E73" s="704"/>
      <c r="F73" s="1771">
        <f>'Expenditures 15-22'!K285</f>
        <v>0</v>
      </c>
      <c r="G73" s="701"/>
    </row>
    <row r="74" spans="1:9" x14ac:dyDescent="0.2">
      <c r="A74" s="705" t="s">
        <v>433</v>
      </c>
      <c r="B74" s="705" t="s">
        <v>1866</v>
      </c>
      <c r="C74" s="721" t="s">
        <v>854</v>
      </c>
      <c r="D74" s="722" t="s">
        <v>1467</v>
      </c>
      <c r="E74" s="704"/>
      <c r="F74" s="1775">
        <f>'Expenditures 15-22'!K334</f>
        <v>0</v>
      </c>
      <c r="G74" s="701"/>
    </row>
    <row r="75" spans="1:9" x14ac:dyDescent="0.2">
      <c r="A75" s="705" t="s">
        <v>2005</v>
      </c>
      <c r="B75" s="705" t="s">
        <v>2006</v>
      </c>
      <c r="C75" s="721" t="s">
        <v>974</v>
      </c>
      <c r="D75" s="722" t="s">
        <v>1085</v>
      </c>
      <c r="E75" s="704"/>
      <c r="F75" s="1775">
        <f>'Expenditures 15-22'!G342</f>
        <v>0</v>
      </c>
      <c r="G75" s="701"/>
    </row>
    <row r="76" spans="1:9" ht="10.5" customHeight="1" x14ac:dyDescent="0.2">
      <c r="A76" s="701" t="s">
        <v>433</v>
      </c>
      <c r="B76" s="705" t="s">
        <v>2007</v>
      </c>
      <c r="C76" s="711" t="s">
        <v>974</v>
      </c>
      <c r="D76" s="701" t="s">
        <v>288</v>
      </c>
      <c r="E76" s="704"/>
      <c r="F76" s="1775">
        <f>'Expenditures 15-22'!I342</f>
        <v>0</v>
      </c>
      <c r="G76" s="703"/>
    </row>
    <row r="77" spans="1:9" ht="12" thickBot="1" x14ac:dyDescent="0.25">
      <c r="A77" s="1436"/>
      <c r="B77" s="1441"/>
      <c r="C77" s="1438"/>
      <c r="D77" s="1442" t="s">
        <v>2008</v>
      </c>
      <c r="E77" s="1440" t="s">
        <v>951</v>
      </c>
      <c r="F77" s="1776">
        <f>SUM(F18:F76)</f>
        <v>544118</v>
      </c>
      <c r="G77" s="701"/>
    </row>
    <row r="78" spans="1:9" s="728" customFormat="1" ht="12" customHeight="1" thickTop="1" thickBot="1" x14ac:dyDescent="0.25">
      <c r="A78" s="1443"/>
      <c r="B78" s="1441"/>
      <c r="C78" s="1438"/>
      <c r="D78" s="1442" t="s">
        <v>2009</v>
      </c>
      <c r="E78" s="1440"/>
      <c r="F78" s="1777">
        <f>(F14-F77)</f>
        <v>15536746</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1095.2</v>
      </c>
      <c r="G79" s="733"/>
      <c r="H79" s="705"/>
      <c r="I79" s="705"/>
    </row>
    <row r="80" spans="1:9" s="728" customFormat="1" ht="12" customHeight="1" thickBot="1" x14ac:dyDescent="0.25">
      <c r="A80" s="1445"/>
      <c r="B80" s="1441"/>
      <c r="C80" s="1438"/>
      <c r="D80" s="1442" t="s">
        <v>2010</v>
      </c>
      <c r="E80" s="1440" t="s">
        <v>951</v>
      </c>
      <c r="F80" s="1779">
        <f>IF(F79&gt;0,F78/F79," Complete Line 79")</f>
        <v>14186.21804236669</v>
      </c>
      <c r="G80" s="705"/>
    </row>
    <row r="81" spans="1:7" s="728" customFormat="1" ht="8.25" customHeight="1" thickTop="1" x14ac:dyDescent="0.2">
      <c r="A81" s="734"/>
      <c r="B81" s="705"/>
      <c r="C81" s="707"/>
      <c r="D81" s="735"/>
      <c r="E81" s="704"/>
      <c r="F81" s="1780"/>
      <c r="G81" s="705"/>
    </row>
    <row r="82" spans="1:7" s="728" customFormat="1" ht="12" thickBot="1" x14ac:dyDescent="0.25">
      <c r="A82" s="2369" t="s">
        <v>1095</v>
      </c>
      <c r="B82" s="2370"/>
      <c r="C82" s="2370"/>
      <c r="D82" s="2370"/>
      <c r="E82" s="2370"/>
      <c r="F82" s="2371"/>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0</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153262</v>
      </c>
      <c r="G95" s="745"/>
    </row>
    <row r="96" spans="1:7" x14ac:dyDescent="0.2">
      <c r="A96" s="741" t="s">
        <v>139</v>
      </c>
      <c r="B96" s="741" t="s">
        <v>174</v>
      </c>
      <c r="C96" s="743">
        <v>1700</v>
      </c>
      <c r="D96" s="751" t="str">
        <f>'Revenues 9-14'!A82</f>
        <v>Total District/School Activity Income</v>
      </c>
      <c r="E96" s="739"/>
      <c r="F96" s="1782">
        <f>SUM('Revenues 9-14'!C82,'Revenues 9-14'!D82)</f>
        <v>18528</v>
      </c>
      <c r="G96" s="745"/>
    </row>
    <row r="97" spans="1:7" x14ac:dyDescent="0.2">
      <c r="A97" s="741" t="s">
        <v>456</v>
      </c>
      <c r="B97" s="741" t="s">
        <v>175</v>
      </c>
      <c r="C97" s="743">
        <f>'Revenues 9-14'!B84</f>
        <v>1811</v>
      </c>
      <c r="D97" s="744" t="str">
        <f>'Revenues 9-14'!A84</f>
        <v>Rentals - Regular Textbooks</v>
      </c>
      <c r="E97" s="739"/>
      <c r="F97" s="1782">
        <f>'Revenues 9-14'!C84</f>
        <v>80543</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0</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0</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56025</v>
      </c>
      <c r="G104" s="745"/>
    </row>
    <row r="105" spans="1:7" x14ac:dyDescent="0.2">
      <c r="A105" s="741" t="s">
        <v>456</v>
      </c>
      <c r="B105" s="741" t="s">
        <v>802</v>
      </c>
      <c r="C105" s="743">
        <f>'Revenues 9-14'!B106</f>
        <v>1993</v>
      </c>
      <c r="D105" s="744" t="str">
        <f>'Revenues 9-14'!A106</f>
        <v>Other Local Fees (Describe &amp; Itemize)</v>
      </c>
      <c r="E105" s="739"/>
      <c r="F105" s="1782">
        <f>('Revenues 9-14'!C106)</f>
        <v>0</v>
      </c>
      <c r="G105" s="745"/>
    </row>
    <row r="106" spans="1:7" x14ac:dyDescent="0.2">
      <c r="A106" s="741" t="s">
        <v>500</v>
      </c>
      <c r="B106" s="741" t="s">
        <v>1907</v>
      </c>
      <c r="C106" s="746">
        <v>3100</v>
      </c>
      <c r="D106" s="752" t="str">
        <f>'Revenues 9-14'!A132</f>
        <v>Total Special Education</v>
      </c>
      <c r="E106" s="739"/>
      <c r="F106" s="1782">
        <f>SUM('Revenues 9-14'!C132:D132,'Revenues 9-14'!F132)</f>
        <v>133895</v>
      </c>
      <c r="G106" s="745"/>
    </row>
    <row r="107" spans="1:7" x14ac:dyDescent="0.2">
      <c r="A107" s="741" t="s">
        <v>668</v>
      </c>
      <c r="B107" s="741" t="s">
        <v>1908</v>
      </c>
      <c r="C107" s="753">
        <v>3200</v>
      </c>
      <c r="D107" s="744" t="str">
        <f>'Revenues 9-14'!A141</f>
        <v>Total Career and Technical Education</v>
      </c>
      <c r="E107" s="739"/>
      <c r="F107" s="1782">
        <f>SUM('Revenues 9-14'!C141,'Revenues 9-14'!D141,'Revenues 9-14'!G141)</f>
        <v>0</v>
      </c>
      <c r="G107" s="745"/>
    </row>
    <row r="108" spans="1:7" x14ac:dyDescent="0.2">
      <c r="A108" s="754" t="s">
        <v>659</v>
      </c>
      <c r="B108" s="741" t="s">
        <v>1909</v>
      </c>
      <c r="C108" s="753">
        <v>3300</v>
      </c>
      <c r="D108" s="744" t="str">
        <f>'Revenues 9-14'!A145</f>
        <v>Total Bilingual Ed</v>
      </c>
      <c r="E108" s="739"/>
      <c r="F108" s="178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2">
        <f>'Revenues 9-14'!C146</f>
        <v>804</v>
      </c>
      <c r="G109" s="745"/>
    </row>
    <row r="110" spans="1:7" x14ac:dyDescent="0.2">
      <c r="A110" s="741" t="s">
        <v>668</v>
      </c>
      <c r="B110" s="741" t="s">
        <v>1911</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2">
        <f>SUM('Revenues 9-14'!C148,'Revenues 9-14'!D148)</f>
        <v>0</v>
      </c>
      <c r="G111" s="745"/>
    </row>
    <row r="112" spans="1:7" x14ac:dyDescent="0.2">
      <c r="A112" s="741" t="s">
        <v>663</v>
      </c>
      <c r="B112" s="741" t="s">
        <v>1913</v>
      </c>
      <c r="C112" s="755">
        <v>3500</v>
      </c>
      <c r="D112" s="744" t="str">
        <f>'Revenues 9-14'!A155</f>
        <v>Total Transportation</v>
      </c>
      <c r="E112" s="739"/>
      <c r="F112" s="1782">
        <f>SUM('Revenues 9-14'!C155,'Revenues 9-14'!D155,'Revenues 9-14'!F155,'Revenues 9-14'!G155)</f>
        <v>246425</v>
      </c>
      <c r="G112" s="745"/>
    </row>
    <row r="113" spans="1:7" x14ac:dyDescent="0.2">
      <c r="A113" s="741" t="s">
        <v>456</v>
      </c>
      <c r="B113" s="741" t="s">
        <v>1914</v>
      </c>
      <c r="C113" s="753">
        <f>'Revenues 9-14'!B156</f>
        <v>3610</v>
      </c>
      <c r="D113" s="744" t="str">
        <f>'Revenues 9-14'!A156</f>
        <v>Learning Improvement - Change Grants</v>
      </c>
      <c r="E113" s="739"/>
      <c r="F113" s="1782">
        <f>'Revenues 9-14'!C156</f>
        <v>0</v>
      </c>
      <c r="G113" s="745"/>
    </row>
    <row r="114" spans="1:7" x14ac:dyDescent="0.2">
      <c r="A114" s="741" t="s">
        <v>663</v>
      </c>
      <c r="B114" s="741" t="s">
        <v>1915</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81">
        <f>SUM('Revenues 9-14'!C163:G163)</f>
        <v>0</v>
      </c>
      <c r="G119" s="745"/>
    </row>
    <row r="120" spans="1:7" x14ac:dyDescent="0.2">
      <c r="A120" s="756" t="s">
        <v>501</v>
      </c>
      <c r="B120" s="756" t="s">
        <v>1921</v>
      </c>
      <c r="C120" s="757">
        <f>'Revenues 9-14'!B164</f>
        <v>3815</v>
      </c>
      <c r="D120" s="758" t="str">
        <f>'Revenues 9-14'!A164</f>
        <v>State Charter Schools</v>
      </c>
      <c r="E120" s="739"/>
      <c r="F120" s="178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2">
        <f>'Revenues 9-14'!D167</f>
        <v>0</v>
      </c>
      <c r="G121" s="763"/>
    </row>
    <row r="122" spans="1:7" x14ac:dyDescent="0.2">
      <c r="A122" s="760" t="s">
        <v>497</v>
      </c>
      <c r="B122" s="760" t="s">
        <v>1923</v>
      </c>
      <c r="C122" s="761">
        <f>'Revenues 9-14'!B168</f>
        <v>3999</v>
      </c>
      <c r="D122" s="762" t="s">
        <v>540</v>
      </c>
      <c r="E122" s="764"/>
      <c r="F122" s="1782">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82">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1926</v>
      </c>
      <c r="C125" s="765">
        <v>4100</v>
      </c>
      <c r="D125" s="766" t="str">
        <f>'Revenues 9-14'!A188</f>
        <v>Total Title V</v>
      </c>
      <c r="E125" s="739"/>
      <c r="F125" s="178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82">
        <f>SUM('Revenues 9-14'!C198,'Revenues 9-14'!G198)</f>
        <v>78258</v>
      </c>
      <c r="G126" s="763"/>
    </row>
    <row r="127" spans="1:7" x14ac:dyDescent="0.2">
      <c r="A127" s="760" t="s">
        <v>663</v>
      </c>
      <c r="B127" s="760" t="s">
        <v>1928</v>
      </c>
      <c r="C127" s="765">
        <v>4300</v>
      </c>
      <c r="D127" s="766" t="str">
        <f>'Revenues 9-14'!A204</f>
        <v>Total Title I</v>
      </c>
      <c r="E127" s="739"/>
      <c r="F127" s="1782">
        <f>SUM('Revenues 9-14'!C204,'Revenues 9-14'!D204,'Revenues 9-14'!F204,'Revenues 9-14'!G204)</f>
        <v>69089</v>
      </c>
      <c r="G127" s="763"/>
    </row>
    <row r="128" spans="1:7" x14ac:dyDescent="0.2">
      <c r="A128" s="760" t="s">
        <v>663</v>
      </c>
      <c r="B128" s="760" t="s">
        <v>1929</v>
      </c>
      <c r="C128" s="765">
        <v>4400</v>
      </c>
      <c r="D128" s="766" t="str">
        <f>'Revenues 9-14'!A209</f>
        <v>Total Title IV</v>
      </c>
      <c r="E128" s="739"/>
      <c r="F128" s="1782">
        <f>SUM('Revenues 9-14'!C209,'Revenues 9-14'!D209,'Revenues 9-14'!F209,'Revenues 9-14'!G209)</f>
        <v>10000</v>
      </c>
      <c r="G128" s="763"/>
    </row>
    <row r="129" spans="1:7" x14ac:dyDescent="0.2">
      <c r="A129" s="760" t="s">
        <v>663</v>
      </c>
      <c r="B129" s="760" t="s">
        <v>1930</v>
      </c>
      <c r="C129" s="765">
        <f>'Revenues 9-14'!B213</f>
        <v>4620</v>
      </c>
      <c r="D129" s="766" t="str">
        <f>'Revenues 9-14'!A213</f>
        <v>Fed - Spec Education - IDEA - Flow Through</v>
      </c>
      <c r="E129" s="739"/>
      <c r="F129" s="1782">
        <f>SUM('Revenues 9-14'!C213:D213,'Revenues 9-14'!F213:G213)</f>
        <v>240388</v>
      </c>
      <c r="G129" s="763"/>
    </row>
    <row r="130" spans="1:7" x14ac:dyDescent="0.2">
      <c r="A130" s="760" t="s">
        <v>663</v>
      </c>
      <c r="B130" s="760" t="s">
        <v>1931</v>
      </c>
      <c r="C130" s="765">
        <f>'Revenues 9-14'!B214</f>
        <v>4625</v>
      </c>
      <c r="D130" s="766" t="str">
        <f>'Revenues 9-14'!A214</f>
        <v>Fed - Spec Education - IDEA - Room &amp; Board</v>
      </c>
      <c r="E130" s="739"/>
      <c r="F130" s="1782">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1933</v>
      </c>
      <c r="C133" s="765">
        <v>4700</v>
      </c>
      <c r="D133" s="762" t="str">
        <f>'Revenues 9-14'!A221</f>
        <v>Total CTE - Perkins</v>
      </c>
      <c r="E133" s="739"/>
      <c r="F133" s="178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2">
        <v>0</v>
      </c>
      <c r="G139" s="738"/>
    </row>
    <row r="140" spans="1:7" s="703" customFormat="1" hidden="1" x14ac:dyDescent="0.2">
      <c r="A140" s="767" t="s">
        <v>204</v>
      </c>
      <c r="B140" s="767" t="s">
        <v>1940</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1948</v>
      </c>
      <c r="C158" s="773" t="s">
        <v>835</v>
      </c>
      <c r="D158" s="774" t="s">
        <v>771</v>
      </c>
      <c r="E158" s="775"/>
      <c r="F158" s="1782">
        <f>SUM(F134:F157)</f>
        <v>0</v>
      </c>
      <c r="G158" s="738"/>
    </row>
    <row r="159" spans="1:7" s="703" customFormat="1" x14ac:dyDescent="0.2">
      <c r="A159" s="771" t="s">
        <v>456</v>
      </c>
      <c r="B159" s="772" t="s">
        <v>1949</v>
      </c>
      <c r="C159" s="773" t="s">
        <v>1407</v>
      </c>
      <c r="D159" s="774" t="s">
        <v>1408</v>
      </c>
      <c r="E159" s="775"/>
      <c r="F159" s="1782">
        <f>SUM('Revenues 9-14'!C253)</f>
        <v>0</v>
      </c>
      <c r="G159" s="738"/>
    </row>
    <row r="160" spans="1:7" s="703" customFormat="1" x14ac:dyDescent="0.2">
      <c r="A160" s="771" t="s">
        <v>497</v>
      </c>
      <c r="B160" s="772" t="s">
        <v>1950</v>
      </c>
      <c r="C160" s="773" t="s">
        <v>1446</v>
      </c>
      <c r="D160" s="774" t="s">
        <v>1447</v>
      </c>
      <c r="E160" s="775"/>
      <c r="F160" s="178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82">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1">
        <f>SUM('Revenues 9-14'!C259,'Revenues 9-14'!D259,'Revenues 9-14'!F259,'Revenues 9-14'!G259)</f>
        <v>15476</v>
      </c>
      <c r="G165" s="763"/>
    </row>
    <row r="166" spans="1:7" x14ac:dyDescent="0.2">
      <c r="A166" s="760" t="s">
        <v>663</v>
      </c>
      <c r="B166" s="760" t="s">
        <v>1956</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2">
        <f>SUM('Revenues 9-14'!C263:D263,'Revenues 9-14'!F263:G263)</f>
        <v>13015</v>
      </c>
      <c r="G169" s="780">
        <v>6320</v>
      </c>
    </row>
    <row r="170" spans="1:7" x14ac:dyDescent="0.2">
      <c r="A170" s="760" t="s">
        <v>663</v>
      </c>
      <c r="B170" s="760" t="s">
        <v>1958</v>
      </c>
      <c r="C170" s="765">
        <f>'Revenues 9-14'!B264</f>
        <v>4992</v>
      </c>
      <c r="D170" s="766" t="str">
        <f>'Revenues 9-14'!A264</f>
        <v>Medicaid Matching Funds - Fee-for-Service Program</v>
      </c>
      <c r="E170" s="739"/>
      <c r="F170" s="1782">
        <f>SUM('Revenues 9-14'!C264:D264,'Revenues 9-14'!F264:G264)</f>
        <v>0</v>
      </c>
      <c r="G170" s="780"/>
    </row>
    <row r="171" spans="1:7" x14ac:dyDescent="0.2">
      <c r="A171" s="781" t="s">
        <v>663</v>
      </c>
      <c r="B171" s="777" t="s">
        <v>1959</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1882</v>
      </c>
      <c r="C172" s="1524">
        <v>3100</v>
      </c>
      <c r="D172" s="1525" t="s">
        <v>1884</v>
      </c>
      <c r="E172" s="739"/>
      <c r="F172" s="1783">
        <v>469268.69</v>
      </c>
      <c r="G172" s="760"/>
    </row>
    <row r="173" spans="1:7" x14ac:dyDescent="0.2">
      <c r="A173" s="1522" t="s">
        <v>659</v>
      </c>
      <c r="B173" s="1523" t="s">
        <v>1882</v>
      </c>
      <c r="C173" s="1524">
        <v>3300</v>
      </c>
      <c r="D173" s="1525" t="s">
        <v>1885</v>
      </c>
      <c r="E173" s="739"/>
      <c r="F173" s="1783">
        <v>199.21</v>
      </c>
      <c r="G173" s="760"/>
    </row>
    <row r="174" spans="1:7" ht="6" customHeight="1" x14ac:dyDescent="0.2">
      <c r="A174" s="760"/>
      <c r="B174" s="760"/>
      <c r="C174" s="782"/>
      <c r="D174" s="760"/>
      <c r="E174" s="739"/>
      <c r="F174" s="1784"/>
      <c r="G174" s="780"/>
    </row>
    <row r="175" spans="1:7" x14ac:dyDescent="0.2">
      <c r="A175" s="1436"/>
      <c r="B175" s="1446"/>
      <c r="C175" s="1447"/>
      <c r="D175" s="1448" t="s">
        <v>2013</v>
      </c>
      <c r="E175" s="1449" t="s">
        <v>951</v>
      </c>
      <c r="F175" s="1785">
        <f>SUM(F85:F133,F158:F173)</f>
        <v>1585175.9</v>
      </c>
    </row>
    <row r="176" spans="1:7" ht="12" customHeight="1" x14ac:dyDescent="0.2">
      <c r="A176" s="1436"/>
      <c r="B176" s="1446"/>
      <c r="C176" s="1447"/>
      <c r="D176" s="1448" t="s">
        <v>2011</v>
      </c>
      <c r="E176" s="1449"/>
      <c r="F176" s="1782">
        <f>'PCTC-OEPP 27-28'!F78-F175</f>
        <v>13951570.1</v>
      </c>
    </row>
    <row r="177" spans="1:9" ht="12" customHeight="1" x14ac:dyDescent="0.2">
      <c r="A177" s="1436"/>
      <c r="B177" s="1446"/>
      <c r="C177" s="1447"/>
      <c r="D177" s="1448" t="s">
        <v>1791</v>
      </c>
      <c r="E177" s="1449"/>
      <c r="F177" s="1782">
        <f>'Cap Outlay Deprec 26'!I18</f>
        <v>863975.8</v>
      </c>
    </row>
    <row r="178" spans="1:9" ht="12" customHeight="1" x14ac:dyDescent="0.2">
      <c r="A178" s="1436"/>
      <c r="B178" s="1446"/>
      <c r="C178" s="1447"/>
      <c r="D178" s="1448" t="s">
        <v>2012</v>
      </c>
      <c r="E178" s="1449"/>
      <c r="F178" s="1782">
        <f>F176+F177</f>
        <v>14815545.9</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1095.2</v>
      </c>
      <c r="G179" s="763"/>
      <c r="I179" s="701"/>
    </row>
    <row r="180" spans="1:9" ht="12" customHeight="1" thickBot="1" x14ac:dyDescent="0.25">
      <c r="A180" s="1436"/>
      <c r="B180" s="1450"/>
      <c r="C180" s="1447"/>
      <c r="D180" s="1448" t="s">
        <v>2014</v>
      </c>
      <c r="E180" s="1449" t="s">
        <v>1525</v>
      </c>
      <c r="F180" s="1787">
        <f>F178/F179</f>
        <v>13527.708089846603</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1887</v>
      </c>
      <c r="B186" s="1529"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10" zoomScaleNormal="100" workbookViewId="0">
      <selection activeCell="E19" sqref="E19"/>
    </sheetView>
  </sheetViews>
  <sheetFormatPr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1804</v>
      </c>
      <c r="B1" s="1847"/>
      <c r="C1" s="1848"/>
      <c r="D1" s="1848"/>
      <c r="E1" s="1848"/>
      <c r="F1" s="1848"/>
    </row>
    <row r="2" spans="1:6" x14ac:dyDescent="0.25">
      <c r="A2" s="1850"/>
      <c r="B2" s="1851"/>
      <c r="C2" s="1899" t="s">
        <v>2000</v>
      </c>
      <c r="D2" s="1850"/>
      <c r="E2" s="1850"/>
      <c r="F2" s="1850"/>
    </row>
    <row r="3" spans="1:6" ht="5.25" customHeight="1" x14ac:dyDescent="0.25">
      <c r="A3" s="1852"/>
      <c r="B3" s="1853"/>
      <c r="C3" s="1852"/>
      <c r="D3" s="1852"/>
      <c r="E3" s="1852"/>
      <c r="F3" s="1852"/>
    </row>
    <row r="4" spans="1:6" ht="18.75" customHeight="1" x14ac:dyDescent="0.25">
      <c r="A4" s="2383" t="s">
        <v>1792</v>
      </c>
      <c r="B4" s="2384"/>
      <c r="C4" s="2384"/>
      <c r="D4" s="2384"/>
      <c r="E4" s="2384"/>
      <c r="F4" s="2385"/>
    </row>
    <row r="5" spans="1:6" x14ac:dyDescent="0.25">
      <c r="A5" s="2386"/>
      <c r="B5" s="2387"/>
      <c r="C5" s="2387"/>
      <c r="D5" s="2387"/>
      <c r="E5" s="2387"/>
      <c r="F5" s="2388"/>
    </row>
    <row r="6" spans="1:6" ht="18.75" x14ac:dyDescent="0.25">
      <c r="A6" s="1854" t="s">
        <v>1793</v>
      </c>
      <c r="B6" s="1855"/>
      <c r="C6" s="1856"/>
      <c r="D6" s="1856"/>
      <c r="E6" s="1856"/>
      <c r="F6" s="1857"/>
    </row>
    <row r="7" spans="1:6" ht="47.25" customHeight="1" x14ac:dyDescent="0.25">
      <c r="A7" s="2389" t="s">
        <v>1982</v>
      </c>
      <c r="B7" s="2390"/>
      <c r="C7" s="2390"/>
      <c r="D7" s="2390"/>
      <c r="E7" s="2390"/>
      <c r="F7" s="2391"/>
    </row>
    <row r="8" spans="1:6" ht="20.25" customHeight="1" x14ac:dyDescent="0.25">
      <c r="A8" s="1889" t="s">
        <v>1984</v>
      </c>
      <c r="B8" s="1890"/>
      <c r="C8" s="1890"/>
      <c r="D8" s="1890"/>
      <c r="E8" s="1858"/>
      <c r="F8" s="1859"/>
    </row>
    <row r="9" spans="1:6" ht="18" customHeight="1" x14ac:dyDescent="0.25">
      <c r="A9" s="1860" t="s">
        <v>1981</v>
      </c>
      <c r="B9" s="1862"/>
      <c r="C9" s="1862"/>
      <c r="D9" s="1862"/>
      <c r="E9" s="1858"/>
      <c r="F9" s="1859"/>
    </row>
    <row r="10" spans="1:6" ht="15.75" customHeight="1" x14ac:dyDescent="0.25">
      <c r="A10" s="2392" t="s">
        <v>1978</v>
      </c>
      <c r="B10" s="2393"/>
      <c r="C10" s="2393"/>
      <c r="D10" s="2393"/>
      <c r="E10" s="2393"/>
      <c r="F10" s="2394"/>
    </row>
    <row r="11" spans="1:6" ht="33" customHeight="1" x14ac:dyDescent="0.25">
      <c r="A11" s="2389" t="s">
        <v>1983</v>
      </c>
      <c r="B11" s="2390"/>
      <c r="C11" s="2390"/>
      <c r="D11" s="2390"/>
      <c r="E11" s="2390"/>
      <c r="F11" s="2391"/>
    </row>
    <row r="12" spans="1:6" ht="15" customHeight="1" x14ac:dyDescent="0.25">
      <c r="A12" s="1860" t="s">
        <v>1979</v>
      </c>
      <c r="B12" s="1861"/>
      <c r="C12" s="1862"/>
      <c r="D12" s="1862"/>
      <c r="E12" s="1862"/>
      <c r="F12" s="1863"/>
    </row>
    <row r="13" spans="1:6" ht="17.25" customHeight="1" x14ac:dyDescent="0.25">
      <c r="A13" s="2389" t="s">
        <v>1980</v>
      </c>
      <c r="B13" s="2390"/>
      <c r="C13" s="2390"/>
      <c r="D13" s="2390"/>
      <c r="E13" s="2390"/>
      <c r="F13" s="2391"/>
    </row>
    <row r="14" spans="1:6" ht="15" customHeight="1" x14ac:dyDescent="0.25">
      <c r="A14" s="1860" t="s">
        <v>1797</v>
      </c>
      <c r="B14" s="1861"/>
      <c r="C14" s="1862"/>
      <c r="D14" s="1862"/>
      <c r="E14" s="1862"/>
      <c r="F14" s="1863"/>
    </row>
    <row r="15" spans="1:6" ht="32.25" customHeight="1" x14ac:dyDescent="0.25">
      <c r="A15" s="238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1"/>
      <c r="C15" s="2381"/>
      <c r="D15" s="2381"/>
      <c r="E15" s="2381"/>
      <c r="F15" s="2382"/>
    </row>
    <row r="16" spans="1:6" ht="61.5" customHeight="1" x14ac:dyDescent="0.25">
      <c r="A16" s="1864" t="s">
        <v>1798</v>
      </c>
      <c r="B16" s="1865" t="s">
        <v>1799</v>
      </c>
      <c r="C16" s="1864" t="s">
        <v>1800</v>
      </c>
      <c r="D16" s="1866" t="s">
        <v>1801</v>
      </c>
      <c r="E16" s="1866" t="s">
        <v>1802</v>
      </c>
      <c r="F16" s="1866" t="s">
        <v>1803</v>
      </c>
    </row>
    <row r="17" spans="1:7" x14ac:dyDescent="0.25">
      <c r="A17" s="1867" t="s">
        <v>1805</v>
      </c>
      <c r="B17" s="1894" t="s">
        <v>1796</v>
      </c>
      <c r="C17" s="1868" t="s">
        <v>1794</v>
      </c>
      <c r="D17" s="1869">
        <v>500000</v>
      </c>
      <c r="E17" s="1869" t="str">
        <f>IF(D17&lt;25000,D17,"25,000")</f>
        <v>25,000</v>
      </c>
      <c r="F17" s="1870">
        <f>IF(D17&gt;=25000,(D17-E17),"0")</f>
        <v>475000</v>
      </c>
    </row>
    <row r="18" spans="1:7" x14ac:dyDescent="0.25">
      <c r="A18" s="2040" t="s">
        <v>2090</v>
      </c>
      <c r="B18" s="1895"/>
      <c r="C18" s="2041" t="s">
        <v>974</v>
      </c>
      <c r="D18" s="2042"/>
      <c r="E18" s="1893">
        <f t="shared" ref="E18:E81" si="0">IF(D18&lt;25000,D18,"25,000")</f>
        <v>0</v>
      </c>
      <c r="F18" s="1893" t="str">
        <f t="shared" ref="F18:F81" si="1">IF(D18&gt;=25000,(D18-E18),"0")</f>
        <v>0</v>
      </c>
      <c r="G18" s="1874"/>
    </row>
    <row r="19" spans="1:7" x14ac:dyDescent="0.25">
      <c r="A19" s="1875"/>
      <c r="B19" s="1895"/>
      <c r="C19" s="1872"/>
      <c r="D19" s="1873"/>
      <c r="E19" s="1893">
        <f t="shared" si="0"/>
        <v>0</v>
      </c>
      <c r="F19" s="1893" t="str">
        <f t="shared" si="1"/>
        <v>0</v>
      </c>
    </row>
    <row r="20" spans="1:7" x14ac:dyDescent="0.25">
      <c r="A20" s="1875"/>
      <c r="B20" s="1895"/>
      <c r="C20" s="1872"/>
      <c r="D20" s="1873"/>
      <c r="E20" s="1893">
        <f t="shared" si="0"/>
        <v>0</v>
      </c>
      <c r="F20" s="1893" t="str">
        <f t="shared" si="1"/>
        <v>0</v>
      </c>
    </row>
    <row r="21" spans="1:7" x14ac:dyDescent="0.25">
      <c r="A21" s="1875"/>
      <c r="B21" s="1895"/>
      <c r="C21" s="1872"/>
      <c r="D21" s="1873"/>
      <c r="E21" s="1893">
        <f t="shared" si="0"/>
        <v>0</v>
      </c>
      <c r="F21" s="1893" t="str">
        <f t="shared" si="1"/>
        <v>0</v>
      </c>
    </row>
    <row r="22" spans="1:7" x14ac:dyDescent="0.25">
      <c r="A22" s="1875"/>
      <c r="B22" s="1895"/>
      <c r="C22" s="1872"/>
      <c r="D22" s="1873"/>
      <c r="E22" s="1893">
        <f t="shared" si="0"/>
        <v>0</v>
      </c>
      <c r="F22" s="1893" t="str">
        <f t="shared" si="1"/>
        <v>0</v>
      </c>
    </row>
    <row r="23" spans="1:7" x14ac:dyDescent="0.25">
      <c r="A23" s="1875"/>
      <c r="B23" s="1895"/>
      <c r="C23" s="1872"/>
      <c r="D23" s="1873"/>
      <c r="E23" s="1893">
        <f t="shared" si="0"/>
        <v>0</v>
      </c>
      <c r="F23" s="1893" t="str">
        <f t="shared" si="1"/>
        <v>0</v>
      </c>
    </row>
    <row r="24" spans="1:7" x14ac:dyDescent="0.25">
      <c r="A24" s="1875"/>
      <c r="B24" s="1895"/>
      <c r="C24" s="1872"/>
      <c r="D24" s="1873"/>
      <c r="E24" s="1893">
        <f t="shared" si="0"/>
        <v>0</v>
      </c>
      <c r="F24" s="1893" t="str">
        <f t="shared" si="1"/>
        <v>0</v>
      </c>
    </row>
    <row r="25" spans="1:7" x14ac:dyDescent="0.25">
      <c r="A25" s="1875"/>
      <c r="B25" s="1895"/>
      <c r="C25" s="1872"/>
      <c r="D25" s="1873"/>
      <c r="E25" s="1893">
        <f t="shared" si="0"/>
        <v>0</v>
      </c>
      <c r="F25" s="1893" t="str">
        <f t="shared" si="1"/>
        <v>0</v>
      </c>
    </row>
    <row r="26" spans="1:7" x14ac:dyDescent="0.25">
      <c r="A26" s="1875"/>
      <c r="B26" s="1895"/>
      <c r="C26" s="1872"/>
      <c r="D26" s="1873"/>
      <c r="E26" s="1893">
        <f t="shared" si="0"/>
        <v>0</v>
      </c>
      <c r="F26" s="1893" t="str">
        <f t="shared" si="1"/>
        <v>0</v>
      </c>
    </row>
    <row r="27" spans="1:7" x14ac:dyDescent="0.25">
      <c r="A27" s="1875"/>
      <c r="B27" s="1895"/>
      <c r="C27" s="1876"/>
      <c r="D27" s="1873"/>
      <c r="E27" s="1893">
        <f t="shared" si="0"/>
        <v>0</v>
      </c>
      <c r="F27" s="1893" t="str">
        <f t="shared" si="1"/>
        <v>0</v>
      </c>
    </row>
    <row r="28" spans="1:7" x14ac:dyDescent="0.25">
      <c r="A28" s="1875"/>
      <c r="B28" s="1895"/>
      <c r="C28" s="1876"/>
      <c r="D28" s="1873"/>
      <c r="E28" s="1893">
        <f t="shared" si="0"/>
        <v>0</v>
      </c>
      <c r="F28" s="1893" t="str">
        <f t="shared" si="1"/>
        <v>0</v>
      </c>
    </row>
    <row r="29" spans="1:7" x14ac:dyDescent="0.25">
      <c r="A29" s="1875"/>
      <c r="B29" s="1895"/>
      <c r="C29" s="1876"/>
      <c r="D29" s="1873"/>
      <c r="E29" s="1893">
        <f t="shared" si="0"/>
        <v>0</v>
      </c>
      <c r="F29" s="1893" t="str">
        <f t="shared" si="1"/>
        <v>0</v>
      </c>
    </row>
    <row r="30" spans="1:7" x14ac:dyDescent="0.25">
      <c r="A30" s="1875"/>
      <c r="B30" s="1895"/>
      <c r="C30" s="1876"/>
      <c r="D30" s="1873"/>
      <c r="E30" s="1893">
        <f t="shared" si="0"/>
        <v>0</v>
      </c>
      <c r="F30" s="1893" t="str">
        <f t="shared" si="1"/>
        <v>0</v>
      </c>
    </row>
    <row r="31" spans="1:7" x14ac:dyDescent="0.25">
      <c r="A31" s="1875"/>
      <c r="B31" s="1895"/>
      <c r="C31" s="1876"/>
      <c r="D31" s="1873"/>
      <c r="E31" s="1893">
        <f t="shared" si="0"/>
        <v>0</v>
      </c>
      <c r="F31" s="1893" t="str">
        <f t="shared" si="1"/>
        <v>0</v>
      </c>
    </row>
    <row r="32" spans="1:7" x14ac:dyDescent="0.25">
      <c r="A32" s="1875"/>
      <c r="B32" s="1895"/>
      <c r="C32" s="1876"/>
      <c r="D32" s="1873"/>
      <c r="E32" s="1893">
        <f t="shared" si="0"/>
        <v>0</v>
      </c>
      <c r="F32" s="1893" t="str">
        <f t="shared" si="1"/>
        <v>0</v>
      </c>
    </row>
    <row r="33" spans="1:6" x14ac:dyDescent="0.25">
      <c r="A33" s="1875"/>
      <c r="B33" s="1895"/>
      <c r="C33" s="1876"/>
      <c r="D33" s="1873"/>
      <c r="E33" s="1893">
        <f t="shared" si="0"/>
        <v>0</v>
      </c>
      <c r="F33" s="1893" t="str">
        <f t="shared" si="1"/>
        <v>0</v>
      </c>
    </row>
    <row r="34" spans="1:6" x14ac:dyDescent="0.25">
      <c r="A34" s="1875"/>
      <c r="B34" s="1895"/>
      <c r="C34" s="1876"/>
      <c r="D34" s="1873"/>
      <c r="E34" s="1893">
        <f t="shared" si="0"/>
        <v>0</v>
      </c>
      <c r="F34" s="1893" t="str">
        <f t="shared" si="1"/>
        <v>0</v>
      </c>
    </row>
    <row r="35" spans="1:6" x14ac:dyDescent="0.25">
      <c r="A35" s="1875"/>
      <c r="B35" s="1895"/>
      <c r="C35" s="1876"/>
      <c r="D35" s="1873"/>
      <c r="E35" s="1893">
        <f t="shared" si="0"/>
        <v>0</v>
      </c>
      <c r="F35" s="1893" t="str">
        <f t="shared" si="1"/>
        <v>0</v>
      </c>
    </row>
    <row r="36" spans="1:6" x14ac:dyDescent="0.25">
      <c r="A36" s="1875"/>
      <c r="B36" s="1895"/>
      <c r="C36" s="1876"/>
      <c r="D36" s="1873"/>
      <c r="E36" s="1893">
        <f t="shared" si="0"/>
        <v>0</v>
      </c>
      <c r="F36" s="1893" t="str">
        <f t="shared" si="1"/>
        <v>0</v>
      </c>
    </row>
    <row r="37" spans="1:6" x14ac:dyDescent="0.25">
      <c r="A37" s="1875"/>
      <c r="B37" s="1895"/>
      <c r="C37" s="1876"/>
      <c r="D37" s="1873"/>
      <c r="E37" s="1893">
        <f t="shared" si="0"/>
        <v>0</v>
      </c>
      <c r="F37" s="1893" t="str">
        <f t="shared" si="1"/>
        <v>0</v>
      </c>
    </row>
    <row r="38" spans="1:6" x14ac:dyDescent="0.25">
      <c r="A38" s="1875"/>
      <c r="B38" s="1895"/>
      <c r="C38" s="1876"/>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0</v>
      </c>
      <c r="E142" s="1880">
        <f>SUM(E18:E141)</f>
        <v>0</v>
      </c>
      <c r="F142" s="1881">
        <f>SUM(F18:F141)</f>
        <v>0</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0"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5" t="s">
        <v>1657</v>
      </c>
      <c r="B5" s="2396"/>
      <c r="C5" s="2396"/>
      <c r="D5" s="2396"/>
      <c r="E5" s="2396"/>
      <c r="F5" s="2396"/>
      <c r="G5" s="2397"/>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1891</v>
      </c>
      <c r="B10" s="803"/>
      <c r="C10" s="807"/>
      <c r="D10" s="804"/>
      <c r="E10" s="1789">
        <v>124170</v>
      </c>
      <c r="F10" s="805"/>
      <c r="G10" s="806"/>
      <c r="H10" s="157"/>
      <c r="I10" s="157"/>
    </row>
    <row r="11" spans="1:13" s="542" customFormat="1" ht="22.5" customHeight="1" x14ac:dyDescent="0.2">
      <c r="A11" s="240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1"/>
      <c r="C11" s="2401"/>
      <c r="D11" s="2402"/>
      <c r="E11" s="1790">
        <v>26824</v>
      </c>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9330263</v>
      </c>
      <c r="F19" s="1791"/>
      <c r="G19" s="1793">
        <f>'Expenditures 15-22'!K33-SUM('Expenditures 15-22'!G33,'Expenditures 15-22'!I33)+'Expenditures 15-22'!D229</f>
        <v>9330263</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818696</v>
      </c>
      <c r="F21" s="1794"/>
      <c r="G21" s="1797">
        <f>'Expenditures 15-22'!K42-SUM('Expenditures 15-22'!G42,'Expenditures 15-22'!I42)+'Expenditures 15-22'!K120-SUM('Expenditures 15-22'!G120,'Expenditures 15-22'!I120)+'Expenditures 15-22'!K180-SUM('Expenditures 15-22'!G180,'Expenditures 15-22'!I180)+'Expenditures 15-22'!D238</f>
        <v>818696</v>
      </c>
      <c r="H21" s="817"/>
      <c r="I21" s="157"/>
    </row>
    <row r="22" spans="1:9" s="542" customFormat="1" ht="12" customHeight="1" x14ac:dyDescent="0.2">
      <c r="A22" s="824" t="s">
        <v>560</v>
      </c>
      <c r="B22" s="825"/>
      <c r="C22" s="823">
        <v>2200</v>
      </c>
      <c r="D22" s="1794"/>
      <c r="E22" s="1796">
        <f>'Expenditures 15-22'!K47-SUM('Expenditures 15-22'!G47,'Expenditures 15-22'!I47)+'Expenditures 15-22'!D243</f>
        <v>866308</v>
      </c>
      <c r="F22" s="1794"/>
      <c r="G22" s="1797">
        <f>'Expenditures 15-22'!K47-SUM('Expenditures 15-22'!G47,'Expenditures 15-22'!I47)+'Expenditures 15-22'!D243</f>
        <v>866308</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946585</v>
      </c>
      <c r="F23" s="1794"/>
      <c r="G23" s="1796">
        <f>'Expenditures 15-22'!K53-SUM('Expenditures 15-22'!G53,'Expenditures 15-22'!I53)+'Expenditures 15-22'!D257+'Expenditures 15-22'!K330-SUM('Expenditures 15-22'!G330,'Expenditures 15-22'!I330)</f>
        <v>946585</v>
      </c>
      <c r="H23" s="817"/>
      <c r="I23" s="157"/>
    </row>
    <row r="24" spans="1:9" s="542" customFormat="1" ht="12" customHeight="1" x14ac:dyDescent="0.2">
      <c r="A24" s="824" t="s">
        <v>562</v>
      </c>
      <c r="B24" s="825"/>
      <c r="C24" s="823">
        <v>2400</v>
      </c>
      <c r="D24" s="1794"/>
      <c r="E24" s="1796">
        <f>'Expenditures 15-22'!K57-SUM('Expenditures 15-22'!G57,'Expenditures 15-22'!I57)+'Expenditures 15-22'!D261</f>
        <v>806764</v>
      </c>
      <c r="F24" s="1794"/>
      <c r="G24" s="1797">
        <f>'Expenditures 15-22'!K57-SUM('Expenditures 15-22'!G57,'Expenditures 15-22'!I57)+'Expenditures 15-22'!D261</f>
        <v>806764</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0</v>
      </c>
      <c r="E26" s="1796">
        <f>'Expenditures 15-22'!K122-SUM('Expenditures 15-22'!G122,'Expenditures 15-22'!I122)+E7</f>
        <v>0</v>
      </c>
      <c r="F26" s="1796">
        <f>'Expenditures 15-22'!K59-SUM('Expenditures 15-22'!G59,'Expenditures 15-22'!I59)+'Expenditures 15-22'!D263-E7</f>
        <v>0</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92095</v>
      </c>
      <c r="E27" s="1796">
        <f>E8</f>
        <v>0</v>
      </c>
      <c r="F27" s="1796">
        <f>'Expenditures 15-22'!K60-SUM('Expenditures 15-22'!G60,'Expenditures 15-22'!I60)+'Expenditures 15-22'!D264-E8</f>
        <v>92095</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1403975</v>
      </c>
      <c r="F28" s="1798">
        <f>'Expenditures 15-22'!K61-SUM('Expenditures 15-22'!G61,'Expenditures 15-22'!I61)+'Expenditures 15-22'!K124-SUM('Expenditures 15-22'!G124,'Expenditures 15-22'!I124)+'Expenditures 15-22'!D266-E9</f>
        <v>1403975</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470129</v>
      </c>
      <c r="F29" s="1794"/>
      <c r="G29" s="1797">
        <f>'Expenditures 15-22'!K62-SUM('Expenditures 15-22'!G62,'Expenditures 15-22'!I62)+'Expenditures 15-22'!K125-SUM('Expenditures 15-22'!G125,'Expenditures 15-22'!I125)+'Expenditures 15-22'!K182-SUM('Expenditures 15-22'!G182,'Expenditures 15-22'!I182)+'Expenditures 15-22'!D267</f>
        <v>470129</v>
      </c>
      <c r="H29" s="815"/>
    </row>
    <row r="30" spans="1:9" ht="12" customHeight="1" x14ac:dyDescent="0.2">
      <c r="A30" s="824" t="s">
        <v>100</v>
      </c>
      <c r="B30" s="827"/>
      <c r="C30" s="823">
        <v>2560</v>
      </c>
      <c r="D30" s="1794"/>
      <c r="E30" s="1796">
        <f>'Expenditures 15-22'!K63-SUM('Expenditures 15-22'!G63,'Expenditures 15-22'!I63)+'Expenditures 15-22'!D268-E10</f>
        <v>175086</v>
      </c>
      <c r="F30" s="1794"/>
      <c r="G30" s="1796">
        <f>'Expenditures 15-22'!K63-SUM('Expenditures 15-22'!G63,'Expenditures 15-22'!I63)+'Expenditures 15-22'!D268-E10</f>
        <v>175086</v>
      </c>
    </row>
    <row r="31" spans="1:9" ht="12" customHeight="1" x14ac:dyDescent="0.2">
      <c r="A31" s="824" t="s">
        <v>101</v>
      </c>
      <c r="B31" s="827"/>
      <c r="C31" s="82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1051</v>
      </c>
      <c r="B35" s="827"/>
      <c r="C35" s="823">
        <v>2630</v>
      </c>
      <c r="D35" s="1794"/>
      <c r="E35" s="1796">
        <f>'Expenditures 15-22'!K69-SUM('Expenditures 15-22'!G69,'Expenditures 15-22'!I69)+'Expenditures 15-22'!D274</f>
        <v>0</v>
      </c>
      <c r="F35" s="1794"/>
      <c r="G35" s="1796">
        <f>'Expenditures 15-22'!K69-SUM('Expenditures 15-22'!G69,'Expenditures 15-22'!I69)+'Expenditures 15-22'!D274</f>
        <v>0</v>
      </c>
    </row>
    <row r="36" spans="1:7" ht="12" customHeight="1" x14ac:dyDescent="0.2">
      <c r="A36" s="824" t="s">
        <v>400</v>
      </c>
      <c r="B36" s="827"/>
      <c r="C36" s="823">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824" t="s">
        <v>401</v>
      </c>
      <c r="B37" s="827"/>
      <c r="C37" s="823">
        <v>2660</v>
      </c>
      <c r="D37" s="1796">
        <f>'Expenditures 15-22'!K71-SUM('Expenditures 15-22'!G71,'Expenditures 15-22'!I71)+'Expenditures 15-22'!D276-E14</f>
        <v>540439</v>
      </c>
      <c r="E37" s="1796">
        <f>E14</f>
        <v>0</v>
      </c>
      <c r="F37" s="1796">
        <f>'Expenditures 15-22'!K71-SUM('Expenditures 15-22'!G71,'Expenditures 15-22'!I71)+'Expenditures 15-22'!D276-E14</f>
        <v>540439</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13773</v>
      </c>
      <c r="F38" s="1794"/>
      <c r="G38" s="1796">
        <f>'Expenditures 15-22'!K73-SUM('Expenditures 15-22'!G73,'Expenditures 15-22'!I73)+'Expenditures 15-22'!K128-SUM('Expenditures 15-22'!G128,'Expenditures 15-22'!I128)+'Expenditures 15-22'!K183-SUM('Expenditures 15-22'!G183,'Expenditures 15-22'!I183)+'Expenditures 15-22'!D278</f>
        <v>13773</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0</v>
      </c>
      <c r="F39" s="1794"/>
      <c r="G39" s="179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794"/>
      <c r="E40" s="1798">
        <f>-'Contracts Paid in CY 29'!F142</f>
        <v>0</v>
      </c>
      <c r="F40" s="1794"/>
      <c r="G40" s="1798">
        <f>-'Contracts Paid in CY 29'!F142</f>
        <v>0</v>
      </c>
    </row>
    <row r="41" spans="1:7" ht="12" customHeight="1" x14ac:dyDescent="0.2">
      <c r="A41" s="828" t="s">
        <v>155</v>
      </c>
      <c r="B41" s="829"/>
      <c r="C41" s="830"/>
      <c r="D41" s="1798">
        <f>SUM(D19:D39)</f>
        <v>632534</v>
      </c>
      <c r="E41" s="1798">
        <f>SUM(E19:E40)</f>
        <v>14831579</v>
      </c>
      <c r="F41" s="1798">
        <f>SUM(F19:F39)</f>
        <v>2036509</v>
      </c>
      <c r="G41" s="1798">
        <f>SUM(G19:G40)</f>
        <v>13427604</v>
      </c>
    </row>
    <row r="42" spans="1:7" x14ac:dyDescent="0.2">
      <c r="A42" s="817"/>
      <c r="B42" s="157"/>
      <c r="C42" s="831"/>
      <c r="D42" s="2398" t="s">
        <v>519</v>
      </c>
      <c r="E42" s="2399"/>
      <c r="F42" s="832" t="s">
        <v>520</v>
      </c>
      <c r="G42" s="833"/>
    </row>
    <row r="43" spans="1:7" ht="12" customHeight="1" x14ac:dyDescent="0.2">
      <c r="A43" s="817"/>
      <c r="B43" s="157"/>
      <c r="C43" s="831"/>
      <c r="D43" s="1451" t="s">
        <v>470</v>
      </c>
      <c r="E43" s="1799">
        <f>D41</f>
        <v>632534</v>
      </c>
      <c r="F43" s="1451" t="s">
        <v>470</v>
      </c>
      <c r="G43" s="1799">
        <f>F41</f>
        <v>2036509</v>
      </c>
    </row>
    <row r="44" spans="1:7" ht="12" customHeight="1" x14ac:dyDescent="0.2">
      <c r="A44" s="817"/>
      <c r="B44" s="157"/>
      <c r="C44" s="831"/>
      <c r="D44" s="1451" t="s">
        <v>471</v>
      </c>
      <c r="E44" s="1799">
        <f>E41</f>
        <v>14831579</v>
      </c>
      <c r="F44" s="1451" t="s">
        <v>471</v>
      </c>
      <c r="G44" s="1799">
        <f>G41</f>
        <v>13427604</v>
      </c>
    </row>
    <row r="45" spans="1:7" ht="12" customHeight="1" x14ac:dyDescent="0.2">
      <c r="A45" s="817"/>
      <c r="B45" s="157"/>
      <c r="C45" s="157"/>
      <c r="D45" s="1452" t="s">
        <v>998</v>
      </c>
      <c r="E45" s="1800">
        <f>(E43/E44)</f>
        <v>4.2647785512250583E-2</v>
      </c>
      <c r="F45" s="1452" t="s">
        <v>998</v>
      </c>
      <c r="G45" s="1800">
        <f>(G43/G44)</f>
        <v>0.15166585192711968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5" activePane="bottomLeft" state="frozen"/>
      <selection activeCell="A47" sqref="A47"/>
      <selection pane="bottomLeft" activeCell="F14" sqref="F14"/>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06" t="s">
        <v>1360</v>
      </c>
      <c r="B1" s="2406"/>
      <c r="C1" s="2406"/>
      <c r="D1" s="2406"/>
      <c r="E1" s="2406"/>
      <c r="F1" s="2406"/>
    </row>
    <row r="2" spans="1:15" x14ac:dyDescent="0.2">
      <c r="A2" s="1506" t="s">
        <v>1875</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07" t="s">
        <v>1526</v>
      </c>
      <c r="B5" s="2408"/>
      <c r="C5" s="2409"/>
      <c r="D5" s="2409"/>
      <c r="E5" s="2409"/>
      <c r="F5" s="2409"/>
      <c r="G5" s="1500"/>
      <c r="L5" s="1500"/>
      <c r="M5" s="1844"/>
      <c r="N5" s="1844"/>
      <c r="O5" s="1844"/>
    </row>
    <row r="6" spans="1:15" ht="12" customHeight="1" x14ac:dyDescent="0.25">
      <c r="A6" s="1473"/>
      <c r="B6" s="1474"/>
      <c r="C6" s="2410" t="str">
        <f>COVER!A17</f>
        <v xml:space="preserve"> Nippersink SD 2</v>
      </c>
      <c r="D6" s="2410"/>
      <c r="E6" s="2410"/>
      <c r="F6" s="1475"/>
      <c r="G6" s="1500"/>
      <c r="L6" s="1500"/>
      <c r="M6" s="1844"/>
      <c r="N6" s="1844"/>
      <c r="O6" s="1844"/>
    </row>
    <row r="7" spans="1:15" ht="11.25" customHeight="1" thickBot="1" x14ac:dyDescent="0.3">
      <c r="A7" s="1473"/>
      <c r="B7" s="1474"/>
      <c r="C7" s="2411">
        <f>COVER!A13</f>
        <v>44063002003</v>
      </c>
      <c r="D7" s="2411"/>
      <c r="E7" s="2411"/>
      <c r="F7" s="1475"/>
      <c r="G7" s="1500"/>
      <c r="L7" s="1500"/>
      <c r="M7" s="1844"/>
      <c r="N7" s="1844"/>
      <c r="O7" s="1844"/>
    </row>
    <row r="8" spans="1:15" ht="25.5" customHeight="1" thickBot="1" x14ac:dyDescent="0.25">
      <c r="A8" s="1512" t="s">
        <v>1871</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t="s">
        <v>2062</v>
      </c>
      <c r="D11" s="1488" t="s">
        <v>2062</v>
      </c>
      <c r="E11" s="1489" t="s">
        <v>2062</v>
      </c>
      <c r="F11" s="1490" t="s">
        <v>2093</v>
      </c>
      <c r="G11" s="1500"/>
      <c r="H11" s="1500">
        <f>IF(C11="X",5,0)</f>
        <v>5</v>
      </c>
      <c r="I11" s="1500">
        <f>IF(D11="X",5,0)</f>
        <v>5</v>
      </c>
      <c r="J11" s="1500">
        <f>IF(E11="X",5,0)</f>
        <v>5</v>
      </c>
      <c r="L11" s="1500"/>
      <c r="M11" s="1844"/>
      <c r="N11" s="1844"/>
      <c r="O11" s="1844"/>
    </row>
    <row r="12" spans="1:15" ht="12" customHeight="1" x14ac:dyDescent="0.2">
      <c r="A12" s="1486" t="s">
        <v>1365</v>
      </c>
      <c r="B12" s="1487"/>
      <c r="C12" s="1488"/>
      <c r="D12" s="1488"/>
      <c r="E12" s="1491"/>
      <c r="F12" s="1490"/>
      <c r="G12" s="1500"/>
      <c r="H12" s="1500">
        <f t="shared" ref="H12:H33" si="0">IF(C12="X",5,0)</f>
        <v>0</v>
      </c>
      <c r="I12" s="1500">
        <f t="shared" ref="I12:I33" si="1">IF(D12="X",5,0)</f>
        <v>0</v>
      </c>
      <c r="J12" s="1500">
        <f t="shared" ref="J12:J33" si="2">IF(E12="X",5,0)</f>
        <v>0</v>
      </c>
      <c r="L12" s="1500"/>
      <c r="M12" s="1844"/>
      <c r="N12" s="1844"/>
      <c r="O12" s="1844"/>
    </row>
    <row r="13" spans="1:15" ht="12" customHeight="1" x14ac:dyDescent="0.2">
      <c r="A13" s="1486" t="s">
        <v>1366</v>
      </c>
      <c r="B13" s="1487"/>
      <c r="C13" s="1488"/>
      <c r="D13" s="1488"/>
      <c r="E13" s="1491"/>
      <c r="F13" s="1490"/>
      <c r="G13" s="1500"/>
      <c r="H13" s="1500">
        <f t="shared" si="0"/>
        <v>0</v>
      </c>
      <c r="I13" s="1500">
        <f t="shared" si="1"/>
        <v>0</v>
      </c>
      <c r="J13" s="1500">
        <f t="shared" si="2"/>
        <v>0</v>
      </c>
      <c r="L13" s="1500"/>
      <c r="M13" s="1844"/>
      <c r="N13" s="1844"/>
      <c r="O13" s="1844"/>
    </row>
    <row r="14" spans="1:15" ht="12" customHeight="1" x14ac:dyDescent="0.2">
      <c r="A14" s="1486" t="s">
        <v>1367</v>
      </c>
      <c r="B14" s="1487"/>
      <c r="C14" s="1488" t="s">
        <v>2062</v>
      </c>
      <c r="D14" s="1488" t="s">
        <v>2062</v>
      </c>
      <c r="E14" s="1491" t="s">
        <v>2062</v>
      </c>
      <c r="F14" s="1490" t="s">
        <v>2094</v>
      </c>
      <c r="G14" s="1500"/>
      <c r="H14" s="1500">
        <f t="shared" si="0"/>
        <v>5</v>
      </c>
      <c r="I14" s="1500">
        <f t="shared" si="1"/>
        <v>5</v>
      </c>
      <c r="J14" s="1500">
        <f t="shared" si="2"/>
        <v>5</v>
      </c>
      <c r="L14" s="1500"/>
      <c r="M14" s="1844"/>
      <c r="N14" s="1844"/>
      <c r="O14" s="1844"/>
    </row>
    <row r="15" spans="1:15" ht="12" customHeight="1" x14ac:dyDescent="0.2">
      <c r="A15" s="1486" t="s">
        <v>1368</v>
      </c>
      <c r="B15" s="1487"/>
      <c r="C15" s="1488"/>
      <c r="D15" s="1488"/>
      <c r="E15" s="1491"/>
      <c r="F15" s="1490"/>
      <c r="G15" s="1500"/>
      <c r="H15" s="1500">
        <f t="shared" si="0"/>
        <v>0</v>
      </c>
      <c r="I15" s="1500">
        <f t="shared" si="1"/>
        <v>0</v>
      </c>
      <c r="J15" s="1500">
        <f t="shared" si="2"/>
        <v>0</v>
      </c>
      <c r="L15" s="1500"/>
      <c r="M15" s="1844"/>
      <c r="N15" s="1844"/>
      <c r="O15" s="1844"/>
    </row>
    <row r="16" spans="1:15" ht="12" customHeight="1" x14ac:dyDescent="0.2">
      <c r="A16" s="1486" t="s">
        <v>1369</v>
      </c>
      <c r="B16" s="1487"/>
      <c r="C16" s="1488"/>
      <c r="D16" s="1488"/>
      <c r="E16" s="1491"/>
      <c r="F16" s="1490"/>
      <c r="G16" s="1500"/>
      <c r="H16" s="1500">
        <f t="shared" si="0"/>
        <v>0</v>
      </c>
      <c r="I16" s="1500">
        <f t="shared" si="1"/>
        <v>0</v>
      </c>
      <c r="J16" s="1500">
        <f t="shared" si="2"/>
        <v>0</v>
      </c>
      <c r="L16" s="1500"/>
      <c r="M16" s="1844"/>
      <c r="N16" s="1844"/>
      <c r="O16" s="1844"/>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1371</v>
      </c>
      <c r="B18" s="1487"/>
      <c r="C18" s="1488"/>
      <c r="D18" s="1488"/>
      <c r="E18" s="1491"/>
      <c r="F18" s="1490"/>
      <c r="G18" s="1500"/>
      <c r="H18" s="1500">
        <f t="shared" si="0"/>
        <v>0</v>
      </c>
      <c r="I18" s="1500">
        <f t="shared" si="1"/>
        <v>0</v>
      </c>
      <c r="J18" s="1500">
        <f t="shared" si="2"/>
        <v>0</v>
      </c>
      <c r="L18" s="1500"/>
      <c r="M18" s="1844"/>
      <c r="N18" s="1844"/>
      <c r="O18" s="1844"/>
    </row>
    <row r="19" spans="1:15" ht="12" customHeight="1" x14ac:dyDescent="0.2">
      <c r="A19" s="1486" t="s">
        <v>1507</v>
      </c>
      <c r="B19" s="1487"/>
      <c r="C19" s="1488" t="s">
        <v>2062</v>
      </c>
      <c r="D19" s="1488" t="s">
        <v>2062</v>
      </c>
      <c r="E19" s="1491" t="s">
        <v>2062</v>
      </c>
      <c r="F19" s="1490" t="s">
        <v>2067</v>
      </c>
      <c r="G19" s="1500"/>
      <c r="H19" s="1500">
        <f t="shared" si="0"/>
        <v>5</v>
      </c>
      <c r="I19" s="1500">
        <f t="shared" si="1"/>
        <v>5</v>
      </c>
      <c r="J19" s="1500">
        <f t="shared" si="2"/>
        <v>5</v>
      </c>
      <c r="L19" s="1500"/>
      <c r="M19" s="1844"/>
      <c r="N19" s="1844"/>
      <c r="O19" s="1844"/>
    </row>
    <row r="20" spans="1:15" ht="12" customHeight="1" x14ac:dyDescent="0.2">
      <c r="A20" s="1486" t="s">
        <v>1508</v>
      </c>
      <c r="B20" s="1487"/>
      <c r="C20" s="1488"/>
      <c r="D20" s="1488"/>
      <c r="E20" s="1491"/>
      <c r="F20" s="1490"/>
      <c r="G20" s="1500"/>
      <c r="H20" s="1500">
        <f t="shared" si="0"/>
        <v>0</v>
      </c>
      <c r="I20" s="1500">
        <f t="shared" si="1"/>
        <v>0</v>
      </c>
      <c r="J20" s="1500">
        <f t="shared" si="2"/>
        <v>0</v>
      </c>
      <c r="L20" s="1500"/>
      <c r="M20" s="1844"/>
      <c r="N20" s="1844"/>
      <c r="O20" s="1844"/>
    </row>
    <row r="21" spans="1:15" ht="12" customHeight="1" x14ac:dyDescent="0.2">
      <c r="A21" s="1486" t="s">
        <v>1509</v>
      </c>
      <c r="B21" s="1487"/>
      <c r="C21" s="1488"/>
      <c r="D21" s="1488"/>
      <c r="E21" s="1491"/>
      <c r="F21" s="1490"/>
      <c r="G21" s="1500"/>
      <c r="H21" s="1500">
        <f t="shared" si="0"/>
        <v>0</v>
      </c>
      <c r="I21" s="1500">
        <f t="shared" si="1"/>
        <v>0</v>
      </c>
      <c r="J21" s="1500">
        <f t="shared" si="2"/>
        <v>0</v>
      </c>
      <c r="L21" s="1500"/>
      <c r="M21" s="1844"/>
      <c r="N21" s="1844"/>
      <c r="O21" s="1844"/>
    </row>
    <row r="22" spans="1:15" ht="12" customHeight="1" x14ac:dyDescent="0.2">
      <c r="A22" s="1486" t="s">
        <v>1510</v>
      </c>
      <c r="B22" s="1487"/>
      <c r="C22" s="1488"/>
      <c r="D22" s="1488"/>
      <c r="E22" s="1491"/>
      <c r="F22" s="1490"/>
      <c r="G22" s="1500"/>
      <c r="H22" s="1500">
        <f t="shared" si="0"/>
        <v>0</v>
      </c>
      <c r="I22" s="1500">
        <f t="shared" si="1"/>
        <v>0</v>
      </c>
      <c r="J22" s="1500">
        <f t="shared" si="2"/>
        <v>0</v>
      </c>
      <c r="L22" s="1500"/>
      <c r="M22" s="1844"/>
      <c r="N22" s="1844"/>
      <c r="O22" s="1844"/>
    </row>
    <row r="23" spans="1:15" ht="12" customHeight="1" x14ac:dyDescent="0.2">
      <c r="A23" s="1486" t="s">
        <v>1511</v>
      </c>
      <c r="B23" s="1487"/>
      <c r="C23" s="1488"/>
      <c r="D23" s="1488"/>
      <c r="E23" s="1491"/>
      <c r="F23" s="1490"/>
      <c r="G23" s="1500"/>
      <c r="H23" s="1500">
        <f t="shared" si="0"/>
        <v>0</v>
      </c>
      <c r="I23" s="1500">
        <f t="shared" si="1"/>
        <v>0</v>
      </c>
      <c r="J23" s="1500">
        <f t="shared" si="2"/>
        <v>0</v>
      </c>
      <c r="L23" s="1500"/>
      <c r="M23" s="1844"/>
      <c r="N23" s="1844"/>
      <c r="O23" s="1844"/>
    </row>
    <row r="24" spans="1:15" ht="12" customHeight="1" x14ac:dyDescent="0.2">
      <c r="A24" s="1486" t="s">
        <v>1512</v>
      </c>
      <c r="B24" s="1487"/>
      <c r="C24" s="1488"/>
      <c r="D24" s="1488"/>
      <c r="E24" s="1491"/>
      <c r="F24" s="1490"/>
      <c r="G24" s="1500"/>
      <c r="H24" s="1500">
        <f t="shared" si="0"/>
        <v>0</v>
      </c>
      <c r="I24" s="1500">
        <f t="shared" si="1"/>
        <v>0</v>
      </c>
      <c r="J24" s="1500">
        <f t="shared" si="2"/>
        <v>0</v>
      </c>
      <c r="L24" s="1500"/>
      <c r="M24" s="1844"/>
      <c r="N24" s="1844"/>
      <c r="O24" s="1844"/>
    </row>
    <row r="25" spans="1:15" ht="12" customHeight="1" x14ac:dyDescent="0.2">
      <c r="A25" s="1486" t="s">
        <v>1513</v>
      </c>
      <c r="B25" s="1487"/>
      <c r="C25" s="1488" t="s">
        <v>2062</v>
      </c>
      <c r="D25" s="1488" t="s">
        <v>2062</v>
      </c>
      <c r="E25" s="1491" t="s">
        <v>2062</v>
      </c>
      <c r="F25" s="1490" t="s">
        <v>2068</v>
      </c>
      <c r="G25" s="1500"/>
      <c r="H25" s="1500">
        <f t="shared" si="0"/>
        <v>5</v>
      </c>
      <c r="I25" s="1500">
        <f t="shared" si="1"/>
        <v>5</v>
      </c>
      <c r="J25" s="1500">
        <f t="shared" si="2"/>
        <v>5</v>
      </c>
      <c r="L25" s="1500"/>
      <c r="M25" s="1844"/>
      <c r="N25" s="1844"/>
      <c r="O25" s="1844"/>
    </row>
    <row r="26" spans="1:15" ht="12" customHeight="1" x14ac:dyDescent="0.2">
      <c r="A26" s="1486" t="s">
        <v>1514</v>
      </c>
      <c r="B26" s="1487"/>
      <c r="C26" s="1488" t="s">
        <v>2062</v>
      </c>
      <c r="D26" s="1488" t="s">
        <v>2062</v>
      </c>
      <c r="E26" s="1491" t="s">
        <v>2062</v>
      </c>
      <c r="F26" s="1490" t="s">
        <v>2069</v>
      </c>
      <c r="G26" s="1500"/>
      <c r="H26" s="1500">
        <f t="shared" si="0"/>
        <v>5</v>
      </c>
      <c r="I26" s="1500">
        <f t="shared" si="1"/>
        <v>5</v>
      </c>
      <c r="J26" s="1500">
        <f t="shared" si="2"/>
        <v>5</v>
      </c>
      <c r="L26" s="1500"/>
      <c r="M26" s="1844"/>
      <c r="N26" s="1844"/>
      <c r="O26" s="1844"/>
    </row>
    <row r="27" spans="1:15" ht="18.75" x14ac:dyDescent="0.2">
      <c r="A27" s="1486" t="s">
        <v>1515</v>
      </c>
      <c r="B27" s="1487"/>
      <c r="C27" s="1488"/>
      <c r="D27" s="1488"/>
      <c r="E27" s="1491"/>
      <c r="F27" s="1490"/>
      <c r="G27" s="1500"/>
      <c r="H27" s="1500">
        <f t="shared" si="0"/>
        <v>0</v>
      </c>
      <c r="I27" s="1500">
        <f t="shared" si="1"/>
        <v>0</v>
      </c>
      <c r="J27" s="1500">
        <f t="shared" si="2"/>
        <v>0</v>
      </c>
      <c r="L27" s="1500"/>
      <c r="M27" s="1844"/>
      <c r="N27" s="1844"/>
      <c r="O27" s="1844"/>
    </row>
    <row r="28" spans="1:15" ht="12" customHeight="1" x14ac:dyDescent="0.2">
      <c r="A28" s="1486" t="s">
        <v>1516</v>
      </c>
      <c r="B28" s="1487"/>
      <c r="C28" s="1488"/>
      <c r="D28" s="1488"/>
      <c r="E28" s="1491"/>
      <c r="F28" s="1490"/>
      <c r="G28" s="1500"/>
      <c r="H28" s="1500">
        <f t="shared" si="0"/>
        <v>0</v>
      </c>
      <c r="I28" s="1500">
        <f t="shared" si="1"/>
        <v>0</v>
      </c>
      <c r="J28" s="1500">
        <f t="shared" si="2"/>
        <v>0</v>
      </c>
      <c r="L28" s="1500"/>
      <c r="M28" s="1844"/>
      <c r="N28" s="1844"/>
      <c r="O28" s="1844"/>
    </row>
    <row r="29" spans="1:15" ht="12" customHeight="1" x14ac:dyDescent="0.2">
      <c r="A29" s="1486" t="s">
        <v>1517</v>
      </c>
      <c r="B29" s="1487"/>
      <c r="C29" s="1488"/>
      <c r="D29" s="1488"/>
      <c r="E29" s="1491"/>
      <c r="F29" s="1490"/>
      <c r="G29" s="1500"/>
      <c r="H29" s="1500">
        <f t="shared" si="0"/>
        <v>0</v>
      </c>
      <c r="I29" s="1500">
        <f t="shared" si="1"/>
        <v>0</v>
      </c>
      <c r="J29" s="1500">
        <f t="shared" si="2"/>
        <v>0</v>
      </c>
      <c r="L29" s="1500"/>
      <c r="M29" s="1844"/>
      <c r="N29" s="1844"/>
      <c r="O29" s="1844"/>
    </row>
    <row r="30" spans="1:15" ht="12" customHeight="1" x14ac:dyDescent="0.2">
      <c r="A30" s="1486" t="s">
        <v>1518</v>
      </c>
      <c r="B30" s="1487"/>
      <c r="C30" s="1488" t="s">
        <v>2062</v>
      </c>
      <c r="D30" s="1488" t="s">
        <v>2062</v>
      </c>
      <c r="E30" s="1491" t="s">
        <v>2062</v>
      </c>
      <c r="F30" s="1490" t="s">
        <v>2068</v>
      </c>
      <c r="G30" s="1500"/>
      <c r="H30" s="1500">
        <f t="shared" si="0"/>
        <v>5</v>
      </c>
      <c r="I30" s="1500">
        <f t="shared" si="1"/>
        <v>5</v>
      </c>
      <c r="J30" s="1500">
        <f t="shared" si="2"/>
        <v>5</v>
      </c>
      <c r="L30" s="1500"/>
      <c r="M30" s="1844"/>
      <c r="N30" s="1844"/>
      <c r="O30" s="1844"/>
    </row>
    <row r="31" spans="1:15" ht="12" customHeight="1" x14ac:dyDescent="0.2">
      <c r="A31" s="1486" t="s">
        <v>1519</v>
      </c>
      <c r="B31" s="1487"/>
      <c r="C31" s="1488"/>
      <c r="D31" s="1488"/>
      <c r="E31" s="1491"/>
      <c r="F31" s="1490"/>
      <c r="G31" s="1500"/>
      <c r="H31" s="1500">
        <f t="shared" si="0"/>
        <v>0</v>
      </c>
      <c r="I31" s="1500">
        <f t="shared" si="1"/>
        <v>0</v>
      </c>
      <c r="J31" s="1500">
        <f t="shared" si="2"/>
        <v>0</v>
      </c>
      <c r="L31" s="1845"/>
      <c r="M31" s="1844"/>
      <c r="N31" s="1844"/>
      <c r="O31" s="1844"/>
    </row>
    <row r="32" spans="1:15" ht="12" customHeight="1" x14ac:dyDescent="0.2">
      <c r="A32" s="1486" t="s">
        <v>1520</v>
      </c>
      <c r="B32" s="1487"/>
      <c r="C32" s="1488"/>
      <c r="D32" s="1488"/>
      <c r="E32" s="1491"/>
      <c r="F32" s="1490"/>
      <c r="G32" s="1500"/>
      <c r="H32" s="1500">
        <f t="shared" si="0"/>
        <v>0</v>
      </c>
      <c r="I32" s="1500">
        <f t="shared" si="1"/>
        <v>0</v>
      </c>
      <c r="J32" s="1500">
        <f t="shared" si="2"/>
        <v>0</v>
      </c>
      <c r="L32" s="1500"/>
      <c r="M32" s="1844"/>
      <c r="N32" s="1844"/>
      <c r="O32" s="1844"/>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30</v>
      </c>
      <c r="I34" s="1500">
        <f>SUM(I11:I32)</f>
        <v>30</v>
      </c>
      <c r="J34" s="1500">
        <f>SUM(J11:J32)</f>
        <v>30</v>
      </c>
      <c r="K34" s="1500">
        <f>SUM(H34:J34)</f>
        <v>90</v>
      </c>
      <c r="L34" s="1500"/>
      <c r="M34" s="1844"/>
      <c r="N34" s="1844"/>
      <c r="O34" s="1844"/>
    </row>
    <row r="35" spans="1:15" ht="12" customHeight="1" x14ac:dyDescent="0.2">
      <c r="A35" s="1493" t="s">
        <v>1373</v>
      </c>
      <c r="B35" s="1494"/>
      <c r="C35" s="2412"/>
      <c r="D35" s="2412"/>
      <c r="E35" s="2412"/>
      <c r="F35" s="2413"/>
    </row>
    <row r="36" spans="1:15" ht="12" customHeight="1" x14ac:dyDescent="0.2">
      <c r="A36" s="2403"/>
      <c r="B36" s="2404"/>
      <c r="C36" s="2404"/>
      <c r="D36" s="2404"/>
      <c r="E36" s="2404"/>
      <c r="F36" s="2405"/>
    </row>
    <row r="37" spans="1:15" ht="12" customHeight="1" x14ac:dyDescent="0.2">
      <c r="A37" s="2403"/>
      <c r="B37" s="2404"/>
      <c r="C37" s="2404"/>
      <c r="D37" s="2404"/>
      <c r="E37" s="2404"/>
      <c r="F37" s="2405"/>
    </row>
    <row r="38" spans="1:15" ht="12" customHeight="1" x14ac:dyDescent="0.2">
      <c r="A38" s="2417"/>
      <c r="B38" s="2418"/>
      <c r="C38" s="2418"/>
      <c r="D38" s="2418"/>
      <c r="E38" s="2418"/>
      <c r="F38" s="2419"/>
    </row>
    <row r="39" spans="1:15" ht="4.5" hidden="1" customHeight="1" x14ac:dyDescent="0.2">
      <c r="A39" s="1495"/>
      <c r="B39" s="1495"/>
      <c r="C39" s="1495"/>
      <c r="D39" s="1495"/>
      <c r="E39" s="1495"/>
      <c r="F39" s="1495"/>
    </row>
    <row r="40" spans="1:15" s="1492" customFormat="1" ht="12" customHeight="1" x14ac:dyDescent="0.25">
      <c r="A40" s="1496" t="s">
        <v>1372</v>
      </c>
      <c r="B40" s="1497"/>
      <c r="C40" s="2420"/>
      <c r="D40" s="2420"/>
      <c r="E40" s="2420"/>
      <c r="F40" s="2421"/>
      <c r="H40" s="1501"/>
      <c r="I40" s="1501"/>
      <c r="J40" s="1501"/>
      <c r="K40" s="1501"/>
    </row>
    <row r="41" spans="1:15" s="1492" customFormat="1" ht="12" customHeight="1" x14ac:dyDescent="0.25">
      <c r="A41" s="2422"/>
      <c r="B41" s="2423"/>
      <c r="C41" s="2423"/>
      <c r="D41" s="2423"/>
      <c r="E41" s="2423"/>
      <c r="F41" s="2424"/>
      <c r="H41" s="1501"/>
      <c r="I41" s="1501"/>
      <c r="J41" s="1501"/>
      <c r="K41" s="1501"/>
    </row>
    <row r="42" spans="1:15" s="1492" customFormat="1" ht="12" customHeight="1" x14ac:dyDescent="0.25">
      <c r="A42" s="2422"/>
      <c r="B42" s="2423"/>
      <c r="C42" s="2423"/>
      <c r="D42" s="2423"/>
      <c r="E42" s="2423"/>
      <c r="F42" s="2424"/>
      <c r="H42" s="1501"/>
      <c r="I42" s="1501"/>
      <c r="J42" s="1501"/>
      <c r="K42" s="1501"/>
    </row>
    <row r="43" spans="1:15" s="1492" customFormat="1" ht="15" x14ac:dyDescent="0.25">
      <c r="A43" s="2414"/>
      <c r="B43" s="2415"/>
      <c r="C43" s="2415"/>
      <c r="D43" s="2415"/>
      <c r="E43" s="2415"/>
      <c r="F43" s="2416"/>
      <c r="H43" s="1501"/>
      <c r="I43" s="1501"/>
      <c r="J43" s="1501"/>
      <c r="K43" s="1501"/>
    </row>
    <row r="44" spans="1:15" s="1492" customFormat="1" ht="12" hidden="1" customHeight="1" x14ac:dyDescent="0.25">
      <c r="A44" s="2414"/>
      <c r="B44" s="2415"/>
      <c r="C44" s="2415"/>
      <c r="D44" s="2415"/>
      <c r="E44" s="2415"/>
      <c r="F44" s="2416"/>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2D050"/>
  </sheetPr>
  <dimension ref="A1:N72"/>
  <sheetViews>
    <sheetView showGridLines="0" topLeftCell="A52" zoomScaleNormal="100" workbookViewId="0">
      <selection activeCell="L20" sqref="L20"/>
    </sheetView>
  </sheetViews>
  <sheetFormatPr defaultRowHeight="15" x14ac:dyDescent="0.25"/>
  <cols>
    <col min="1" max="1" width="2.7109375" style="1925" customWidth="1"/>
    <col min="2" max="2" width="3" style="1925" customWidth="1"/>
    <col min="3" max="3" width="38" style="1925" customWidth="1"/>
    <col min="4" max="4" width="7.7109375" style="1925" customWidth="1"/>
    <col min="5" max="5" width="10.7109375" style="1925" customWidth="1"/>
    <col min="6" max="6" width="11" style="1925" customWidth="1"/>
    <col min="7" max="8" width="9.140625" style="1925"/>
    <col min="9" max="9" width="10.85546875" style="1925" customWidth="1"/>
    <col min="10" max="10" width="12.42578125" style="1925" customWidth="1"/>
    <col min="11" max="11" width="9.140625" style="1925"/>
    <col min="12" max="12" width="13.140625" style="1925" customWidth="1"/>
    <col min="13" max="13" width="9.140625" style="1925"/>
    <col min="14" max="14" width="17.85546875" style="1925" customWidth="1"/>
    <col min="15" max="16384" width="9.140625" style="1925"/>
  </cols>
  <sheetData>
    <row r="1" spans="1:14" x14ac:dyDescent="0.25">
      <c r="A1" s="2039"/>
      <c r="B1" s="2036"/>
      <c r="C1" s="2036"/>
      <c r="D1" s="2036"/>
      <c r="E1" s="2036"/>
      <c r="F1" s="2036"/>
      <c r="G1" s="2038" t="s">
        <v>402</v>
      </c>
      <c r="H1" s="2037"/>
      <c r="I1" s="2036"/>
      <c r="J1" s="2036"/>
      <c r="K1" s="2036"/>
      <c r="L1" s="2036"/>
      <c r="M1" s="2036"/>
      <c r="N1" s="2035"/>
    </row>
    <row r="2" spans="1:14" x14ac:dyDescent="0.25">
      <c r="A2" s="1968"/>
      <c r="B2" s="847"/>
      <c r="C2" s="847"/>
      <c r="D2" s="847"/>
      <c r="E2" s="847"/>
      <c r="F2" s="847"/>
      <c r="G2" s="1924" t="s">
        <v>1999</v>
      </c>
      <c r="H2" s="2034"/>
      <c r="I2" s="847"/>
      <c r="J2" s="847"/>
      <c r="K2" s="847"/>
      <c r="L2" s="847"/>
      <c r="M2" s="847"/>
      <c r="N2" s="1967"/>
    </row>
    <row r="3" spans="1:14" x14ac:dyDescent="0.25">
      <c r="A3" s="1968"/>
      <c r="B3" s="847"/>
      <c r="C3" s="847"/>
      <c r="D3" s="847"/>
      <c r="E3" s="847"/>
      <c r="F3" s="847"/>
      <c r="G3" s="1924" t="s">
        <v>403</v>
      </c>
      <c r="H3" s="847"/>
      <c r="I3" s="847"/>
      <c r="J3" s="847"/>
      <c r="K3" s="847"/>
      <c r="L3" s="847"/>
      <c r="M3" s="847"/>
      <c r="N3" s="1967"/>
    </row>
    <row r="4" spans="1:14" x14ac:dyDescent="0.25">
      <c r="A4" s="1968"/>
      <c r="B4" s="847"/>
      <c r="C4" s="847"/>
      <c r="D4" s="847"/>
      <c r="E4" s="847"/>
      <c r="F4" s="847"/>
      <c r="G4" s="1924" t="s">
        <v>862</v>
      </c>
      <c r="H4" s="847"/>
      <c r="I4" s="847"/>
      <c r="J4" s="847"/>
      <c r="K4" s="847"/>
      <c r="L4" s="847"/>
      <c r="M4" s="847"/>
      <c r="N4" s="1967"/>
    </row>
    <row r="5" spans="1:14" x14ac:dyDescent="0.25">
      <c r="A5" s="1968"/>
      <c r="B5" s="847"/>
      <c r="C5" s="847"/>
      <c r="D5" s="847"/>
      <c r="E5" s="847"/>
      <c r="F5" s="1924"/>
      <c r="G5" s="1924"/>
      <c r="H5" s="847"/>
      <c r="I5" s="847"/>
      <c r="J5" s="847"/>
      <c r="K5" s="847"/>
      <c r="L5" s="847"/>
      <c r="M5" s="847"/>
      <c r="N5" s="1967"/>
    </row>
    <row r="6" spans="1:14" x14ac:dyDescent="0.25">
      <c r="A6" s="2033" t="s">
        <v>667</v>
      </c>
      <c r="B6" s="1370"/>
      <c r="C6" s="1370"/>
      <c r="D6" s="1370"/>
      <c r="E6" s="1371"/>
      <c r="F6" s="2032"/>
      <c r="G6" s="1924"/>
      <c r="H6" s="847"/>
      <c r="I6" s="1956" t="s">
        <v>1020</v>
      </c>
      <c r="J6" s="2467" t="str">
        <f>COVER!A17</f>
        <v xml:space="preserve"> Nippersink SD 2</v>
      </c>
      <c r="K6" s="2467"/>
      <c r="L6" s="2468"/>
      <c r="M6" s="847"/>
      <c r="N6" s="1967"/>
    </row>
    <row r="7" spans="1:14" x14ac:dyDescent="0.25">
      <c r="A7" s="2469" t="s">
        <v>863</v>
      </c>
      <c r="B7" s="2470"/>
      <c r="C7" s="2470"/>
      <c r="D7" s="2470"/>
      <c r="E7" s="2471"/>
      <c r="F7" s="2031"/>
      <c r="G7" s="847"/>
      <c r="H7" s="847"/>
      <c r="I7" s="1956" t="s">
        <v>369</v>
      </c>
      <c r="J7" s="2472">
        <f>COVER!A13</f>
        <v>44063002003</v>
      </c>
      <c r="K7" s="2472"/>
      <c r="L7" s="2472"/>
      <c r="M7" s="847"/>
      <c r="N7" s="1967"/>
    </row>
    <row r="8" spans="1:14" x14ac:dyDescent="0.25">
      <c r="A8" s="2030"/>
      <c r="B8" s="2029"/>
      <c r="C8" s="2029"/>
      <c r="D8" s="2029"/>
      <c r="E8" s="2028"/>
      <c r="F8" s="2027"/>
      <c r="G8" s="2026"/>
      <c r="H8" s="2026"/>
      <c r="I8" s="2026"/>
      <c r="J8" s="2026"/>
      <c r="K8" s="2026"/>
      <c r="L8" s="2026"/>
      <c r="M8" s="847"/>
      <c r="N8" s="1967"/>
    </row>
    <row r="9" spans="1:14" x14ac:dyDescent="0.25">
      <c r="A9" s="2025"/>
      <c r="B9" s="2024"/>
      <c r="C9" s="2024"/>
      <c r="D9" s="2023"/>
      <c r="E9" s="2022" t="s">
        <v>2059</v>
      </c>
      <c r="F9" s="2020"/>
      <c r="G9" s="2020"/>
      <c r="H9" s="2020"/>
      <c r="I9" s="2021" t="s">
        <v>2058</v>
      </c>
      <c r="J9" s="2020"/>
      <c r="K9" s="2020"/>
      <c r="L9" s="2019"/>
      <c r="M9" s="847"/>
      <c r="N9" s="1967"/>
    </row>
    <row r="10" spans="1:14" x14ac:dyDescent="0.25">
      <c r="A10" s="1968"/>
      <c r="B10" s="847"/>
      <c r="C10" s="1924"/>
      <c r="D10" s="2018"/>
      <c r="E10" s="2017" t="s">
        <v>422</v>
      </c>
      <c r="F10" s="2014" t="s">
        <v>423</v>
      </c>
      <c r="G10" s="2015" t="s">
        <v>429</v>
      </c>
      <c r="H10" s="2016"/>
      <c r="I10" s="2014" t="s">
        <v>422</v>
      </c>
      <c r="J10" s="2014" t="s">
        <v>423</v>
      </c>
      <c r="K10" s="2015" t="s">
        <v>429</v>
      </c>
      <c r="L10" s="2014"/>
      <c r="M10" s="847"/>
      <c r="N10" s="1967"/>
    </row>
    <row r="11" spans="1:14" ht="51" x14ac:dyDescent="0.25">
      <c r="A11" s="2473" t="s">
        <v>478</v>
      </c>
      <c r="B11" s="2474"/>
      <c r="C11" s="2475"/>
      <c r="D11" s="2013" t="s">
        <v>865</v>
      </c>
      <c r="E11" s="2013" t="s">
        <v>64</v>
      </c>
      <c r="F11" s="2013" t="s">
        <v>6</v>
      </c>
      <c r="G11" s="2012" t="s">
        <v>2057</v>
      </c>
      <c r="H11" s="2011" t="s">
        <v>155</v>
      </c>
      <c r="I11" s="2013" t="s">
        <v>64</v>
      </c>
      <c r="J11" s="2013" t="s">
        <v>6</v>
      </c>
      <c r="K11" s="2012" t="s">
        <v>1998</v>
      </c>
      <c r="L11" s="2011" t="s">
        <v>155</v>
      </c>
      <c r="M11" s="847"/>
      <c r="N11" s="1967"/>
    </row>
    <row r="12" spans="1:14" x14ac:dyDescent="0.25">
      <c r="A12" s="1997">
        <v>1</v>
      </c>
      <c r="B12" s="2009" t="s">
        <v>812</v>
      </c>
      <c r="C12" s="2008"/>
      <c r="D12" s="2007">
        <v>2320</v>
      </c>
      <c r="E12" s="2006">
        <f>'Expenditures 15-22'!K50</f>
        <v>631212</v>
      </c>
      <c r="F12" s="2004"/>
      <c r="G12" s="2005">
        <f>G68</f>
        <v>0</v>
      </c>
      <c r="H12" s="2001">
        <f t="shared" ref="H12:H18" si="0">SUM(E12:G12)</f>
        <v>631212</v>
      </c>
      <c r="I12" s="2002">
        <v>615000</v>
      </c>
      <c r="J12" s="2004"/>
      <c r="K12" s="2002"/>
      <c r="L12" s="2001">
        <f t="shared" ref="L12:L18" si="1">SUM(I12:K12)</f>
        <v>615000</v>
      </c>
      <c r="M12" s="847"/>
      <c r="N12" s="1967"/>
    </row>
    <row r="13" spans="1:14" x14ac:dyDescent="0.25">
      <c r="A13" s="1997">
        <v>2</v>
      </c>
      <c r="B13" s="2009" t="s">
        <v>42</v>
      </c>
      <c r="C13" s="2008"/>
      <c r="D13" s="2007">
        <v>2330</v>
      </c>
      <c r="E13" s="2006">
        <f>'Expenditures 15-22'!K51</f>
        <v>0</v>
      </c>
      <c r="F13" s="2004"/>
      <c r="G13" s="2005">
        <f>H68</f>
        <v>0</v>
      </c>
      <c r="H13" s="2001">
        <f t="shared" si="0"/>
        <v>0</v>
      </c>
      <c r="I13" s="2002"/>
      <c r="J13" s="2004"/>
      <c r="K13" s="2002"/>
      <c r="L13" s="2001">
        <f t="shared" si="1"/>
        <v>0</v>
      </c>
      <c r="M13" s="847"/>
      <c r="N13" s="1967"/>
    </row>
    <row r="14" spans="1:14" x14ac:dyDescent="0.25">
      <c r="A14" s="1997">
        <v>3</v>
      </c>
      <c r="B14" s="2009" t="s">
        <v>43</v>
      </c>
      <c r="C14" s="2008"/>
      <c r="D14" s="2010">
        <v>2490</v>
      </c>
      <c r="E14" s="2006">
        <f>'Expenditures 15-22'!K56</f>
        <v>87283</v>
      </c>
      <c r="F14" s="2004"/>
      <c r="G14" s="2005">
        <f>I68</f>
        <v>0</v>
      </c>
      <c r="H14" s="2001">
        <f t="shared" si="0"/>
        <v>87283</v>
      </c>
      <c r="I14" s="2002">
        <v>100000</v>
      </c>
      <c r="J14" s="2004"/>
      <c r="K14" s="2002"/>
      <c r="L14" s="2001">
        <f t="shared" si="1"/>
        <v>100000</v>
      </c>
      <c r="M14" s="847"/>
      <c r="N14" s="1967"/>
    </row>
    <row r="15" spans="1:14" x14ac:dyDescent="0.25">
      <c r="A15" s="1997">
        <v>4</v>
      </c>
      <c r="B15" s="2009" t="s">
        <v>1058</v>
      </c>
      <c r="C15" s="2008"/>
      <c r="D15" s="2007">
        <v>2510</v>
      </c>
      <c r="E15" s="2006">
        <f>'Expenditures 15-22'!K59</f>
        <v>0</v>
      </c>
      <c r="F15" s="2006">
        <f>'Expenditures 15-22'!K122</f>
        <v>0</v>
      </c>
      <c r="G15" s="2005">
        <f>J68</f>
        <v>0</v>
      </c>
      <c r="H15" s="2001">
        <f t="shared" si="0"/>
        <v>0</v>
      </c>
      <c r="I15" s="2002"/>
      <c r="J15" s="2002"/>
      <c r="K15" s="2002"/>
      <c r="L15" s="2001">
        <f t="shared" si="1"/>
        <v>0</v>
      </c>
      <c r="M15" s="847"/>
      <c r="N15" s="1967"/>
    </row>
    <row r="16" spans="1:14" x14ac:dyDescent="0.25">
      <c r="A16" s="1997">
        <v>5</v>
      </c>
      <c r="B16" s="2009" t="s">
        <v>101</v>
      </c>
      <c r="C16" s="2008"/>
      <c r="D16" s="2007">
        <v>2570</v>
      </c>
      <c r="E16" s="2006">
        <f>'Expenditures 15-22'!K64</f>
        <v>0</v>
      </c>
      <c r="F16" s="2004"/>
      <c r="G16" s="2005">
        <f>K68</f>
        <v>0</v>
      </c>
      <c r="H16" s="2001">
        <f t="shared" si="0"/>
        <v>0</v>
      </c>
      <c r="I16" s="2002"/>
      <c r="J16" s="2004"/>
      <c r="K16" s="2002"/>
      <c r="L16" s="2001">
        <f t="shared" si="1"/>
        <v>0</v>
      </c>
      <c r="M16" s="847"/>
      <c r="N16" s="1967"/>
    </row>
    <row r="17" spans="1:14" x14ac:dyDescent="0.25">
      <c r="A17" s="1997">
        <v>6</v>
      </c>
      <c r="B17" s="2009" t="s">
        <v>1050</v>
      </c>
      <c r="C17" s="2008"/>
      <c r="D17" s="2007">
        <v>2610</v>
      </c>
      <c r="E17" s="2006">
        <f>'Expenditures 15-22'!K67</f>
        <v>0</v>
      </c>
      <c r="F17" s="2004"/>
      <c r="G17" s="2005">
        <f>L68</f>
        <v>0</v>
      </c>
      <c r="H17" s="2001">
        <f t="shared" si="0"/>
        <v>0</v>
      </c>
      <c r="I17" s="2002"/>
      <c r="J17" s="2004"/>
      <c r="K17" s="2002"/>
      <c r="L17" s="2001">
        <f t="shared" si="1"/>
        <v>0</v>
      </c>
      <c r="M17" s="847"/>
      <c r="N17" s="1967"/>
    </row>
    <row r="18" spans="1:14" ht="28.5" customHeight="1" x14ac:dyDescent="0.25">
      <c r="A18" s="2003">
        <v>7</v>
      </c>
      <c r="B18" s="2476" t="s">
        <v>7</v>
      </c>
      <c r="C18" s="2476"/>
      <c r="D18" s="2477"/>
      <c r="E18" s="2002"/>
      <c r="F18" s="2002"/>
      <c r="G18" s="2002"/>
      <c r="H18" s="2001">
        <f t="shared" si="0"/>
        <v>0</v>
      </c>
      <c r="I18" s="2002"/>
      <c r="J18" s="2002"/>
      <c r="K18" s="2002"/>
      <c r="L18" s="2001">
        <f t="shared" si="1"/>
        <v>0</v>
      </c>
      <c r="M18" s="847"/>
      <c r="N18" s="1967"/>
    </row>
    <row r="19" spans="1:14" ht="15.75" thickBot="1" x14ac:dyDescent="0.3">
      <c r="A19" s="1997">
        <v>8</v>
      </c>
      <c r="B19" s="2000" t="s">
        <v>1150</v>
      </c>
      <c r="C19" s="847"/>
      <c r="D19" s="1999"/>
      <c r="E19" s="1998">
        <f t="shared" ref="E19:L19" si="2">SUM(E12:E17)-E18</f>
        <v>718495</v>
      </c>
      <c r="F19" s="1998">
        <f t="shared" si="2"/>
        <v>0</v>
      </c>
      <c r="G19" s="1998">
        <f t="shared" si="2"/>
        <v>0</v>
      </c>
      <c r="H19" s="1998">
        <f t="shared" si="2"/>
        <v>718495</v>
      </c>
      <c r="I19" s="1998">
        <f t="shared" si="2"/>
        <v>715000</v>
      </c>
      <c r="J19" s="1998">
        <f t="shared" si="2"/>
        <v>0</v>
      </c>
      <c r="K19" s="1998">
        <f t="shared" si="2"/>
        <v>0</v>
      </c>
      <c r="L19" s="1998">
        <f t="shared" si="2"/>
        <v>715000</v>
      </c>
      <c r="M19" s="847"/>
      <c r="N19" s="1967"/>
    </row>
    <row r="20" spans="1:14" ht="15.75" thickTop="1" x14ac:dyDescent="0.25">
      <c r="A20" s="1997">
        <v>9</v>
      </c>
      <c r="B20" s="2465" t="s">
        <v>2056</v>
      </c>
      <c r="C20" s="2465"/>
      <c r="D20" s="2466"/>
      <c r="E20" s="1996"/>
      <c r="F20" s="1996"/>
      <c r="G20" s="1996"/>
      <c r="H20" s="1996"/>
      <c r="I20" s="1996"/>
      <c r="J20" s="1996"/>
      <c r="K20" s="1996"/>
      <c r="L20" s="1995">
        <f>IF(AND(H19&gt;0,L19&gt;0),(((L19-H19)/H19)),"Enter Budget Data")</f>
        <v>-4.8643344769274668E-3</v>
      </c>
      <c r="M20" s="847"/>
      <c r="N20" s="1967"/>
    </row>
    <row r="21" spans="1:14" x14ac:dyDescent="0.25">
      <c r="A21" s="1994" t="s">
        <v>194</v>
      </c>
      <c r="B21" s="294" t="s">
        <v>2055</v>
      </c>
      <c r="C21" s="847"/>
      <c r="D21" s="1978"/>
      <c r="E21" s="1977"/>
      <c r="F21" s="1993"/>
      <c r="G21" s="1993"/>
      <c r="H21" s="1993"/>
      <c r="I21" s="1993"/>
      <c r="J21" s="1993"/>
      <c r="K21" s="1993"/>
      <c r="L21" s="1992"/>
      <c r="M21" s="847"/>
      <c r="N21" s="1967"/>
    </row>
    <row r="22" spans="1:14" x14ac:dyDescent="0.25">
      <c r="A22" s="1968"/>
      <c r="B22" s="1980"/>
      <c r="C22" s="847"/>
      <c r="D22" s="847"/>
      <c r="E22" s="847"/>
      <c r="F22" s="847"/>
      <c r="G22" s="847"/>
      <c r="H22" s="847"/>
      <c r="I22" s="847"/>
      <c r="J22" s="847"/>
      <c r="K22" s="847"/>
      <c r="L22" s="847"/>
      <c r="M22" s="847"/>
      <c r="N22" s="1967"/>
    </row>
    <row r="23" spans="1:14" x14ac:dyDescent="0.25">
      <c r="A23" s="1991" t="s">
        <v>132</v>
      </c>
      <c r="B23" s="1980"/>
      <c r="C23" s="847"/>
      <c r="D23" s="847"/>
      <c r="E23" s="847"/>
      <c r="F23" s="847"/>
      <c r="G23" s="847"/>
      <c r="H23" s="847"/>
      <c r="I23" s="847"/>
      <c r="J23" s="847"/>
      <c r="K23" s="847"/>
      <c r="L23" s="847"/>
      <c r="M23" s="847"/>
      <c r="N23" s="1967"/>
    </row>
    <row r="24" spans="1:14" x14ac:dyDescent="0.25">
      <c r="A24" s="1990" t="s">
        <v>2054</v>
      </c>
      <c r="B24" s="1989"/>
      <c r="C24" s="1988"/>
      <c r="D24" s="1988"/>
      <c r="E24" s="1988"/>
      <c r="F24" s="1988"/>
      <c r="G24" s="1988"/>
      <c r="H24" s="1988"/>
      <c r="I24" s="1988"/>
      <c r="J24" s="1988"/>
      <c r="K24" s="1988"/>
      <c r="L24" s="847"/>
      <c r="M24" s="847"/>
      <c r="N24" s="1967"/>
    </row>
    <row r="25" spans="1:14" x14ac:dyDescent="0.25">
      <c r="A25" s="1990" t="s">
        <v>2053</v>
      </c>
      <c r="B25" s="1989"/>
      <c r="C25" s="1988"/>
      <c r="D25" s="1988"/>
      <c r="E25" s="1988"/>
      <c r="F25" s="1988"/>
      <c r="G25" s="1988"/>
      <c r="H25" s="1988"/>
      <c r="I25" s="1988"/>
      <c r="J25" s="1988"/>
      <c r="K25" s="1988"/>
      <c r="L25" s="847"/>
      <c r="M25" s="847"/>
      <c r="N25" s="1967"/>
    </row>
    <row r="26" spans="1:14" x14ac:dyDescent="0.25">
      <c r="A26" s="1987"/>
      <c r="B26" s="1980"/>
      <c r="C26" s="847"/>
      <c r="D26" s="847"/>
      <c r="E26" s="847"/>
      <c r="F26" s="847"/>
      <c r="G26" s="847"/>
      <c r="H26" s="847"/>
      <c r="I26" s="847"/>
      <c r="J26" s="847"/>
      <c r="K26" s="847"/>
      <c r="L26" s="847"/>
      <c r="M26" s="847"/>
      <c r="N26" s="1967"/>
    </row>
    <row r="27" spans="1:14" x14ac:dyDescent="0.25">
      <c r="A27" s="1968"/>
      <c r="B27" s="1980"/>
      <c r="C27" s="2451"/>
      <c r="D27" s="2451"/>
      <c r="E27" s="1986"/>
      <c r="F27" s="2452"/>
      <c r="G27" s="2452"/>
      <c r="H27" s="2452"/>
      <c r="I27" s="847"/>
      <c r="J27" s="847"/>
      <c r="K27" s="847"/>
      <c r="L27" s="847"/>
      <c r="M27" s="847"/>
      <c r="N27" s="1967"/>
    </row>
    <row r="28" spans="1:14" x14ac:dyDescent="0.25">
      <c r="A28" s="1968"/>
      <c r="B28" s="1980"/>
      <c r="C28" s="1985" t="s">
        <v>1025</v>
      </c>
      <c r="D28" s="1984"/>
      <c r="E28" s="1983"/>
      <c r="F28" s="2453" t="s">
        <v>1489</v>
      </c>
      <c r="G28" s="2453"/>
      <c r="H28" s="2453"/>
      <c r="I28" s="847"/>
      <c r="J28" s="847"/>
      <c r="K28" s="847"/>
      <c r="L28" s="847"/>
      <c r="M28" s="847"/>
      <c r="N28" s="1967"/>
    </row>
    <row r="29" spans="1:14" x14ac:dyDescent="0.25">
      <c r="A29" s="1968"/>
      <c r="B29" s="1980"/>
      <c r="C29" s="2454"/>
      <c r="D29" s="2454"/>
      <c r="E29" s="846"/>
      <c r="F29" s="2454"/>
      <c r="G29" s="2454"/>
      <c r="H29" s="2454"/>
      <c r="I29" s="847"/>
      <c r="J29" s="847"/>
      <c r="K29" s="847"/>
      <c r="L29" s="847"/>
      <c r="M29" s="847"/>
      <c r="N29" s="1967"/>
    </row>
    <row r="30" spans="1:14" x14ac:dyDescent="0.25">
      <c r="A30" s="1968"/>
      <c r="B30" s="1980"/>
      <c r="C30" s="1982" t="s">
        <v>1541</v>
      </c>
      <c r="D30" s="847"/>
      <c r="E30" s="1981"/>
      <c r="F30" s="2455" t="s">
        <v>1490</v>
      </c>
      <c r="G30" s="2455"/>
      <c r="H30" s="2455"/>
      <c r="I30" s="847"/>
      <c r="J30" s="847"/>
      <c r="K30" s="847"/>
      <c r="L30" s="847"/>
      <c r="M30" s="847"/>
      <c r="N30" s="1967"/>
    </row>
    <row r="31" spans="1:14" x14ac:dyDescent="0.25">
      <c r="A31" s="1968"/>
      <c r="B31" s="1980"/>
      <c r="C31" s="1979"/>
      <c r="D31" s="847"/>
      <c r="E31" s="1978"/>
      <c r="F31" s="1977"/>
      <c r="G31" s="1977"/>
      <c r="H31" s="1977"/>
      <c r="I31" s="847"/>
      <c r="J31" s="847"/>
      <c r="K31" s="847"/>
      <c r="L31" s="847"/>
      <c r="M31" s="847"/>
      <c r="N31" s="1967"/>
    </row>
    <row r="32" spans="1:14" x14ac:dyDescent="0.25">
      <c r="A32" s="1968"/>
      <c r="B32" s="1976" t="s">
        <v>1026</v>
      </c>
      <c r="C32" s="847"/>
      <c r="D32" s="847"/>
      <c r="E32" s="847"/>
      <c r="F32" s="847"/>
      <c r="G32" s="847"/>
      <c r="H32" s="847"/>
      <c r="I32" s="847"/>
      <c r="J32" s="847"/>
      <c r="K32" s="847"/>
      <c r="L32" s="847"/>
      <c r="M32" s="847"/>
      <c r="N32" s="1967"/>
    </row>
    <row r="33" spans="1:14" x14ac:dyDescent="0.25">
      <c r="A33" s="1968"/>
      <c r="B33" s="1975"/>
      <c r="C33" s="847"/>
      <c r="D33" s="847"/>
      <c r="E33" s="847"/>
      <c r="F33" s="847"/>
      <c r="G33" s="847"/>
      <c r="H33" s="847"/>
      <c r="I33" s="847"/>
      <c r="J33" s="847"/>
      <c r="K33" s="847"/>
      <c r="L33" s="847"/>
      <c r="M33" s="847"/>
      <c r="N33" s="1967"/>
    </row>
    <row r="34" spans="1:14" x14ac:dyDescent="0.25">
      <c r="A34" s="1968"/>
      <c r="B34" s="1970"/>
      <c r="C34" s="2456" t="s">
        <v>2052</v>
      </c>
      <c r="D34" s="2456"/>
      <c r="E34" s="2456"/>
      <c r="F34" s="2456"/>
      <c r="G34" s="2456"/>
      <c r="H34" s="2456"/>
      <c r="I34" s="2456"/>
      <c r="J34" s="2456"/>
      <c r="K34" s="1974"/>
      <c r="L34" s="847"/>
      <c r="M34" s="847"/>
      <c r="N34" s="1967"/>
    </row>
    <row r="35" spans="1:14" x14ac:dyDescent="0.25">
      <c r="A35" s="1968"/>
      <c r="B35" s="847"/>
      <c r="C35" s="2456"/>
      <c r="D35" s="2456"/>
      <c r="E35" s="2456"/>
      <c r="F35" s="2456"/>
      <c r="G35" s="2456"/>
      <c r="H35" s="2456"/>
      <c r="I35" s="2456"/>
      <c r="J35" s="2456"/>
      <c r="K35" s="1974"/>
      <c r="L35" s="847"/>
      <c r="M35" s="847"/>
      <c r="N35" s="1967"/>
    </row>
    <row r="36" spans="1:14" x14ac:dyDescent="0.25">
      <c r="A36" s="1968"/>
      <c r="B36" s="847"/>
      <c r="C36" s="1973"/>
      <c r="D36" s="847"/>
      <c r="E36" s="847"/>
      <c r="F36" s="847"/>
      <c r="G36" s="847"/>
      <c r="H36" s="847"/>
      <c r="I36" s="847"/>
      <c r="J36" s="847"/>
      <c r="K36" s="847"/>
      <c r="L36" s="847"/>
      <c r="M36" s="847"/>
      <c r="N36" s="1967"/>
    </row>
    <row r="37" spans="1:14" x14ac:dyDescent="0.25">
      <c r="A37" s="1968"/>
      <c r="B37" s="1970"/>
      <c r="C37" s="2456" t="s">
        <v>2051</v>
      </c>
      <c r="D37" s="2456"/>
      <c r="E37" s="2456"/>
      <c r="F37" s="2456"/>
      <c r="G37" s="2456"/>
      <c r="H37" s="2456"/>
      <c r="I37" s="2456"/>
      <c r="J37" s="2456"/>
      <c r="K37" s="1974"/>
      <c r="L37" s="838"/>
      <c r="M37" s="847"/>
      <c r="N37" s="1967"/>
    </row>
    <row r="38" spans="1:14" x14ac:dyDescent="0.25">
      <c r="A38" s="1968"/>
      <c r="B38" s="847"/>
      <c r="C38" s="2456"/>
      <c r="D38" s="2456"/>
      <c r="E38" s="2456"/>
      <c r="F38" s="2456"/>
      <c r="G38" s="2456"/>
      <c r="H38" s="2456"/>
      <c r="I38" s="2456"/>
      <c r="J38" s="2456"/>
      <c r="K38" s="1974"/>
      <c r="L38" s="838"/>
      <c r="M38" s="847"/>
      <c r="N38" s="1967"/>
    </row>
    <row r="39" spans="1:14" x14ac:dyDescent="0.25">
      <c r="A39" s="1968"/>
      <c r="B39" s="847"/>
      <c r="C39" s="1973"/>
      <c r="D39" s="847"/>
      <c r="E39" s="1971"/>
      <c r="F39" s="1972"/>
      <c r="G39" s="1972"/>
      <c r="H39" s="1971"/>
      <c r="I39" s="847"/>
      <c r="J39" s="847"/>
      <c r="K39" s="847"/>
      <c r="L39" s="847"/>
      <c r="M39" s="847"/>
      <c r="N39" s="1967"/>
    </row>
    <row r="40" spans="1:14" x14ac:dyDescent="0.25">
      <c r="A40" s="1968"/>
      <c r="B40" s="1970"/>
      <c r="C40" s="2457" t="s">
        <v>2050</v>
      </c>
      <c r="D40" s="2458"/>
      <c r="E40" s="2458"/>
      <c r="F40" s="2458"/>
      <c r="G40" s="2458"/>
      <c r="H40" s="2458"/>
      <c r="I40" s="2458"/>
      <c r="J40" s="2458"/>
      <c r="K40" s="1969"/>
      <c r="L40" s="847"/>
      <c r="M40" s="847"/>
      <c r="N40" s="1967"/>
    </row>
    <row r="41" spans="1:14" x14ac:dyDescent="0.25">
      <c r="A41" s="1968"/>
      <c r="B41" s="847"/>
      <c r="C41" s="839"/>
      <c r="D41" s="839"/>
      <c r="E41" s="839"/>
      <c r="F41" s="839"/>
      <c r="G41" s="839"/>
      <c r="H41" s="839"/>
      <c r="I41" s="839"/>
      <c r="J41" s="839"/>
      <c r="K41" s="839"/>
      <c r="L41" s="847"/>
      <c r="M41" s="847"/>
      <c r="N41" s="1967"/>
    </row>
    <row r="42" spans="1:14" ht="15.75" thickBot="1" x14ac:dyDescent="0.3">
      <c r="A42" s="1966"/>
      <c r="B42" s="1965"/>
      <c r="C42" s="1965"/>
      <c r="D42" s="1965"/>
      <c r="E42" s="1965"/>
      <c r="F42" s="1965"/>
      <c r="G42" s="1965"/>
      <c r="H42" s="1965"/>
      <c r="I42" s="1965"/>
      <c r="J42" s="1965"/>
      <c r="K42" s="1965"/>
      <c r="L42" s="1965"/>
      <c r="M42" s="1965"/>
      <c r="N42" s="1964"/>
    </row>
    <row r="43" spans="1:14" ht="27" thickBot="1" x14ac:dyDescent="0.45">
      <c r="A43" s="2459" t="s">
        <v>2049</v>
      </c>
      <c r="B43" s="2460"/>
      <c r="C43" s="2460"/>
      <c r="D43" s="2460"/>
      <c r="E43" s="2460"/>
      <c r="F43" s="2460"/>
      <c r="G43" s="2460"/>
      <c r="H43" s="2460"/>
      <c r="I43" s="2460"/>
      <c r="J43" s="2460"/>
      <c r="K43" s="2460"/>
      <c r="L43" s="2460"/>
      <c r="M43" s="2460"/>
      <c r="N43" s="2461"/>
    </row>
    <row r="44" spans="1:14" x14ac:dyDescent="0.25">
      <c r="A44" s="1955"/>
      <c r="B44" s="1954"/>
      <c r="C44" s="1954"/>
      <c r="D44" s="1954"/>
      <c r="E44" s="1954"/>
      <c r="F44" s="1954"/>
      <c r="G44" s="1954"/>
      <c r="H44" s="1954"/>
      <c r="I44" s="1954"/>
      <c r="J44" s="1954"/>
      <c r="K44" s="1954"/>
      <c r="L44" s="1954"/>
      <c r="M44" s="1954"/>
      <c r="N44" s="1953"/>
    </row>
    <row r="45" spans="1:14" x14ac:dyDescent="0.25">
      <c r="A45" s="1955" t="s">
        <v>2048</v>
      </c>
      <c r="B45" s="1954"/>
      <c r="C45" s="1954"/>
      <c r="D45" s="1954"/>
      <c r="E45" s="1954"/>
      <c r="F45" s="1954"/>
      <c r="G45" s="1954"/>
      <c r="H45" s="1954"/>
      <c r="I45" s="1954"/>
      <c r="J45" s="1954"/>
      <c r="K45" s="1954"/>
      <c r="L45" s="1954"/>
      <c r="M45" s="1954"/>
      <c r="N45" s="1953"/>
    </row>
    <row r="46" spans="1:14" x14ac:dyDescent="0.25">
      <c r="A46" s="2462" t="s">
        <v>2047</v>
      </c>
      <c r="B46" s="2463"/>
      <c r="C46" s="2463"/>
      <c r="D46" s="2463"/>
      <c r="E46" s="2463"/>
      <c r="F46" s="2463"/>
      <c r="G46" s="2463"/>
      <c r="H46" s="2463"/>
      <c r="I46" s="2463"/>
      <c r="J46" s="2463"/>
      <c r="K46" s="2463"/>
      <c r="L46" s="2463"/>
      <c r="M46" s="2463"/>
      <c r="N46" s="2464"/>
    </row>
    <row r="47" spans="1:14" x14ac:dyDescent="0.25">
      <c r="A47" s="2462"/>
      <c r="B47" s="2463"/>
      <c r="C47" s="2463"/>
      <c r="D47" s="2463"/>
      <c r="E47" s="2463"/>
      <c r="F47" s="2463"/>
      <c r="G47" s="2463"/>
      <c r="H47" s="2463"/>
      <c r="I47" s="2463"/>
      <c r="J47" s="2463"/>
      <c r="K47" s="2463"/>
      <c r="L47" s="2463"/>
      <c r="M47" s="2463"/>
      <c r="N47" s="2464"/>
    </row>
    <row r="48" spans="1:14" x14ac:dyDescent="0.25">
      <c r="A48" s="1963"/>
      <c r="B48" s="1954"/>
      <c r="C48" s="1954"/>
      <c r="D48" s="1962"/>
      <c r="E48" s="1962"/>
      <c r="F48" s="1962"/>
      <c r="G48" s="1962"/>
      <c r="H48" s="1962"/>
      <c r="I48" s="1962"/>
      <c r="J48" s="1962"/>
      <c r="K48" s="1962"/>
      <c r="L48" s="1962"/>
      <c r="M48" s="1962"/>
      <c r="N48" s="1961"/>
    </row>
    <row r="49" spans="1:14" ht="15.75" x14ac:dyDescent="0.25">
      <c r="A49" s="1957" t="s">
        <v>2046</v>
      </c>
      <c r="B49" s="1960"/>
      <c r="C49" s="1960"/>
      <c r="D49" s="1959"/>
      <c r="E49" s="1959"/>
      <c r="F49" s="1959"/>
      <c r="G49" s="1959"/>
      <c r="H49" s="1959"/>
      <c r="I49" s="1959"/>
      <c r="J49" s="1959"/>
      <c r="K49" s="1959"/>
      <c r="L49" s="1959"/>
      <c r="M49" s="1959"/>
      <c r="N49" s="1958"/>
    </row>
    <row r="50" spans="1:14" x14ac:dyDescent="0.25">
      <c r="A50" s="1957" t="s">
        <v>2045</v>
      </c>
      <c r="B50" s="1954"/>
      <c r="C50" s="1954"/>
      <c r="D50" s="1954"/>
      <c r="E50" s="1954"/>
      <c r="F50" s="1954"/>
      <c r="G50" s="1954"/>
      <c r="H50" s="1954"/>
      <c r="I50" s="1954"/>
      <c r="J50" s="1954"/>
      <c r="K50" s="1954"/>
      <c r="L50" s="1954"/>
      <c r="M50" s="1954"/>
      <c r="N50" s="1953"/>
    </row>
    <row r="51" spans="1:14" x14ac:dyDescent="0.25">
      <c r="A51" s="1955"/>
      <c r="B51" s="1954"/>
      <c r="C51" s="1954"/>
      <c r="D51" s="1954"/>
      <c r="E51" s="1954"/>
      <c r="F51" s="1954"/>
      <c r="G51" s="1954"/>
      <c r="H51" s="1954"/>
      <c r="I51" s="1954"/>
      <c r="J51" s="1954"/>
      <c r="K51" s="1954"/>
      <c r="L51" s="1954"/>
      <c r="M51" s="1954"/>
      <c r="N51" s="1953"/>
    </row>
    <row r="52" spans="1:14" x14ac:dyDescent="0.25">
      <c r="A52" s="1955"/>
      <c r="B52" s="1954"/>
      <c r="C52" s="1954"/>
      <c r="D52" s="1954"/>
      <c r="E52" s="1954"/>
      <c r="F52" s="1954"/>
      <c r="G52" s="1954"/>
      <c r="H52" s="1954"/>
      <c r="I52" s="1954"/>
      <c r="J52" s="1954"/>
      <c r="K52" s="1956" t="s">
        <v>1020</v>
      </c>
      <c r="L52" s="2449" t="str">
        <f>J6</f>
        <v xml:space="preserve"> Nippersink SD 2</v>
      </c>
      <c r="M52" s="2449"/>
      <c r="N52" s="2450"/>
    </row>
    <row r="53" spans="1:14" x14ac:dyDescent="0.25">
      <c r="A53" s="1955"/>
      <c r="B53" s="1954"/>
      <c r="C53" s="1954"/>
      <c r="D53" s="1954"/>
      <c r="E53" s="1954"/>
      <c r="F53" s="1954"/>
      <c r="G53" s="1954"/>
      <c r="H53" s="1954"/>
      <c r="I53" s="1954"/>
      <c r="J53" s="1954"/>
      <c r="K53" s="1956" t="s">
        <v>369</v>
      </c>
      <c r="L53" s="2436">
        <f>J7</f>
        <v>44063002003</v>
      </c>
      <c r="M53" s="2436"/>
      <c r="N53" s="2437"/>
    </row>
    <row r="54" spans="1:14" ht="15.75" thickBot="1" x14ac:dyDescent="0.3">
      <c r="A54" s="1955"/>
      <c r="B54" s="1954"/>
      <c r="C54" s="1954"/>
      <c r="D54" s="1954"/>
      <c r="E54" s="1954"/>
      <c r="F54" s="1954"/>
      <c r="G54" s="1954"/>
      <c r="H54" s="1954"/>
      <c r="I54" s="1954"/>
      <c r="J54" s="1954"/>
      <c r="K54" s="1954"/>
      <c r="L54" s="1954"/>
      <c r="M54" s="1954"/>
      <c r="N54" s="1953"/>
    </row>
    <row r="55" spans="1:14" x14ac:dyDescent="0.25">
      <c r="A55" s="2438"/>
      <c r="B55" s="2439"/>
      <c r="C55" s="2439"/>
      <c r="D55" s="1937"/>
      <c r="E55" s="1937"/>
      <c r="F55" s="1937"/>
      <c r="G55" s="2440" t="s">
        <v>2044</v>
      </c>
      <c r="H55" s="2440"/>
      <c r="I55" s="2440"/>
      <c r="J55" s="2440"/>
      <c r="K55" s="2440"/>
      <c r="L55" s="2440"/>
      <c r="M55" s="2440"/>
      <c r="N55" s="2441"/>
    </row>
    <row r="56" spans="1:14" ht="64.5" x14ac:dyDescent="0.25">
      <c r="A56" s="2442" t="s">
        <v>2043</v>
      </c>
      <c r="B56" s="2443"/>
      <c r="C56" s="2444"/>
      <c r="D56" s="1951" t="s">
        <v>2042</v>
      </c>
      <c r="E56" s="1951" t="s">
        <v>2041</v>
      </c>
      <c r="F56" s="1952"/>
      <c r="G56" s="1951" t="s">
        <v>2040</v>
      </c>
      <c r="H56" s="1951" t="s">
        <v>2039</v>
      </c>
      <c r="I56" s="1951" t="s">
        <v>2038</v>
      </c>
      <c r="J56" s="1951" t="s">
        <v>2037</v>
      </c>
      <c r="K56" s="1951" t="s">
        <v>2036</v>
      </c>
      <c r="L56" s="1951" t="s">
        <v>2035</v>
      </c>
      <c r="M56" s="1951" t="s">
        <v>2034</v>
      </c>
      <c r="N56" s="1950" t="s">
        <v>2033</v>
      </c>
    </row>
    <row r="57" spans="1:14" ht="24" customHeight="1" x14ac:dyDescent="0.25">
      <c r="A57" s="2445" t="s">
        <v>296</v>
      </c>
      <c r="B57" s="2446"/>
      <c r="C57" s="2446"/>
      <c r="D57" s="1949">
        <v>2361</v>
      </c>
      <c r="E57" s="1948">
        <f>'Expenditures 15-22'!K319</f>
        <v>0</v>
      </c>
      <c r="F57" s="1941"/>
      <c r="G57" s="1947"/>
      <c r="H57" s="1946"/>
      <c r="I57" s="1946"/>
      <c r="J57" s="1946"/>
      <c r="K57" s="1946"/>
      <c r="L57" s="1946"/>
      <c r="M57" s="1946"/>
      <c r="N57" s="1938">
        <f t="shared" ref="N57:N67" si="3">IF((SUM(G57:M57))=E57,SUM(G57:M57),"Column N does not agree with Column E")</f>
        <v>0</v>
      </c>
    </row>
    <row r="58" spans="1:14" ht="24.75" customHeight="1" x14ac:dyDescent="0.25">
      <c r="A58" s="2447" t="s">
        <v>2032</v>
      </c>
      <c r="B58" s="2448"/>
      <c r="C58" s="2448"/>
      <c r="D58" s="1945">
        <v>2362</v>
      </c>
      <c r="E58" s="1948">
        <f>'Expenditures 15-22'!K320</f>
        <v>116130</v>
      </c>
      <c r="F58" s="1941"/>
      <c r="G58" s="1944"/>
      <c r="H58" s="1943"/>
      <c r="I58" s="1943"/>
      <c r="J58" s="1943"/>
      <c r="K58" s="1943"/>
      <c r="L58" s="1943"/>
      <c r="M58" s="1943">
        <v>116130</v>
      </c>
      <c r="N58" s="1938">
        <f t="shared" si="3"/>
        <v>116130</v>
      </c>
    </row>
    <row r="59" spans="1:14" ht="24.75" customHeight="1" x14ac:dyDescent="0.25">
      <c r="A59" s="2430" t="s">
        <v>297</v>
      </c>
      <c r="B59" s="2431"/>
      <c r="C59" s="2431"/>
      <c r="D59" s="1945">
        <v>2363</v>
      </c>
      <c r="E59" s="1948">
        <f>'Expenditures 15-22'!K321</f>
        <v>0</v>
      </c>
      <c r="F59" s="1941"/>
      <c r="G59" s="1944"/>
      <c r="H59" s="1943"/>
      <c r="I59" s="1943"/>
      <c r="J59" s="1943"/>
      <c r="K59" s="1943"/>
      <c r="L59" s="1943"/>
      <c r="M59" s="1943"/>
      <c r="N59" s="1938">
        <f t="shared" si="3"/>
        <v>0</v>
      </c>
    </row>
    <row r="60" spans="1:14" ht="24.75" customHeight="1" x14ac:dyDescent="0.25">
      <c r="A60" s="2430" t="s">
        <v>236</v>
      </c>
      <c r="B60" s="2431"/>
      <c r="C60" s="2431"/>
      <c r="D60" s="1945">
        <v>2364</v>
      </c>
      <c r="E60" s="1948">
        <f>'Expenditures 15-22'!K322</f>
        <v>0</v>
      </c>
      <c r="F60" s="1941"/>
      <c r="G60" s="1944"/>
      <c r="H60" s="1943"/>
      <c r="I60" s="1943"/>
      <c r="J60" s="1943"/>
      <c r="K60" s="1943"/>
      <c r="L60" s="1943"/>
      <c r="M60" s="1943"/>
      <c r="N60" s="1938">
        <f t="shared" si="3"/>
        <v>0</v>
      </c>
    </row>
    <row r="61" spans="1:14" ht="24.75" customHeight="1" x14ac:dyDescent="0.25">
      <c r="A61" s="2430" t="s">
        <v>696</v>
      </c>
      <c r="B61" s="2431"/>
      <c r="C61" s="2431"/>
      <c r="D61" s="1945">
        <v>2365</v>
      </c>
      <c r="E61" s="1948">
        <f>'Expenditures 15-22'!K323</f>
        <v>0</v>
      </c>
      <c r="F61" s="1941"/>
      <c r="G61" s="1944"/>
      <c r="H61" s="1943"/>
      <c r="I61" s="1943"/>
      <c r="J61" s="1943"/>
      <c r="K61" s="1943"/>
      <c r="L61" s="1943"/>
      <c r="M61" s="1943"/>
      <c r="N61" s="1938">
        <f t="shared" si="3"/>
        <v>0</v>
      </c>
    </row>
    <row r="62" spans="1:14" ht="24.75" customHeight="1" x14ac:dyDescent="0.25">
      <c r="A62" s="2430" t="s">
        <v>237</v>
      </c>
      <c r="B62" s="2431"/>
      <c r="C62" s="2431"/>
      <c r="D62" s="1945">
        <v>2366</v>
      </c>
      <c r="E62" s="1948">
        <f>'Expenditures 15-22'!K324</f>
        <v>0</v>
      </c>
      <c r="F62" s="1941"/>
      <c r="G62" s="1944"/>
      <c r="H62" s="1943"/>
      <c r="I62" s="1943"/>
      <c r="J62" s="1943"/>
      <c r="K62" s="1943"/>
      <c r="L62" s="1943"/>
      <c r="M62" s="1943"/>
      <c r="N62" s="1938">
        <f t="shared" si="3"/>
        <v>0</v>
      </c>
    </row>
    <row r="63" spans="1:14" ht="24.75" customHeight="1" x14ac:dyDescent="0.25">
      <c r="A63" s="2447" t="s">
        <v>1021</v>
      </c>
      <c r="B63" s="2448"/>
      <c r="C63" s="2448"/>
      <c r="D63" s="1945">
        <v>2367</v>
      </c>
      <c r="E63" s="1948">
        <f>'Expenditures 15-22'!K325</f>
        <v>0</v>
      </c>
      <c r="F63" s="1941"/>
      <c r="G63" s="1944"/>
      <c r="H63" s="1943"/>
      <c r="I63" s="1943"/>
      <c r="J63" s="1943"/>
      <c r="K63" s="1943"/>
      <c r="L63" s="1943"/>
      <c r="M63" s="1943"/>
      <c r="N63" s="1938">
        <f t="shared" si="3"/>
        <v>0</v>
      </c>
    </row>
    <row r="64" spans="1:14" ht="24.75" customHeight="1" x14ac:dyDescent="0.25">
      <c r="A64" s="2430" t="s">
        <v>1022</v>
      </c>
      <c r="B64" s="2431"/>
      <c r="C64" s="2431"/>
      <c r="D64" s="1945">
        <v>2368</v>
      </c>
      <c r="E64" s="1948">
        <f>'Expenditures 15-22'!K326</f>
        <v>0</v>
      </c>
      <c r="F64" s="1941"/>
      <c r="G64" s="1944"/>
      <c r="H64" s="1943"/>
      <c r="I64" s="1943"/>
      <c r="J64" s="1943"/>
      <c r="K64" s="1943"/>
      <c r="L64" s="1943"/>
      <c r="M64" s="1943"/>
      <c r="N64" s="1938">
        <f t="shared" si="3"/>
        <v>0</v>
      </c>
    </row>
    <row r="65" spans="1:14" ht="24" customHeight="1" x14ac:dyDescent="0.25">
      <c r="A65" s="2430" t="s">
        <v>964</v>
      </c>
      <c r="B65" s="2431"/>
      <c r="C65" s="2431"/>
      <c r="D65" s="1945">
        <v>2369</v>
      </c>
      <c r="E65" s="1948">
        <f>'Expenditures 15-22'!K327</f>
        <v>0</v>
      </c>
      <c r="F65" s="1941"/>
      <c r="G65" s="1944"/>
      <c r="H65" s="1943"/>
      <c r="I65" s="1943"/>
      <c r="J65" s="1943"/>
      <c r="K65" s="1943"/>
      <c r="L65" s="1943"/>
      <c r="M65" s="1943"/>
      <c r="N65" s="1938">
        <f t="shared" si="3"/>
        <v>0</v>
      </c>
    </row>
    <row r="66" spans="1:14" ht="24.75" customHeight="1" x14ac:dyDescent="0.25">
      <c r="A66" s="2430" t="s">
        <v>469</v>
      </c>
      <c r="B66" s="2431"/>
      <c r="C66" s="2431"/>
      <c r="D66" s="1945">
        <v>2371</v>
      </c>
      <c r="E66" s="1948">
        <f>'Expenditures 15-22'!K328</f>
        <v>0</v>
      </c>
      <c r="F66" s="1941"/>
      <c r="G66" s="1944"/>
      <c r="H66" s="1943"/>
      <c r="I66" s="1943"/>
      <c r="J66" s="1943"/>
      <c r="K66" s="1943"/>
      <c r="L66" s="1943"/>
      <c r="M66" s="1943"/>
      <c r="N66" s="1938">
        <f t="shared" si="3"/>
        <v>0</v>
      </c>
    </row>
    <row r="67" spans="1:14" ht="24.75" customHeight="1" x14ac:dyDescent="0.25">
      <c r="A67" s="2432" t="s">
        <v>2031</v>
      </c>
      <c r="B67" s="2433"/>
      <c r="C67" s="2433"/>
      <c r="D67" s="1942">
        <v>2372</v>
      </c>
      <c r="E67" s="1948">
        <f>'Expenditures 15-22'!K329</f>
        <v>0</v>
      </c>
      <c r="F67" s="1941"/>
      <c r="G67" s="1940"/>
      <c r="H67" s="1939"/>
      <c r="I67" s="1939"/>
      <c r="J67" s="1939"/>
      <c r="K67" s="1939"/>
      <c r="L67" s="1939"/>
      <c r="M67" s="1939"/>
      <c r="N67" s="1938">
        <f t="shared" si="3"/>
        <v>0</v>
      </c>
    </row>
    <row r="68" spans="1:14" x14ac:dyDescent="0.25">
      <c r="A68" s="2434" t="s">
        <v>1150</v>
      </c>
      <c r="B68" s="2435"/>
      <c r="C68" s="2435"/>
      <c r="D68" s="1937"/>
      <c r="E68" s="1935">
        <f>SUM(E57:E67)</f>
        <v>116130</v>
      </c>
      <c r="F68" s="1936"/>
      <c r="G68" s="1935">
        <f t="shared" ref="G68:N68" si="4">SUM(G57:G67)</f>
        <v>0</v>
      </c>
      <c r="H68" s="1935">
        <f t="shared" si="4"/>
        <v>0</v>
      </c>
      <c r="I68" s="1935">
        <f t="shared" si="4"/>
        <v>0</v>
      </c>
      <c r="J68" s="1935">
        <f t="shared" si="4"/>
        <v>0</v>
      </c>
      <c r="K68" s="1935">
        <f t="shared" si="4"/>
        <v>0</v>
      </c>
      <c r="L68" s="1935">
        <f t="shared" si="4"/>
        <v>0</v>
      </c>
      <c r="M68" s="1935">
        <f t="shared" si="4"/>
        <v>116130</v>
      </c>
      <c r="N68" s="1934">
        <f t="shared" si="4"/>
        <v>116130</v>
      </c>
    </row>
    <row r="69" spans="1:14" x14ac:dyDescent="0.25">
      <c r="A69" s="1930"/>
      <c r="B69" s="1929"/>
      <c r="C69" s="1929"/>
      <c r="D69" s="1929"/>
      <c r="E69" s="1929"/>
      <c r="F69" s="1929"/>
      <c r="G69" s="1929"/>
      <c r="H69" s="1933" t="s">
        <v>2030</v>
      </c>
      <c r="I69" s="1929"/>
      <c r="J69" s="1929"/>
      <c r="K69" s="1929"/>
      <c r="L69" s="1933" t="s">
        <v>2029</v>
      </c>
      <c r="M69" s="1929"/>
      <c r="N69" s="1932"/>
    </row>
    <row r="70" spans="1:14" ht="46.5" customHeight="1" x14ac:dyDescent="0.25">
      <c r="A70" s="1931" t="s">
        <v>2028</v>
      </c>
      <c r="B70" s="1929"/>
      <c r="C70" s="1929"/>
      <c r="D70" s="1929"/>
      <c r="E70" s="1929"/>
      <c r="F70" s="1929"/>
      <c r="G70" s="1929"/>
      <c r="H70" s="2426" t="s">
        <v>2027</v>
      </c>
      <c r="I70" s="2426"/>
      <c r="J70" s="2426"/>
      <c r="K70" s="1929"/>
      <c r="L70" s="2426" t="s">
        <v>2026</v>
      </c>
      <c r="M70" s="2426"/>
      <c r="N70" s="2427"/>
    </row>
    <row r="71" spans="1:14" ht="42.75" customHeight="1" x14ac:dyDescent="0.25">
      <c r="A71" s="1930"/>
      <c r="B71" s="1929"/>
      <c r="C71" s="1929"/>
      <c r="D71" s="1929"/>
      <c r="E71" s="1929"/>
      <c r="F71" s="1929"/>
      <c r="G71" s="1929"/>
      <c r="H71" s="2426" t="s">
        <v>2025</v>
      </c>
      <c r="I71" s="2426"/>
      <c r="J71" s="2426"/>
      <c r="K71" s="1929"/>
      <c r="L71" s="2428" t="s">
        <v>2024</v>
      </c>
      <c r="M71" s="2428"/>
      <c r="N71" s="2429"/>
    </row>
    <row r="72" spans="1:14" ht="52.5" customHeight="1" thickBot="1" x14ac:dyDescent="0.3">
      <c r="A72" s="1928"/>
      <c r="B72" s="1927"/>
      <c r="C72" s="1927"/>
      <c r="D72" s="1927"/>
      <c r="E72" s="1927"/>
      <c r="F72" s="1927"/>
      <c r="G72" s="1927"/>
      <c r="H72" s="2425" t="s">
        <v>2023</v>
      </c>
      <c r="I72" s="2425"/>
      <c r="J72" s="2425"/>
      <c r="K72" s="1927"/>
      <c r="L72" s="1927"/>
      <c r="M72" s="1927"/>
      <c r="N72" s="1926"/>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pageSetUpPr fitToPage="1"/>
  </sheetPr>
  <dimension ref="A2:D65"/>
  <sheetViews>
    <sheetView showGridLines="0" topLeftCell="A4" zoomScale="110" zoomScaleNormal="110" workbookViewId="0">
      <selection activeCell="B35" sqref="B35"/>
    </sheetView>
  </sheetViews>
  <sheetFormatPr defaultRowHeight="12.75" x14ac:dyDescent="0.2"/>
  <cols>
    <col min="1" max="1" width="3" style="307" customWidth="1"/>
    <col min="2" max="2" width="59.140625" style="307" customWidth="1"/>
    <col min="3" max="3" width="2.85546875" style="307" customWidth="1"/>
    <col min="4" max="4" width="74.42578125" style="307" customWidth="1"/>
    <col min="5" max="16384" width="9.140625" style="307"/>
  </cols>
  <sheetData>
    <row r="2" spans="1:4" x14ac:dyDescent="0.2">
      <c r="A2" s="366" t="s">
        <v>256</v>
      </c>
    </row>
    <row r="3" spans="1:4" x14ac:dyDescent="0.2">
      <c r="A3" s="307" t="s">
        <v>257</v>
      </c>
    </row>
    <row r="5" spans="1:4" x14ac:dyDescent="0.2">
      <c r="A5" s="840">
        <v>1</v>
      </c>
      <c r="B5" s="307" t="s">
        <v>2091</v>
      </c>
      <c r="D5" s="307" t="s">
        <v>2092</v>
      </c>
    </row>
    <row r="6" spans="1:4" x14ac:dyDescent="0.2">
      <c r="A6" s="840">
        <v>2</v>
      </c>
      <c r="B6" s="307" t="s">
        <v>2073</v>
      </c>
      <c r="D6" s="307" t="s">
        <v>2074</v>
      </c>
    </row>
    <row r="7" spans="1:4" x14ac:dyDescent="0.2">
      <c r="A7" s="840">
        <v>3</v>
      </c>
      <c r="B7" s="307" t="s">
        <v>2095</v>
      </c>
      <c r="D7" s="307" t="s">
        <v>2075</v>
      </c>
    </row>
    <row r="8" spans="1:4" x14ac:dyDescent="0.2">
      <c r="A8" s="840">
        <v>4</v>
      </c>
      <c r="B8" s="307" t="s">
        <v>2076</v>
      </c>
      <c r="D8" s="307" t="s">
        <v>2077</v>
      </c>
    </row>
    <row r="9" spans="1:4" x14ac:dyDescent="0.2">
      <c r="A9" s="841">
        <v>5</v>
      </c>
      <c r="B9" s="307" t="s">
        <v>2078</v>
      </c>
      <c r="D9" s="307" t="s">
        <v>2079</v>
      </c>
    </row>
    <row r="10" spans="1:4" x14ac:dyDescent="0.2">
      <c r="A10" s="841">
        <v>6</v>
      </c>
      <c r="B10" s="307" t="s">
        <v>2080</v>
      </c>
      <c r="D10" s="307" t="s">
        <v>2081</v>
      </c>
    </row>
    <row r="11" spans="1:4" x14ac:dyDescent="0.2">
      <c r="A11" s="841">
        <v>7</v>
      </c>
      <c r="B11" s="307" t="s">
        <v>2082</v>
      </c>
      <c r="D11" s="307" t="s">
        <v>2083</v>
      </c>
    </row>
    <row r="12" spans="1:4" x14ac:dyDescent="0.2">
      <c r="A12" s="841">
        <v>8</v>
      </c>
      <c r="B12" s="307" t="s">
        <v>2084</v>
      </c>
      <c r="D12" s="307" t="s">
        <v>2085</v>
      </c>
    </row>
    <row r="13" spans="1:4" x14ac:dyDescent="0.2">
      <c r="A13" s="841">
        <v>9</v>
      </c>
      <c r="B13" s="307" t="s">
        <v>2089</v>
      </c>
      <c r="D13" s="307" t="s">
        <v>2096</v>
      </c>
    </row>
    <row r="14" spans="1:4" x14ac:dyDescent="0.2">
      <c r="A14" s="841">
        <v>10</v>
      </c>
      <c r="B14" s="307" t="s">
        <v>2086</v>
      </c>
    </row>
    <row r="15" spans="1:4" x14ac:dyDescent="0.2">
      <c r="A15" s="841"/>
      <c r="B15" s="307" t="s">
        <v>2087</v>
      </c>
      <c r="D15" s="307" t="s">
        <v>2088</v>
      </c>
    </row>
    <row r="16" spans="1:4"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Nippersink SD 2</v>
      </c>
    </row>
    <row r="65" spans="2:2" x14ac:dyDescent="0.2">
      <c r="B65" s="842">
        <f>COVER!A13</f>
        <v>44063002003</v>
      </c>
    </row>
  </sheetData>
  <phoneticPr fontId="16" type="noConversion"/>
  <pageMargins left="0.57999999999999996" right="0.2" top="1.17" bottom="0.75" header="0.19" footer="0.16"/>
  <pageSetup scale="72"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3" t="s">
        <v>1591</v>
      </c>
    </row>
    <row r="23" spans="1:5" x14ac:dyDescent="0.2">
      <c r="A23" s="163"/>
      <c r="B23" s="157" t="s">
        <v>1825</v>
      </c>
      <c r="D23" s="162" t="s">
        <v>632</v>
      </c>
      <c r="E23" s="1463" t="s">
        <v>952</v>
      </c>
    </row>
    <row r="24" spans="1:5" x14ac:dyDescent="0.2">
      <c r="A24" s="163" t="s">
        <v>1589</v>
      </c>
      <c r="C24" s="157" t="s">
        <v>1158</v>
      </c>
      <c r="D24" s="162" t="s">
        <v>1374</v>
      </c>
      <c r="E24" s="165" t="s">
        <v>953</v>
      </c>
    </row>
    <row r="25" spans="1:5" x14ac:dyDescent="0.2">
      <c r="A25" s="163" t="s">
        <v>1837</v>
      </c>
      <c r="C25" s="157" t="s">
        <v>1158</v>
      </c>
      <c r="D25" s="164" t="s">
        <v>21</v>
      </c>
      <c r="E25" s="1463" t="s">
        <v>2060</v>
      </c>
    </row>
    <row r="26" spans="1:5" x14ac:dyDescent="0.2">
      <c r="A26" s="163" t="s">
        <v>1838</v>
      </c>
      <c r="C26" s="157" t="s">
        <v>1158</v>
      </c>
      <c r="D26" s="164" t="s">
        <v>559</v>
      </c>
      <c r="E26" s="1463">
        <v>34</v>
      </c>
    </row>
    <row r="27" spans="1:5" x14ac:dyDescent="0.2">
      <c r="A27" s="163" t="s">
        <v>1839</v>
      </c>
      <c r="C27" s="157" t="s">
        <v>1158</v>
      </c>
      <c r="D27" s="164" t="s">
        <v>553</v>
      </c>
      <c r="E27" s="1463">
        <v>35</v>
      </c>
    </row>
    <row r="28" spans="1:5" x14ac:dyDescent="0.2">
      <c r="A28" s="163" t="s">
        <v>1841</v>
      </c>
      <c r="D28" s="164" t="s">
        <v>678</v>
      </c>
      <c r="E28" s="1463">
        <v>36</v>
      </c>
    </row>
    <row r="29" spans="1:5" x14ac:dyDescent="0.2">
      <c r="A29" s="163" t="s">
        <v>1842</v>
      </c>
      <c r="D29" s="164" t="s">
        <v>1375</v>
      </c>
      <c r="E29" s="1463">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3" t="s">
        <v>2061</v>
      </c>
    </row>
    <row r="33" spans="1:5" x14ac:dyDescent="0.2">
      <c r="A33" s="167"/>
      <c r="D33" s="164"/>
      <c r="E33" s="166"/>
    </row>
    <row r="34" spans="1:5" x14ac:dyDescent="0.2">
      <c r="A34" s="167"/>
      <c r="D34" s="164"/>
      <c r="E34" s="166"/>
    </row>
    <row r="35" spans="1:5" ht="15.75" customHeight="1" thickBot="1" x14ac:dyDescent="0.25">
      <c r="A35" s="2159" t="s">
        <v>1055</v>
      </c>
      <c r="B35" s="2159"/>
      <c r="C35" s="2159"/>
      <c r="D35" s="2159"/>
      <c r="E35" s="215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6" t="s">
        <v>685</v>
      </c>
      <c r="B40" s="2156"/>
      <c r="C40" s="2156"/>
      <c r="D40" s="2156"/>
      <c r="E40" s="2156"/>
    </row>
    <row r="41" spans="1:5" x14ac:dyDescent="0.2">
      <c r="A41" s="2157" t="s">
        <v>1588</v>
      </c>
      <c r="B41" s="2157"/>
      <c r="C41" s="2157"/>
      <c r="D41" s="2157"/>
      <c r="E41" s="2157"/>
    </row>
    <row r="42" spans="1:5" ht="12.75" customHeight="1" x14ac:dyDescent="0.2">
      <c r="A42" s="2158" t="s">
        <v>1014</v>
      </c>
      <c r="B42" s="2158"/>
      <c r="C42" s="2158"/>
      <c r="D42" s="2158"/>
      <c r="E42" s="2158"/>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9" t="s">
        <v>1750</v>
      </c>
    </row>
    <row r="60" spans="1:3" x14ac:dyDescent="0.2">
      <c r="A60" s="191"/>
      <c r="B60" s="1249"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1"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0"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0" sqref="C10"/>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1970</v>
      </c>
    </row>
    <row r="17" spans="1:2" ht="6" customHeight="1" x14ac:dyDescent="0.2"/>
    <row r="18" spans="1:2" ht="24.75" customHeight="1" x14ac:dyDescent="0.2">
      <c r="A18" s="2478" t="s">
        <v>1662</v>
      </c>
      <c r="B18" s="2478"/>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56322" r:id="rId4">
          <objectPr defaultSize="0" r:id="rId5">
            <anchor moveWithCells="1">
              <from>
                <xdr:col>1</xdr:col>
                <xdr:colOff>1476375</xdr:colOff>
                <xdr:row>5</xdr:row>
                <xdr:rowOff>142875</xdr:rowOff>
              </from>
              <to>
                <xdr:col>1</xdr:col>
                <xdr:colOff>2390775</xdr:colOff>
                <xdr:row>10</xdr:row>
                <xdr:rowOff>19050</xdr:rowOff>
              </to>
            </anchor>
          </objectPr>
        </oleObject>
      </mc:Choice>
      <mc:Fallback>
        <oleObject progId="Acrobat Document" dvAspect="DVASPECT_ICON" shapeId="56322" r:id="rId4"/>
      </mc:Fallback>
    </mc:AlternateContent>
    <mc:AlternateContent xmlns:mc="http://schemas.openxmlformats.org/markup-compatibility/2006">
      <mc:Choice Requires="x14">
        <oleObject progId="Acrobat Document" dvAspect="DVASPECT_ICON" shapeId="56323" r:id="rId6">
          <objectPr defaultSize="0" r:id="rId7">
            <anchor moveWithCells="1">
              <from>
                <xdr:col>1</xdr:col>
                <xdr:colOff>161925</xdr:colOff>
                <xdr:row>5</xdr:row>
                <xdr:rowOff>133350</xdr:rowOff>
              </from>
              <to>
                <xdr:col>1</xdr:col>
                <xdr:colOff>1076325</xdr:colOff>
                <xdr:row>10</xdr:row>
                <xdr:rowOff>9525</xdr:rowOff>
              </to>
            </anchor>
          </objectPr>
        </oleObject>
      </mc:Choice>
      <mc:Fallback>
        <oleObject progId="Acrobat Document" dvAspect="DVASPECT_ICON" shapeId="56323"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9" t="s">
        <v>1666</v>
      </c>
      <c r="B1" s="2480"/>
      <c r="C1" s="2480"/>
      <c r="D1" s="2480"/>
      <c r="E1" s="2480"/>
      <c r="F1" s="2481"/>
    </row>
    <row r="2" spans="1:8" ht="45" customHeight="1" x14ac:dyDescent="0.2">
      <c r="A2" s="248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0"/>
      <c r="C2" s="2490"/>
      <c r="D2" s="2490"/>
      <c r="E2" s="2490"/>
      <c r="F2" s="2491"/>
      <c r="G2" s="846"/>
      <c r="H2" s="846"/>
    </row>
    <row r="3" spans="1:8" ht="57" customHeight="1" x14ac:dyDescent="0.2">
      <c r="A3" s="2492" t="s">
        <v>1969</v>
      </c>
      <c r="B3" s="2493"/>
      <c r="C3" s="2493"/>
      <c r="D3" s="2493"/>
      <c r="E3" s="2493"/>
      <c r="F3" s="2494"/>
      <c r="G3" s="846"/>
      <c r="H3" s="846"/>
    </row>
    <row r="4" spans="1:8" ht="14.25" customHeight="1" x14ac:dyDescent="0.2">
      <c r="A4" s="249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9"/>
      <c r="C4" s="2499"/>
      <c r="D4" s="2499"/>
      <c r="E4" s="2499"/>
      <c r="F4" s="2500"/>
      <c r="G4" s="846"/>
      <c r="H4" s="846"/>
    </row>
    <row r="5" spans="1:8" ht="14.25" customHeight="1" x14ac:dyDescent="0.2">
      <c r="A5" s="250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2"/>
      <c r="C5" s="2502"/>
      <c r="D5" s="2502"/>
      <c r="E5" s="2502"/>
      <c r="F5" s="2503"/>
      <c r="G5" s="846"/>
      <c r="H5" s="846"/>
    </row>
    <row r="6" spans="1:8" s="847" customFormat="1" ht="41.25" customHeight="1" x14ac:dyDescent="0.2">
      <c r="A6" s="2495" t="s">
        <v>1667</v>
      </c>
      <c r="B6" s="2496"/>
      <c r="C6" s="2496"/>
      <c r="D6" s="2496"/>
      <c r="E6" s="2496"/>
      <c r="F6" s="2497"/>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11738403</v>
      </c>
      <c r="C8" s="1802">
        <f>'Acct Summary 7-8'!D8</f>
        <v>1698094</v>
      </c>
      <c r="D8" s="1802">
        <f>'Acct Summary 7-8'!F8</f>
        <v>628023</v>
      </c>
      <c r="E8" s="1802">
        <f>'Acct Summary 7-8'!I8</f>
        <v>51003</v>
      </c>
      <c r="F8" s="1802">
        <f>SUM(B8:E8)</f>
        <v>14115523</v>
      </c>
    </row>
    <row r="9" spans="1:8" s="851" customFormat="1" ht="14.25" customHeight="1" thickBot="1" x14ac:dyDescent="0.25">
      <c r="A9" s="850" t="s">
        <v>1351</v>
      </c>
      <c r="B9" s="1803">
        <f>'Acct Summary 7-8'!C17</f>
        <v>13659256</v>
      </c>
      <c r="C9" s="1803">
        <f>'Acct Summary 7-8'!D17</f>
        <v>1372028</v>
      </c>
      <c r="D9" s="1803">
        <f>'Acct Summary 7-8'!F17</f>
        <v>470129</v>
      </c>
      <c r="E9" s="1802"/>
      <c r="F9" s="1802">
        <f>SUM(B9:E9)</f>
        <v>15501413</v>
      </c>
    </row>
    <row r="10" spans="1:8" s="851" customFormat="1" ht="14.25" thickTop="1" thickBot="1" x14ac:dyDescent="0.25">
      <c r="A10" s="852" t="s">
        <v>1352</v>
      </c>
      <c r="B10" s="1804">
        <f>(B8-B9)</f>
        <v>-1920853</v>
      </c>
      <c r="C10" s="1804">
        <f>(C8-C9)</f>
        <v>326066</v>
      </c>
      <c r="D10" s="1804">
        <f>(D8-D9)</f>
        <v>157894</v>
      </c>
      <c r="E10" s="1803">
        <f>(E8-E9)</f>
        <v>51003</v>
      </c>
      <c r="F10" s="1805">
        <f>SUM(F8-F9)</f>
        <v>-1385890</v>
      </c>
    </row>
    <row r="11" spans="1:8" s="851" customFormat="1" ht="14.25" thickTop="1" thickBot="1" x14ac:dyDescent="0.25">
      <c r="A11" s="853" t="s">
        <v>1900</v>
      </c>
      <c r="B11" s="1806">
        <f>'Acct Summary 7-8'!C81</f>
        <v>9518484</v>
      </c>
      <c r="C11" s="1806">
        <f>'Acct Summary 7-8'!D81</f>
        <v>3818947</v>
      </c>
      <c r="D11" s="1806">
        <f>'Acct Summary 7-8'!F81</f>
        <v>2515474</v>
      </c>
      <c r="E11" s="1806">
        <f>'Acct Summary 7-8'!I81</f>
        <v>1139004</v>
      </c>
      <c r="F11" s="1807">
        <f>SUM(B11:E11)</f>
        <v>16991909</v>
      </c>
    </row>
    <row r="12" spans="1:8" ht="16.5" customHeight="1" thickTop="1" x14ac:dyDescent="0.2">
      <c r="A12" s="854"/>
      <c r="B12" s="855"/>
      <c r="C12" s="2483" t="str">
        <f>IF(AND(F10&lt;0,F11&gt;=0,ABS(F10*3)&gt;ABS(F11)),A16,IF(AND(F10&lt;0,F11&gt;0,ABS(F10*3)&lt;=ABS(F11)),A17,IF(AND(F10&lt;0,F11&lt;0),A16,IF(F11=0,A19,A18))))</f>
        <v>Unbalanced -  however, a deficit reduction plan is not required at this time.</v>
      </c>
      <c r="D12" s="2484"/>
      <c r="E12" s="2484"/>
      <c r="F12" s="2485"/>
    </row>
    <row r="13" spans="1:8" ht="19.5" customHeight="1" x14ac:dyDescent="0.2">
      <c r="A13" s="856"/>
      <c r="B13" s="857"/>
      <c r="C13" s="2483"/>
      <c r="D13" s="2484"/>
      <c r="E13" s="2484"/>
      <c r="F13" s="2485"/>
      <c r="H13" s="846"/>
    </row>
    <row r="14" spans="1:8" ht="19.5" customHeight="1" x14ac:dyDescent="0.2">
      <c r="A14" s="856"/>
      <c r="B14" s="857"/>
      <c r="C14" s="2483"/>
      <c r="D14" s="2484"/>
      <c r="E14" s="2484"/>
      <c r="F14" s="2485"/>
      <c r="H14" s="846"/>
    </row>
    <row r="15" spans="1:8" ht="17.25" customHeight="1" x14ac:dyDescent="0.2">
      <c r="A15" s="856"/>
      <c r="B15" s="857"/>
      <c r="C15" s="2486"/>
      <c r="D15" s="2487"/>
      <c r="E15" s="2487"/>
      <c r="F15" s="2488"/>
      <c r="H15" s="846"/>
    </row>
    <row r="16" spans="1:8" s="288" customFormat="1" ht="51.75" hidden="1" customHeight="1" x14ac:dyDescent="0.2">
      <c r="A16" s="2482" t="s">
        <v>1663</v>
      </c>
      <c r="B16" s="2482"/>
      <c r="C16" s="2482"/>
      <c r="D16" s="2482"/>
      <c r="E16" s="2482"/>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2" sqref="D82"/>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04" t="s">
        <v>660</v>
      </c>
      <c r="B3" s="2505"/>
      <c r="C3" s="2505"/>
      <c r="D3" s="2506"/>
    </row>
    <row r="4" spans="1:4" x14ac:dyDescent="0.2">
      <c r="A4" s="924" t="s">
        <v>1668</v>
      </c>
      <c r="B4" s="925"/>
      <c r="C4" s="926"/>
      <c r="D4" s="927"/>
    </row>
    <row r="5" spans="1:4" ht="21" customHeight="1" x14ac:dyDescent="0.2">
      <c r="A5" s="920"/>
      <c r="B5" s="921">
        <v>1</v>
      </c>
      <c r="C5" s="922" t="s">
        <v>1971</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15" t="s">
        <v>1484</v>
      </c>
      <c r="D7" s="2516"/>
    </row>
    <row r="8" spans="1:4" s="542" customFormat="1" ht="12.75" x14ac:dyDescent="0.2">
      <c r="A8" s="910"/>
      <c r="B8" s="865"/>
      <c r="C8" s="868" t="s">
        <v>1483</v>
      </c>
      <c r="D8" s="869"/>
    </row>
    <row r="9" spans="1:4" s="542" customFormat="1" ht="14.25" customHeight="1" x14ac:dyDescent="0.2">
      <c r="A9" s="910"/>
      <c r="B9" s="865">
        <f>B7+1</f>
        <v>4</v>
      </c>
      <c r="C9" s="866" t="s">
        <v>1876</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07" t="s">
        <v>1000</v>
      </c>
      <c r="B15" s="2508"/>
      <c r="C15" s="2508"/>
      <c r="D15" s="2509"/>
    </row>
    <row r="16" spans="1:4" s="542" customFormat="1" ht="24" customHeight="1" x14ac:dyDescent="0.2">
      <c r="A16" s="2510" t="s">
        <v>658</v>
      </c>
      <c r="B16" s="2511"/>
      <c r="C16" s="2511"/>
      <c r="D16" s="2512"/>
    </row>
    <row r="17" spans="1:10" s="542" customFormat="1" ht="12.75" customHeight="1" x14ac:dyDescent="0.2">
      <c r="A17" s="928" t="s">
        <v>1669</v>
      </c>
      <c r="B17" s="929"/>
      <c r="C17" s="930"/>
      <c r="D17" s="931"/>
    </row>
    <row r="18" spans="1:10" s="542" customFormat="1" ht="12.75" customHeight="1" x14ac:dyDescent="0.2">
      <c r="A18" s="932" t="s">
        <v>1972</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19" t="s">
        <v>311</v>
      </c>
      <c r="D21" s="2520"/>
    </row>
    <row r="22" spans="1:10" ht="12.75" x14ac:dyDescent="0.2">
      <c r="A22" s="911"/>
      <c r="B22" s="912">
        <v>2</v>
      </c>
      <c r="C22" s="2517" t="s">
        <v>1504</v>
      </c>
      <c r="D22" s="2518"/>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1" t="s">
        <v>533</v>
      </c>
      <c r="D43" s="2522"/>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13" t="s">
        <v>778</v>
      </c>
      <c r="D56" s="2514"/>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1877</v>
      </c>
      <c r="D66" s="897"/>
    </row>
    <row r="67" spans="1:4" x14ac:dyDescent="0.2">
      <c r="A67" s="891"/>
      <c r="B67" s="912"/>
      <c r="C67" s="919" t="s">
        <v>1013</v>
      </c>
      <c r="D67" s="897"/>
    </row>
    <row r="68" spans="1:4" x14ac:dyDescent="0.2">
      <c r="A68" s="872"/>
      <c r="B68" s="882"/>
      <c r="C68" s="874" t="s">
        <v>1878</v>
      </c>
      <c r="D68" s="896" t="str">
        <f>IF('Short-Term Long-Term Debt 24'!F49=SUM(,'Acct Summary 7-8'!C33:K33),"OK","ERROR!")</f>
        <v>OK</v>
      </c>
    </row>
    <row r="69" spans="1:4" x14ac:dyDescent="0.2">
      <c r="A69" s="872"/>
      <c r="B69" s="882"/>
      <c r="C69" s="874" t="s">
        <v>1879</v>
      </c>
      <c r="D69" s="896" t="str">
        <f>IF('Expenditures 15-22'!H170&lt;&gt;'Short-Term Long-Term Debt 24'!H49,"ERROR!","OK")</f>
        <v>OK</v>
      </c>
    </row>
    <row r="70" spans="1:4" x14ac:dyDescent="0.2">
      <c r="A70" s="870"/>
      <c r="B70" s="892">
        <f>B66+1</f>
        <v>9</v>
      </c>
      <c r="C70" s="2513" t="s">
        <v>1671</v>
      </c>
      <c r="D70" s="2514"/>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1880</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1985</v>
      </c>
      <c r="D78" s="896" t="str">
        <f>IF(ISNUMBER('Acct Summary 7-8'!C9),"OK","ENTRY IS REQUIRED!")</f>
        <v>OK</v>
      </c>
    </row>
    <row r="79" spans="1:4" x14ac:dyDescent="0.2">
      <c r="A79" s="891"/>
      <c r="B79" s="892">
        <f>B74+1+1</f>
        <v>12</v>
      </c>
      <c r="C79" s="902" t="s">
        <v>1868</v>
      </c>
      <c r="D79" s="903" t="str">
        <f>IF(OR(COVER!$B$6="X",'PCTC-OEPP 27-28'!F79&gt;0),"OK","PLEASE ENTER 9 MO ADA.")</f>
        <v>OK</v>
      </c>
    </row>
    <row r="80" spans="1:4" x14ac:dyDescent="0.2">
      <c r="A80" s="870"/>
      <c r="B80" s="892">
        <v>13</v>
      </c>
      <c r="C80" s="902" t="s">
        <v>1973</v>
      </c>
      <c r="D80" s="903" t="str">
        <f>IF(OR(COVER!$B$6="X",ISNUMBER('PCTC-OEPP 27-28'!F172)),"OK","PLEASE ENTER AMOUNT or 0.")</f>
        <v>OK</v>
      </c>
    </row>
    <row r="81" spans="1:4" x14ac:dyDescent="0.2">
      <c r="A81" s="870"/>
      <c r="B81" s="892">
        <v>14</v>
      </c>
      <c r="C81" s="902" t="s">
        <v>1974</v>
      </c>
      <c r="D81" s="903" t="str">
        <f>IF(OR(COVER!$B$6="X",ISNUMBER('PCTC-OEPP 27-28'!F173)),"OK","PLEASE ENTER AMOUNT or 0.")</f>
        <v>OK</v>
      </c>
    </row>
    <row r="82" spans="1:4" ht="22.5" x14ac:dyDescent="0.2">
      <c r="A82" s="870"/>
      <c r="B82" s="892">
        <v>15</v>
      </c>
      <c r="C82" s="902" t="s">
        <v>1881</v>
      </c>
      <c r="D82" s="1888" t="str">
        <f>IF('Contracts Paid in CY 29'!$D$142&gt;0,"OK","PLEASE ENTER CONTRACTS PAID IN CURRENT YEAR.  IF NONE, STATE NO CONTRACTS ON PAGE 29.")</f>
        <v>PLEASE ENTER CONTRACTS PAID IN CURRENT YEAR.  IF NONE, STATE NO CONTRACTS ON PAGE 29.</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1964</v>
      </c>
      <c r="F1" s="1536" t="s">
        <v>1965</v>
      </c>
      <c r="G1" s="1887" t="s">
        <v>1975</v>
      </c>
    </row>
    <row r="2" spans="1:7" ht="15.75" x14ac:dyDescent="0.25">
      <c r="A2" t="s">
        <v>260</v>
      </c>
      <c r="B2" s="135">
        <f>COVER!A13</f>
        <v>44063002003</v>
      </c>
      <c r="E2" s="1535">
        <v>2020</v>
      </c>
      <c r="F2" s="1535">
        <v>1</v>
      </c>
      <c r="G2" s="1886">
        <v>101000300</v>
      </c>
    </row>
    <row r="3" spans="1:7" ht="15" x14ac:dyDescent="0.25">
      <c r="A3" t="s">
        <v>949</v>
      </c>
      <c r="B3" s="135" t="str">
        <f>COVER!A15</f>
        <v>MCHENRY</v>
      </c>
      <c r="E3" s="1819" t="s">
        <v>1968</v>
      </c>
      <c r="F3" s="1819" t="s">
        <v>1967</v>
      </c>
      <c r="G3" s="1886">
        <v>101000400</v>
      </c>
    </row>
    <row r="4" spans="1:7" ht="15" x14ac:dyDescent="0.25">
      <c r="A4" t="s">
        <v>999</v>
      </c>
      <c r="B4" s="135" t="str">
        <f>COVER!A17</f>
        <v xml:space="preserve"> Nippersink SD 2</v>
      </c>
      <c r="E4" s="1817">
        <v>44119</v>
      </c>
      <c r="F4" s="1818">
        <v>44151</v>
      </c>
      <c r="G4" s="1886">
        <v>101000600</v>
      </c>
    </row>
    <row r="5" spans="1:7" ht="15" x14ac:dyDescent="0.25">
      <c r="A5" t="s">
        <v>698</v>
      </c>
      <c r="B5" s="135">
        <f>COVER!A38</f>
        <v>0</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CASH</v>
      </c>
      <c r="G9" s="1886">
        <v>102100800</v>
      </c>
    </row>
    <row r="10" spans="1:7" ht="15" x14ac:dyDescent="0.25">
      <c r="A10" t="s">
        <v>969</v>
      </c>
      <c r="B10" s="135" t="str">
        <f>COVER!B5</f>
        <v>x</v>
      </c>
      <c r="G10" s="1886">
        <v>202100300</v>
      </c>
    </row>
    <row r="11" spans="1:7" ht="15" x14ac:dyDescent="0.25">
      <c r="A11" t="s">
        <v>970</v>
      </c>
      <c r="B11" s="135">
        <f>COVER!B6</f>
        <v>0</v>
      </c>
      <c r="G11" s="1886">
        <v>202100400</v>
      </c>
    </row>
    <row r="12" spans="1:7" ht="15" x14ac:dyDescent="0.25">
      <c r="A12" s="1" t="s">
        <v>1523</v>
      </c>
      <c r="B12" s="135" t="str">
        <f>IF(COVER!J29="x","Yes",IF(COVER!L29="X","No",0))</f>
        <v>No</v>
      </c>
      <c r="G12" s="1886">
        <v>202100600</v>
      </c>
    </row>
    <row r="13" spans="1:7" ht="15" x14ac:dyDescent="0.25">
      <c r="A13" s="1" t="s">
        <v>1524</v>
      </c>
      <c r="B13" s="135" t="str">
        <f>IF(COVER!J30="x","Yes",IF(COVER!L30="x","No",0))</f>
        <v>No</v>
      </c>
      <c r="G13" s="1886">
        <v>202100800</v>
      </c>
    </row>
    <row r="14" spans="1:7" ht="15" x14ac:dyDescent="0.25">
      <c r="A14" t="s">
        <v>473</v>
      </c>
      <c r="B14" s="135" t="str">
        <f>IF(COVER!J31="x","Yes",IF(COVER!L31="x","No",0))</f>
        <v>No</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KEVIN SMITH</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Yes</v>
      </c>
      <c r="G49" s="1886">
        <v>102540800</v>
      </c>
    </row>
    <row r="50" spans="1:7" ht="15" x14ac:dyDescent="0.25">
      <c r="A50" s="1" t="s">
        <v>1460</v>
      </c>
      <c r="B50" s="146">
        <f>'Aud Quest 2'!H53</f>
        <v>33239</v>
      </c>
      <c r="G50" s="1886">
        <v>202540300</v>
      </c>
    </row>
    <row r="51" spans="1:7" ht="15" x14ac:dyDescent="0.25">
      <c r="A51" s="1" t="s">
        <v>1462</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0</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1605288</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0</v>
      </c>
      <c r="D76" s="2" t="str">
        <f t="shared" si="0"/>
        <v>Error?</v>
      </c>
      <c r="G76" s="1886">
        <v>102570600</v>
      </c>
    </row>
    <row r="77" spans="1:7" ht="15" x14ac:dyDescent="0.25">
      <c r="A77" s="5">
        <v>16</v>
      </c>
      <c r="B77" s="1821">
        <f>'Assets-Liab 5-6'!C13</f>
        <v>9563625</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43560</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0</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45141</v>
      </c>
      <c r="C91" s="2" t="s">
        <v>569</v>
      </c>
      <c r="D91" s="2" t="str">
        <f t="shared" si="0"/>
        <v>Error?</v>
      </c>
      <c r="G91" s="1886">
        <v>102640400</v>
      </c>
    </row>
    <row r="92" spans="1:7" ht="15" x14ac:dyDescent="0.25">
      <c r="A92" s="5">
        <v>31</v>
      </c>
      <c r="B92" s="1821">
        <f>'Assets-Liab 5-6'!C39</f>
        <v>9518484</v>
      </c>
      <c r="D92" s="2" t="str">
        <f t="shared" si="0"/>
        <v>Error?</v>
      </c>
      <c r="G92" s="1886">
        <v>102640600</v>
      </c>
    </row>
    <row r="93" spans="1:7" ht="15" x14ac:dyDescent="0.25">
      <c r="A93" s="5">
        <v>32</v>
      </c>
      <c r="B93" s="1821">
        <f>'Assets-Liab 5-6'!C41</f>
        <v>9563625</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0</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641009</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3819336</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351</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0</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389</v>
      </c>
      <c r="C122" s="2" t="s">
        <v>569</v>
      </c>
      <c r="D122" s="2" t="str">
        <f t="shared" si="0"/>
        <v>Error?</v>
      </c>
      <c r="G122" s="1886">
        <v>203000300</v>
      </c>
    </row>
    <row r="123" spans="1:7" ht="15" x14ac:dyDescent="0.25">
      <c r="A123" s="5">
        <v>62</v>
      </c>
      <c r="B123" s="1821">
        <f>'Assets-Liab 5-6'!D39</f>
        <v>3818947</v>
      </c>
      <c r="D123" s="2" t="str">
        <f t="shared" si="0"/>
        <v>Error?</v>
      </c>
      <c r="G123" s="1886">
        <v>203000400</v>
      </c>
    </row>
    <row r="124" spans="1:7" ht="15" x14ac:dyDescent="0.25">
      <c r="A124" s="5">
        <v>63</v>
      </c>
      <c r="B124" s="1821">
        <f>'Assets-Liab 5-6'!D41</f>
        <v>3819336</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0</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0</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0</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0</v>
      </c>
      <c r="C139" s="2" t="s">
        <v>569</v>
      </c>
      <c r="D139" s="2" t="str">
        <f t="shared" si="1"/>
        <v>Error?</v>
      </c>
    </row>
    <row r="140" spans="1:7" x14ac:dyDescent="0.2">
      <c r="A140" s="5">
        <v>79</v>
      </c>
      <c r="B140" s="1821">
        <f>'Assets-Liab 5-6'!E39</f>
        <v>0</v>
      </c>
      <c r="D140" s="2" t="str">
        <f t="shared" si="1"/>
        <v>Error?</v>
      </c>
    </row>
    <row r="141" spans="1:7" x14ac:dyDescent="0.2">
      <c r="A141" s="5">
        <v>80</v>
      </c>
      <c r="B141" s="1821">
        <f>'Assets-Liab 5-6'!E41</f>
        <v>0</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0</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422231</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2515474</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0</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0</v>
      </c>
      <c r="C169" s="2" t="s">
        <v>569</v>
      </c>
      <c r="D169" s="2" t="str">
        <f t="shared" si="1"/>
        <v>Error?</v>
      </c>
    </row>
    <row r="170" spans="1:4" x14ac:dyDescent="0.2">
      <c r="A170" s="5">
        <v>109</v>
      </c>
      <c r="B170" s="1821">
        <f>'Assets-Liab 5-6'!F39</f>
        <v>2515474</v>
      </c>
      <c r="D170" s="2" t="str">
        <f t="shared" si="1"/>
        <v>Error?</v>
      </c>
    </row>
    <row r="171" spans="1:4" x14ac:dyDescent="0.2">
      <c r="A171" s="5">
        <v>110</v>
      </c>
      <c r="B171" s="1821">
        <f>'Assets-Liab 5-6'!F41</f>
        <v>2515474</v>
      </c>
      <c r="C171" s="2" t="s">
        <v>569</v>
      </c>
      <c r="D171" s="2" t="str">
        <f t="shared" si="1"/>
        <v>Error?</v>
      </c>
    </row>
    <row r="172" spans="1:4" x14ac:dyDescent="0.2">
      <c r="A172" s="10">
        <v>111</v>
      </c>
      <c r="B172" s="1821"/>
      <c r="D172" s="2" t="str">
        <f t="shared" si="1"/>
        <v>OK</v>
      </c>
    </row>
    <row r="173" spans="1:4" x14ac:dyDescent="0.2">
      <c r="A173" s="5">
        <v>112</v>
      </c>
      <c r="B173" s="1821">
        <f>'Assets-Liab 5-6'!G6</f>
        <v>0</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105340</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627569</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0</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1502</v>
      </c>
      <c r="C188" s="2" t="s">
        <v>569</v>
      </c>
      <c r="D188" s="2" t="str">
        <f t="shared" si="1"/>
        <v>Error?</v>
      </c>
    </row>
    <row r="189" spans="1:4" x14ac:dyDescent="0.2">
      <c r="A189" s="5">
        <v>128</v>
      </c>
      <c r="B189" s="1821">
        <f>'Assets-Liab 5-6'!G39</f>
        <v>189915</v>
      </c>
      <c r="D189" s="2" t="str">
        <f t="shared" si="1"/>
        <v>Error?</v>
      </c>
    </row>
    <row r="190" spans="1:4" x14ac:dyDescent="0.2">
      <c r="A190" s="5">
        <v>129</v>
      </c>
      <c r="B190" s="1821">
        <f>'Assets-Liab 5-6'!G41</f>
        <v>627569</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394655</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2351183</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0</v>
      </c>
      <c r="C211" s="2" t="s">
        <v>569</v>
      </c>
      <c r="D211" s="2" t="str">
        <f t="shared" si="2"/>
        <v>Error?</v>
      </c>
    </row>
    <row r="212" spans="1:4" x14ac:dyDescent="0.2">
      <c r="A212" s="5">
        <v>151</v>
      </c>
      <c r="B212" s="1821">
        <f>'Assets-Liab 5-6'!H39</f>
        <v>2351183</v>
      </c>
      <c r="D212" s="2" t="str">
        <f t="shared" si="2"/>
        <v>Error?</v>
      </c>
    </row>
    <row r="213" spans="1:4" x14ac:dyDescent="0.2">
      <c r="A213" s="12">
        <v>152</v>
      </c>
      <c r="B213" s="1821">
        <f>'Assets-Liab 5-6'!H41</f>
        <v>2351183</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791988</v>
      </c>
      <c r="D273" s="2" t="str">
        <f t="shared" si="3"/>
        <v>Error?</v>
      </c>
    </row>
    <row r="274" spans="1:4" x14ac:dyDescent="0.2">
      <c r="A274" s="5">
        <v>213</v>
      </c>
      <c r="B274" s="1821">
        <f>'Assets-Liab 5-6'!M17</f>
        <v>13115510</v>
      </c>
      <c r="D274" s="2" t="str">
        <f t="shared" si="3"/>
        <v>Error?</v>
      </c>
    </row>
    <row r="275" spans="1:4" x14ac:dyDescent="0.2">
      <c r="A275" s="5">
        <v>214</v>
      </c>
      <c r="B275" s="1821">
        <f>'Assets-Liab 5-6'!M18</f>
        <v>1696192</v>
      </c>
      <c r="D275" s="2" t="str">
        <f t="shared" si="3"/>
        <v>Error?</v>
      </c>
    </row>
    <row r="276" spans="1:4" x14ac:dyDescent="0.2">
      <c r="A276" s="5">
        <v>215</v>
      </c>
      <c r="B276" s="1821">
        <f>'Assets-Liab 5-6'!M19</f>
        <v>5231336</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20835026</v>
      </c>
      <c r="C279" s="2" t="s">
        <v>569</v>
      </c>
      <c r="D279" s="2" t="str">
        <f t="shared" si="3"/>
        <v>Error?</v>
      </c>
    </row>
    <row r="280" spans="1:4" x14ac:dyDescent="0.2">
      <c r="A280" s="5">
        <v>219</v>
      </c>
      <c r="B280" s="1821">
        <f>'Assets-Liab 5-6'!M40</f>
        <v>20835026</v>
      </c>
      <c r="D280" s="2" t="str">
        <f t="shared" si="3"/>
        <v>Error?</v>
      </c>
    </row>
    <row r="281" spans="1:4" x14ac:dyDescent="0.2">
      <c r="A281" s="5">
        <v>220</v>
      </c>
      <c r="B281" s="1821">
        <f>'Assets-Liab 5-6'!M41</f>
        <v>20835026</v>
      </c>
      <c r="C281" s="2" t="s">
        <v>569</v>
      </c>
      <c r="D281" s="2" t="str">
        <f t="shared" si="3"/>
        <v>Error?</v>
      </c>
    </row>
    <row r="282" spans="1:4" x14ac:dyDescent="0.2">
      <c r="A282" s="5">
        <v>221</v>
      </c>
      <c r="B282" s="1821">
        <f>'Assets-Liab 5-6'!N21</f>
        <v>0</v>
      </c>
      <c r="D282" s="2" t="str">
        <f t="shared" si="3"/>
        <v>Error?</v>
      </c>
    </row>
    <row r="283" spans="1:4" x14ac:dyDescent="0.2">
      <c r="A283" s="5">
        <v>222</v>
      </c>
      <c r="B283" s="1821">
        <f>'Assets-Liab 5-6'!N22</f>
        <v>0</v>
      </c>
      <c r="D283" s="2" t="str">
        <f t="shared" si="3"/>
        <v>Error?</v>
      </c>
    </row>
    <row r="284" spans="1:4" x14ac:dyDescent="0.2">
      <c r="A284" s="5">
        <v>223</v>
      </c>
      <c r="B284" s="1821">
        <f>'Assets-Liab 5-6'!N23</f>
        <v>0</v>
      </c>
      <c r="C284" s="2" t="s">
        <v>569</v>
      </c>
      <c r="D284" s="2" t="str">
        <f t="shared" si="3"/>
        <v>Error?</v>
      </c>
    </row>
    <row r="285" spans="1:4" x14ac:dyDescent="0.2">
      <c r="A285" s="5">
        <v>224</v>
      </c>
      <c r="B285" s="1821">
        <f>'Assets-Liab 5-6'!N36</f>
        <v>0</v>
      </c>
      <c r="D285" s="2" t="str">
        <f t="shared" si="3"/>
        <v>Error?</v>
      </c>
    </row>
    <row r="286" spans="1:4" x14ac:dyDescent="0.2">
      <c r="A286" s="10">
        <v>225</v>
      </c>
      <c r="B286" s="1821"/>
      <c r="D286" s="2" t="str">
        <f t="shared" si="3"/>
        <v>OK</v>
      </c>
    </row>
    <row r="287" spans="1:4" x14ac:dyDescent="0.2">
      <c r="A287" s="5">
        <v>226</v>
      </c>
      <c r="B287" s="1821">
        <f>'Assets-Liab 5-6'!N37</f>
        <v>0</v>
      </c>
      <c r="C287" s="2" t="s">
        <v>569</v>
      </c>
      <c r="D287" s="2" t="str">
        <f t="shared" si="3"/>
        <v>Error?</v>
      </c>
    </row>
    <row r="288" spans="1:4" x14ac:dyDescent="0.2">
      <c r="A288" s="5">
        <v>227</v>
      </c>
      <c r="B288" s="1821">
        <f>'Assets-Liab 5-6'!N41</f>
        <v>0</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5505862</v>
      </c>
      <c r="D705" s="2" t="str">
        <f t="shared" si="10"/>
        <v>Error?</v>
      </c>
    </row>
    <row r="706" spans="1:4" x14ac:dyDescent="0.2">
      <c r="A706" s="5">
        <v>645</v>
      </c>
      <c r="B706" s="1821">
        <f>'Expenditures 15-22'!C16</f>
        <v>64630</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0</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0</v>
      </c>
      <c r="D717" s="2" t="str">
        <f t="shared" si="10"/>
        <v>Error?</v>
      </c>
    </row>
    <row r="718" spans="1:4" x14ac:dyDescent="0.2">
      <c r="A718" s="5">
        <v>657</v>
      </c>
      <c r="B718" s="1821">
        <f>'Expenditures 15-22'!C14</f>
        <v>71620</v>
      </c>
      <c r="D718" s="2" t="str">
        <f t="shared" si="10"/>
        <v>Error?</v>
      </c>
    </row>
    <row r="719" spans="1:4" x14ac:dyDescent="0.2">
      <c r="A719" s="5">
        <v>658</v>
      </c>
      <c r="B719" s="1821">
        <f>'Expenditures 15-22'!C15</f>
        <v>48335</v>
      </c>
      <c r="D719" s="2" t="str">
        <f t="shared" si="10"/>
        <v>Error?</v>
      </c>
    </row>
    <row r="720" spans="1:4" x14ac:dyDescent="0.2">
      <c r="A720" s="5">
        <v>659</v>
      </c>
      <c r="B720" s="1821">
        <f>'Expenditures 15-22'!C33</f>
        <v>7313892</v>
      </c>
      <c r="C720" s="2" t="s">
        <v>569</v>
      </c>
      <c r="D720" s="2" t="str">
        <f t="shared" si="10"/>
        <v>Error?</v>
      </c>
    </row>
    <row r="721" spans="1:4" x14ac:dyDescent="0.2">
      <c r="A721" s="5">
        <v>660</v>
      </c>
      <c r="B721" s="1821">
        <f>'Expenditures 15-22'!C36</f>
        <v>259838</v>
      </c>
      <c r="D721" s="2" t="str">
        <f t="shared" si="10"/>
        <v>Error?</v>
      </c>
    </row>
    <row r="722" spans="1:4" x14ac:dyDescent="0.2">
      <c r="A722" s="5">
        <v>661</v>
      </c>
      <c r="B722" s="1821">
        <f>'Expenditures 15-22'!C37</f>
        <v>72644</v>
      </c>
      <c r="D722" s="2" t="str">
        <f t="shared" si="10"/>
        <v>Error?</v>
      </c>
    </row>
    <row r="723" spans="1:4" x14ac:dyDescent="0.2">
      <c r="A723" s="5">
        <v>662</v>
      </c>
      <c r="B723" s="1821">
        <f>'Expenditures 15-22'!C38</f>
        <v>130928</v>
      </c>
      <c r="D723" s="2" t="str">
        <f t="shared" si="10"/>
        <v>Error?</v>
      </c>
    </row>
    <row r="724" spans="1:4" x14ac:dyDescent="0.2">
      <c r="A724" s="5">
        <v>663</v>
      </c>
      <c r="B724" s="1821">
        <f>'Expenditures 15-22'!C39</f>
        <v>68330</v>
      </c>
      <c r="D724" s="2" t="str">
        <f t="shared" si="10"/>
        <v>Error?</v>
      </c>
    </row>
    <row r="725" spans="1:4" x14ac:dyDescent="0.2">
      <c r="A725" s="5">
        <v>664</v>
      </c>
      <c r="B725" s="1821">
        <f>'Expenditures 15-22'!C40</f>
        <v>0</v>
      </c>
      <c r="D725" s="2" t="str">
        <f t="shared" si="10"/>
        <v>Error?</v>
      </c>
    </row>
    <row r="726" spans="1:4" x14ac:dyDescent="0.2">
      <c r="A726" s="5">
        <v>665</v>
      </c>
      <c r="B726" s="1821">
        <f>'Expenditures 15-22'!C41</f>
        <v>214175</v>
      </c>
      <c r="D726" s="2" t="str">
        <f t="shared" si="10"/>
        <v>Error?</v>
      </c>
    </row>
    <row r="727" spans="1:4" x14ac:dyDescent="0.2">
      <c r="A727" s="5">
        <v>666</v>
      </c>
      <c r="B727" s="1821">
        <f>'Expenditures 15-22'!C42</f>
        <v>745915</v>
      </c>
      <c r="C727" s="2" t="s">
        <v>569</v>
      </c>
      <c r="D727" s="2" t="str">
        <f t="shared" si="10"/>
        <v>Error?</v>
      </c>
    </row>
    <row r="728" spans="1:4" x14ac:dyDescent="0.2">
      <c r="A728" s="5">
        <v>667</v>
      </c>
      <c r="B728" s="1821">
        <f>'Expenditures 15-22'!C44</f>
        <v>137974</v>
      </c>
      <c r="D728" s="2" t="str">
        <f t="shared" si="10"/>
        <v>Error?</v>
      </c>
    </row>
    <row r="729" spans="1:4" x14ac:dyDescent="0.2">
      <c r="A729" s="5">
        <v>668</v>
      </c>
      <c r="B729" s="1821">
        <f>'Expenditures 15-22'!C45</f>
        <v>208127</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346101</v>
      </c>
      <c r="C731" s="2" t="s">
        <v>569</v>
      </c>
      <c r="D731" s="2" t="str">
        <f t="shared" si="10"/>
        <v>Error?</v>
      </c>
    </row>
    <row r="732" spans="1:4" x14ac:dyDescent="0.2">
      <c r="A732" s="5">
        <v>671</v>
      </c>
      <c r="B732" s="1821">
        <f>'Expenditures 15-22'!C49</f>
        <v>0</v>
      </c>
      <c r="D732" s="2" t="str">
        <f t="shared" si="10"/>
        <v>Error?</v>
      </c>
    </row>
    <row r="733" spans="1:4" x14ac:dyDescent="0.2">
      <c r="A733" s="5">
        <v>672</v>
      </c>
      <c r="B733" s="1821">
        <f>'Expenditures 15-22'!C50</f>
        <v>166030</v>
      </c>
      <c r="D733" s="2" t="str">
        <f t="shared" si="10"/>
        <v>Error?</v>
      </c>
    </row>
    <row r="734" spans="1:4" x14ac:dyDescent="0.2">
      <c r="A734" s="5">
        <v>673</v>
      </c>
      <c r="B734" s="1821">
        <f>'Expenditures 15-22'!C53</f>
        <v>166030</v>
      </c>
      <c r="C734" s="2" t="s">
        <v>569</v>
      </c>
      <c r="D734" s="2" t="str">
        <f t="shared" si="10"/>
        <v>Error?</v>
      </c>
    </row>
    <row r="735" spans="1:4" x14ac:dyDescent="0.2">
      <c r="A735" s="5">
        <v>674</v>
      </c>
      <c r="B735" s="1821">
        <f>'Expenditures 15-22'!C55</f>
        <v>577379</v>
      </c>
      <c r="D735" s="2" t="str">
        <f t="shared" si="10"/>
        <v>Error?</v>
      </c>
    </row>
    <row r="736" spans="1:4" x14ac:dyDescent="0.2">
      <c r="A736" s="5">
        <v>675</v>
      </c>
      <c r="B736" s="1821">
        <f>'Expenditures 15-22'!C56</f>
        <v>64986</v>
      </c>
      <c r="D736" s="2" t="str">
        <f t="shared" si="10"/>
        <v>Error?</v>
      </c>
    </row>
    <row r="737" spans="1:4" x14ac:dyDescent="0.2">
      <c r="A737" s="5">
        <v>676</v>
      </c>
      <c r="B737" s="1821">
        <f>'Expenditures 15-22'!C57</f>
        <v>642365</v>
      </c>
      <c r="C737" s="2" t="s">
        <v>569</v>
      </c>
      <c r="D737" s="2" t="str">
        <f t="shared" si="10"/>
        <v>Error?</v>
      </c>
    </row>
    <row r="738" spans="1:4" x14ac:dyDescent="0.2">
      <c r="A738" s="5">
        <v>677</v>
      </c>
      <c r="B738" s="1821">
        <f>'Expenditures 15-22'!C59</f>
        <v>0</v>
      </c>
      <c r="D738" s="2" t="str">
        <f t="shared" si="10"/>
        <v>Error?</v>
      </c>
    </row>
    <row r="739" spans="1:4" x14ac:dyDescent="0.2">
      <c r="A739" s="5">
        <v>678</v>
      </c>
      <c r="B739" s="1821">
        <f>'Expenditures 15-22'!C60</f>
        <v>59982</v>
      </c>
      <c r="D739" s="2" t="str">
        <f t="shared" si="10"/>
        <v>Error?</v>
      </c>
    </row>
    <row r="740" spans="1:4" x14ac:dyDescent="0.2">
      <c r="A740" s="5">
        <v>679</v>
      </c>
      <c r="B740" s="1821">
        <f>'Expenditures 15-22'!C61</f>
        <v>0</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130013</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189995</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0</v>
      </c>
      <c r="D748" s="2" t="str">
        <f t="shared" si="10"/>
        <v>Error?</v>
      </c>
    </row>
    <row r="749" spans="1:4" x14ac:dyDescent="0.2">
      <c r="A749" s="5">
        <v>688</v>
      </c>
      <c r="B749" s="1821">
        <f>'Expenditures 15-22'!C70</f>
        <v>0</v>
      </c>
      <c r="D749" s="2" t="str">
        <f t="shared" si="10"/>
        <v>Error?</v>
      </c>
    </row>
    <row r="750" spans="1:4" x14ac:dyDescent="0.2">
      <c r="A750" s="10">
        <v>689</v>
      </c>
      <c r="B750" s="1821"/>
      <c r="D750" s="2" t="str">
        <f t="shared" si="10"/>
        <v>OK</v>
      </c>
    </row>
    <row r="751" spans="1:4" x14ac:dyDescent="0.2">
      <c r="A751" s="5">
        <v>690</v>
      </c>
      <c r="B751" s="1821">
        <f>'Expenditures 15-22'!C71</f>
        <v>261770</v>
      </c>
      <c r="D751" s="2" t="str">
        <f t="shared" si="10"/>
        <v>Error?</v>
      </c>
    </row>
    <row r="752" spans="1:4" x14ac:dyDescent="0.2">
      <c r="A752" s="10">
        <v>691</v>
      </c>
      <c r="B752" s="1821"/>
      <c r="D752" s="2" t="str">
        <f t="shared" si="10"/>
        <v>OK</v>
      </c>
    </row>
    <row r="753" spans="1:4" x14ac:dyDescent="0.2">
      <c r="A753" s="5">
        <v>692</v>
      </c>
      <c r="B753" s="1821">
        <f>'Expenditures 15-22'!C72</f>
        <v>261770</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2352176</v>
      </c>
      <c r="C755" s="2" t="s">
        <v>569</v>
      </c>
      <c r="D755" s="2" t="str">
        <f t="shared" si="10"/>
        <v>Error?</v>
      </c>
    </row>
    <row r="756" spans="1:4" x14ac:dyDescent="0.2">
      <c r="A756" s="5">
        <v>695</v>
      </c>
      <c r="B756" s="1821">
        <f>'Expenditures 15-22'!C75</f>
        <v>0</v>
      </c>
      <c r="D756" s="2" t="str">
        <f t="shared" si="10"/>
        <v>Error?</v>
      </c>
    </row>
    <row r="757" spans="1:4" x14ac:dyDescent="0.2">
      <c r="A757" s="5">
        <v>696</v>
      </c>
      <c r="B757" s="1821">
        <f>'Expenditures 15-22'!C114</f>
        <v>9666068</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1503971</v>
      </c>
      <c r="D763" s="2" t="str">
        <f t="shared" si="10"/>
        <v>Error?</v>
      </c>
    </row>
    <row r="764" spans="1:4" x14ac:dyDescent="0.2">
      <c r="A764" s="5">
        <v>703</v>
      </c>
      <c r="B764" s="1821">
        <f>'Expenditures 15-22'!D16</f>
        <v>970</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0</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0</v>
      </c>
      <c r="D775" s="2" t="str">
        <f t="shared" si="11"/>
        <v>Error?</v>
      </c>
    </row>
    <row r="776" spans="1:4" x14ac:dyDescent="0.2">
      <c r="A776" s="5">
        <v>715</v>
      </c>
      <c r="B776" s="1821">
        <f>'Expenditures 15-22'!D14</f>
        <v>1004</v>
      </c>
      <c r="D776" s="2" t="str">
        <f t="shared" si="11"/>
        <v>Error?</v>
      </c>
    </row>
    <row r="777" spans="1:4" x14ac:dyDescent="0.2">
      <c r="A777" s="5">
        <v>716</v>
      </c>
      <c r="B777" s="1821">
        <f>'Expenditures 15-22'!D15</f>
        <v>515</v>
      </c>
      <c r="D777" s="2" t="str">
        <f t="shared" si="11"/>
        <v>Error?</v>
      </c>
    </row>
    <row r="778" spans="1:4" x14ac:dyDescent="0.2">
      <c r="A778" s="5">
        <v>717</v>
      </c>
      <c r="B778" s="1821">
        <f>'Expenditures 15-22'!D33</f>
        <v>1559356</v>
      </c>
      <c r="C778" s="2" t="s">
        <v>569</v>
      </c>
      <c r="D778" s="2" t="str">
        <f t="shared" si="11"/>
        <v>Error?</v>
      </c>
    </row>
    <row r="779" spans="1:4" x14ac:dyDescent="0.2">
      <c r="A779" s="5">
        <v>718</v>
      </c>
      <c r="B779" s="1821">
        <f>'Expenditures 15-22'!D36</f>
        <v>3898</v>
      </c>
      <c r="D779" s="2" t="str">
        <f t="shared" si="11"/>
        <v>Error?</v>
      </c>
    </row>
    <row r="780" spans="1:4" x14ac:dyDescent="0.2">
      <c r="A780" s="5">
        <v>719</v>
      </c>
      <c r="B780" s="1821">
        <f>'Expenditures 15-22'!D37</f>
        <v>1090</v>
      </c>
      <c r="D780" s="2" t="str">
        <f t="shared" si="11"/>
        <v>Error?</v>
      </c>
    </row>
    <row r="781" spans="1:4" x14ac:dyDescent="0.2">
      <c r="A781" s="5">
        <v>720</v>
      </c>
      <c r="B781" s="1821">
        <f>'Expenditures 15-22'!D38</f>
        <v>1383</v>
      </c>
      <c r="D781" s="2" t="str">
        <f t="shared" si="11"/>
        <v>Error?</v>
      </c>
    </row>
    <row r="782" spans="1:4" x14ac:dyDescent="0.2">
      <c r="A782" s="5">
        <v>721</v>
      </c>
      <c r="B782" s="1821">
        <f>'Expenditures 15-22'!D39</f>
        <v>1025</v>
      </c>
      <c r="D782" s="2" t="str">
        <f t="shared" si="11"/>
        <v>Error?</v>
      </c>
    </row>
    <row r="783" spans="1:4" x14ac:dyDescent="0.2">
      <c r="A783" s="5">
        <v>722</v>
      </c>
      <c r="B783" s="1821">
        <f>'Expenditures 15-22'!D40</f>
        <v>0</v>
      </c>
      <c r="D783" s="2" t="str">
        <f t="shared" si="11"/>
        <v>Error?</v>
      </c>
    </row>
    <row r="784" spans="1:4" x14ac:dyDescent="0.2">
      <c r="A784" s="5">
        <v>723</v>
      </c>
      <c r="B784" s="1821">
        <f>'Expenditures 15-22'!D41</f>
        <v>10092</v>
      </c>
      <c r="D784" s="2" t="str">
        <f t="shared" si="11"/>
        <v>Error?</v>
      </c>
    </row>
    <row r="785" spans="1:4" x14ac:dyDescent="0.2">
      <c r="A785" s="5">
        <v>724</v>
      </c>
      <c r="B785" s="1821">
        <f>'Expenditures 15-22'!D42</f>
        <v>17488</v>
      </c>
      <c r="C785" s="2" t="s">
        <v>569</v>
      </c>
      <c r="D785" s="2" t="str">
        <f t="shared" si="11"/>
        <v>Error?</v>
      </c>
    </row>
    <row r="786" spans="1:4" x14ac:dyDescent="0.2">
      <c r="A786" s="5">
        <v>725</v>
      </c>
      <c r="B786" s="1821">
        <f>'Expenditures 15-22'!D44</f>
        <v>15407</v>
      </c>
      <c r="D786" s="2" t="str">
        <f t="shared" si="11"/>
        <v>Error?</v>
      </c>
    </row>
    <row r="787" spans="1:4" x14ac:dyDescent="0.2">
      <c r="A787" s="5">
        <v>726</v>
      </c>
      <c r="B787" s="1821">
        <f>'Expenditures 15-22'!D45</f>
        <v>5308</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20715</v>
      </c>
      <c r="C789" s="2" t="s">
        <v>569</v>
      </c>
      <c r="D789" s="2" t="str">
        <f t="shared" si="11"/>
        <v>Error?</v>
      </c>
    </row>
    <row r="790" spans="1:4" x14ac:dyDescent="0.2">
      <c r="A790" s="5">
        <v>729</v>
      </c>
      <c r="B790" s="1821">
        <f>'Expenditures 15-22'!D49</f>
        <v>0</v>
      </c>
      <c r="D790" s="2" t="str">
        <f t="shared" si="11"/>
        <v>Error?</v>
      </c>
    </row>
    <row r="791" spans="1:4" x14ac:dyDescent="0.2">
      <c r="A791" s="5">
        <v>730</v>
      </c>
      <c r="B791" s="1821">
        <f>'Expenditures 15-22'!D50</f>
        <v>6022</v>
      </c>
      <c r="D791" s="2" t="str">
        <f t="shared" si="11"/>
        <v>Error?</v>
      </c>
    </row>
    <row r="792" spans="1:4" x14ac:dyDescent="0.2">
      <c r="A792" s="5">
        <v>731</v>
      </c>
      <c r="B792" s="1821">
        <f>'Expenditures 15-22'!D53</f>
        <v>6022</v>
      </c>
      <c r="C792" s="2" t="s">
        <v>569</v>
      </c>
      <c r="D792" s="2" t="str">
        <f t="shared" si="11"/>
        <v>Error?</v>
      </c>
    </row>
    <row r="793" spans="1:4" x14ac:dyDescent="0.2">
      <c r="A793" s="5">
        <v>732</v>
      </c>
      <c r="B793" s="1821">
        <f>'Expenditures 15-22'!D55</f>
        <v>56115</v>
      </c>
      <c r="D793" s="2" t="str">
        <f t="shared" si="11"/>
        <v>Error?</v>
      </c>
    </row>
    <row r="794" spans="1:4" x14ac:dyDescent="0.2">
      <c r="A794" s="5">
        <v>733</v>
      </c>
      <c r="B794" s="1821">
        <f>'Expenditures 15-22'!D56</f>
        <v>10747</v>
      </c>
      <c r="D794" s="2" t="str">
        <f t="shared" si="11"/>
        <v>Error?</v>
      </c>
    </row>
    <row r="795" spans="1:4" x14ac:dyDescent="0.2">
      <c r="A795" s="5">
        <v>734</v>
      </c>
      <c r="B795" s="1821">
        <f>'Expenditures 15-22'!D57</f>
        <v>66862</v>
      </c>
      <c r="C795" s="2" t="s">
        <v>569</v>
      </c>
      <c r="D795" s="2" t="str">
        <f t="shared" si="11"/>
        <v>Error?</v>
      </c>
    </row>
    <row r="796" spans="1:4" x14ac:dyDescent="0.2">
      <c r="A796" s="5">
        <v>735</v>
      </c>
      <c r="B796" s="1821">
        <f>'Expenditures 15-22'!D59</f>
        <v>0</v>
      </c>
      <c r="D796" s="2" t="str">
        <f t="shared" si="11"/>
        <v>Error?</v>
      </c>
    </row>
    <row r="797" spans="1:4" x14ac:dyDescent="0.2">
      <c r="A797" s="5">
        <v>736</v>
      </c>
      <c r="B797" s="1821">
        <f>'Expenditures 15-22'!D60</f>
        <v>5250</v>
      </c>
      <c r="D797" s="2" t="str">
        <f t="shared" si="11"/>
        <v>Error?</v>
      </c>
    </row>
    <row r="798" spans="1:4" x14ac:dyDescent="0.2">
      <c r="A798" s="5">
        <v>737</v>
      </c>
      <c r="B798" s="1821">
        <f>'Expenditures 15-22'!D61</f>
        <v>0</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23854</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29104</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0</v>
      </c>
      <c r="D806" s="2" t="str">
        <f t="shared" si="11"/>
        <v>Error?</v>
      </c>
    </row>
    <row r="807" spans="1:4" x14ac:dyDescent="0.2">
      <c r="A807" s="5">
        <v>746</v>
      </c>
      <c r="B807" s="1821">
        <f>'Expenditures 15-22'!D70</f>
        <v>0</v>
      </c>
      <c r="D807" s="2" t="str">
        <f t="shared" si="11"/>
        <v>Error?</v>
      </c>
    </row>
    <row r="808" spans="1:4" x14ac:dyDescent="0.2">
      <c r="A808" s="10">
        <v>747</v>
      </c>
      <c r="B808" s="1821"/>
      <c r="D808" s="2" t="str">
        <f t="shared" si="11"/>
        <v>OK</v>
      </c>
    </row>
    <row r="809" spans="1:4" x14ac:dyDescent="0.2">
      <c r="A809" s="5">
        <v>748</v>
      </c>
      <c r="B809" s="1821">
        <f>'Expenditures 15-22'!D71</f>
        <v>12335</v>
      </c>
      <c r="D809" s="2" t="str">
        <f t="shared" si="11"/>
        <v>Error?</v>
      </c>
    </row>
    <row r="810" spans="1:4" x14ac:dyDescent="0.2">
      <c r="A810" s="10">
        <v>749</v>
      </c>
      <c r="B810" s="1821"/>
      <c r="D810" s="2" t="str">
        <f t="shared" si="11"/>
        <v>OK</v>
      </c>
    </row>
    <row r="811" spans="1:4" x14ac:dyDescent="0.2">
      <c r="A811" s="5">
        <v>750</v>
      </c>
      <c r="B811" s="1821">
        <f>'Expenditures 15-22'!D72</f>
        <v>12335</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152526</v>
      </c>
      <c r="C813" s="2" t="s">
        <v>569</v>
      </c>
      <c r="D813" s="2" t="str">
        <f t="shared" si="11"/>
        <v>Error?</v>
      </c>
    </row>
    <row r="814" spans="1:4" x14ac:dyDescent="0.2">
      <c r="A814" s="5">
        <v>753</v>
      </c>
      <c r="B814" s="1821">
        <f>'Expenditures 15-22'!D75</f>
        <v>0</v>
      </c>
      <c r="D814" s="2" t="str">
        <f t="shared" si="11"/>
        <v>Error?</v>
      </c>
    </row>
    <row r="815" spans="1:4" x14ac:dyDescent="0.2">
      <c r="A815" s="5">
        <v>754</v>
      </c>
      <c r="B815" s="1821">
        <f>'Expenditures 15-22'!D114</f>
        <v>1711882</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19696</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0</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0</v>
      </c>
      <c r="D833" s="2" t="str">
        <f t="shared" si="12"/>
        <v>Error?</v>
      </c>
    </row>
    <row r="834" spans="1:4" x14ac:dyDescent="0.2">
      <c r="A834" s="5">
        <v>773</v>
      </c>
      <c r="B834" s="1821">
        <f>'Expenditures 15-22'!E14</f>
        <v>5362</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124980</v>
      </c>
      <c r="C836" s="2" t="s">
        <v>569</v>
      </c>
      <c r="D836" s="2" t="str">
        <f t="shared" si="12"/>
        <v>Error?</v>
      </c>
    </row>
    <row r="837" spans="1:4" x14ac:dyDescent="0.2">
      <c r="A837" s="5">
        <v>776</v>
      </c>
      <c r="B837" s="1821">
        <f>'Expenditures 15-22'!E36</f>
        <v>0</v>
      </c>
      <c r="D837" s="2" t="str">
        <f t="shared" si="12"/>
        <v>Error?</v>
      </c>
    </row>
    <row r="838" spans="1:4" x14ac:dyDescent="0.2">
      <c r="A838" s="5">
        <v>777</v>
      </c>
      <c r="B838" s="1821">
        <f>'Expenditures 15-22'!E37</f>
        <v>0</v>
      </c>
      <c r="D838" s="2" t="str">
        <f t="shared" si="12"/>
        <v>Error?</v>
      </c>
    </row>
    <row r="839" spans="1:4" x14ac:dyDescent="0.2">
      <c r="A839" s="5">
        <v>778</v>
      </c>
      <c r="B839" s="1821">
        <f>'Expenditures 15-22'!E38</f>
        <v>0</v>
      </c>
      <c r="D839" s="2" t="str">
        <f t="shared" si="12"/>
        <v>Error?</v>
      </c>
    </row>
    <row r="840" spans="1:4" x14ac:dyDescent="0.2">
      <c r="A840" s="5">
        <v>779</v>
      </c>
      <c r="B840" s="1821">
        <f>'Expenditures 15-22'!E39</f>
        <v>0</v>
      </c>
      <c r="D840" s="2" t="str">
        <f t="shared" si="12"/>
        <v>Error?</v>
      </c>
    </row>
    <row r="841" spans="1:4" x14ac:dyDescent="0.2">
      <c r="A841" s="5">
        <v>780</v>
      </c>
      <c r="B841" s="1821">
        <f>'Expenditures 15-22'!E40</f>
        <v>0</v>
      </c>
      <c r="D841" s="2" t="str">
        <f t="shared" si="12"/>
        <v>Error?</v>
      </c>
    </row>
    <row r="842" spans="1:4" x14ac:dyDescent="0.2">
      <c r="A842" s="5">
        <v>781</v>
      </c>
      <c r="B842" s="1821">
        <f>'Expenditures 15-22'!E41</f>
        <v>0</v>
      </c>
      <c r="D842" s="2" t="str">
        <f t="shared" si="12"/>
        <v>Error?</v>
      </c>
    </row>
    <row r="843" spans="1:4" x14ac:dyDescent="0.2">
      <c r="A843" s="5">
        <v>782</v>
      </c>
      <c r="B843" s="1821">
        <f>'Expenditures 15-22'!E42</f>
        <v>0</v>
      </c>
      <c r="C843" s="2" t="s">
        <v>569</v>
      </c>
      <c r="D843" s="2" t="str">
        <f t="shared" si="12"/>
        <v>Error?</v>
      </c>
    </row>
    <row r="844" spans="1:4" x14ac:dyDescent="0.2">
      <c r="A844" s="5">
        <v>783</v>
      </c>
      <c r="B844" s="1821">
        <f>'Expenditures 15-22'!E44</f>
        <v>456625</v>
      </c>
      <c r="D844" s="2" t="str">
        <f t="shared" si="12"/>
        <v>Error?</v>
      </c>
    </row>
    <row r="845" spans="1:4" x14ac:dyDescent="0.2">
      <c r="A845" s="5">
        <v>784</v>
      </c>
      <c r="B845" s="1821">
        <f>'Expenditures 15-22'!E45</f>
        <v>0</v>
      </c>
      <c r="D845" s="2" t="str">
        <f t="shared" si="12"/>
        <v>Error?</v>
      </c>
    </row>
    <row r="846" spans="1:4" x14ac:dyDescent="0.2">
      <c r="A846" s="5">
        <v>785</v>
      </c>
      <c r="B846" s="1821">
        <f>'Expenditures 15-22'!E46</f>
        <v>0</v>
      </c>
      <c r="D846" s="2" t="str">
        <f t="shared" si="12"/>
        <v>Error?</v>
      </c>
    </row>
    <row r="847" spans="1:4" x14ac:dyDescent="0.2">
      <c r="A847" s="5">
        <v>786</v>
      </c>
      <c r="B847" s="1821">
        <f>'Expenditures 15-22'!E47</f>
        <v>456625</v>
      </c>
      <c r="C847" s="2" t="s">
        <v>569</v>
      </c>
      <c r="D847" s="2" t="str">
        <f t="shared" si="12"/>
        <v>Error?</v>
      </c>
    </row>
    <row r="848" spans="1:4" x14ac:dyDescent="0.2">
      <c r="A848" s="5">
        <v>787</v>
      </c>
      <c r="B848" s="1821">
        <f>'Expenditures 15-22'!E49</f>
        <v>141862</v>
      </c>
      <c r="D848" s="2" t="str">
        <f t="shared" si="12"/>
        <v>Error?</v>
      </c>
    </row>
    <row r="849" spans="1:4" x14ac:dyDescent="0.2">
      <c r="A849" s="5">
        <v>788</v>
      </c>
      <c r="B849" s="1821">
        <f>'Expenditures 15-22'!E50</f>
        <v>454654</v>
      </c>
      <c r="D849" s="2" t="str">
        <f t="shared" si="12"/>
        <v>Error?</v>
      </c>
    </row>
    <row r="850" spans="1:4" x14ac:dyDescent="0.2">
      <c r="A850" s="5">
        <v>789</v>
      </c>
      <c r="B850" s="1821">
        <f>'Expenditures 15-22'!E53</f>
        <v>597306</v>
      </c>
      <c r="C850" s="2" t="s">
        <v>569</v>
      </c>
      <c r="D850" s="2" t="str">
        <f t="shared" si="12"/>
        <v>Error?</v>
      </c>
    </row>
    <row r="851" spans="1:4" x14ac:dyDescent="0.2">
      <c r="A851" s="5">
        <v>790</v>
      </c>
      <c r="B851" s="1821">
        <f>'Expenditures 15-22'!E55</f>
        <v>3798</v>
      </c>
      <c r="D851" s="2" t="str">
        <f t="shared" si="12"/>
        <v>Error?</v>
      </c>
    </row>
    <row r="852" spans="1:4" x14ac:dyDescent="0.2">
      <c r="A852" s="5">
        <v>791</v>
      </c>
      <c r="B852" s="1821">
        <f>'Expenditures 15-22'!E56</f>
        <v>10665</v>
      </c>
      <c r="D852" s="2" t="str">
        <f t="shared" si="12"/>
        <v>Error?</v>
      </c>
    </row>
    <row r="853" spans="1:4" x14ac:dyDescent="0.2">
      <c r="A853" s="5">
        <v>792</v>
      </c>
      <c r="B853" s="1821">
        <f>'Expenditures 15-22'!E57</f>
        <v>14463</v>
      </c>
      <c r="C853" s="2" t="s">
        <v>569</v>
      </c>
      <c r="D853" s="2" t="str">
        <f t="shared" si="12"/>
        <v>Error?</v>
      </c>
    </row>
    <row r="854" spans="1:4" x14ac:dyDescent="0.2">
      <c r="A854" s="5">
        <v>793</v>
      </c>
      <c r="B854" s="1821">
        <f>'Expenditures 15-22'!E59</f>
        <v>0</v>
      </c>
      <c r="D854" s="2" t="str">
        <f t="shared" si="12"/>
        <v>Error?</v>
      </c>
    </row>
    <row r="855" spans="1:4" x14ac:dyDescent="0.2">
      <c r="A855" s="5">
        <v>794</v>
      </c>
      <c r="B855" s="1821">
        <f>'Expenditures 15-22'!E60</f>
        <v>2770</v>
      </c>
      <c r="D855" s="2" t="str">
        <f t="shared" si="12"/>
        <v>Error?</v>
      </c>
    </row>
    <row r="856" spans="1:4" x14ac:dyDescent="0.2">
      <c r="A856" s="5">
        <v>795</v>
      </c>
      <c r="B856" s="1821">
        <f>'Expenditures 15-22'!E61</f>
        <v>0</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541</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3311</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0</v>
      </c>
      <c r="D864" s="2" t="str">
        <f t="shared" si="12"/>
        <v>Error?</v>
      </c>
    </row>
    <row r="865" spans="1:4" x14ac:dyDescent="0.2">
      <c r="A865" s="5">
        <v>804</v>
      </c>
      <c r="B865" s="1821">
        <f>'Expenditures 15-22'!E70</f>
        <v>0</v>
      </c>
      <c r="D865" s="2" t="str">
        <f t="shared" si="12"/>
        <v>Error?</v>
      </c>
    </row>
    <row r="866" spans="1:4" x14ac:dyDescent="0.2">
      <c r="A866" s="10">
        <v>805</v>
      </c>
      <c r="B866" s="1821"/>
      <c r="D866" s="2" t="str">
        <f t="shared" si="12"/>
        <v>OK</v>
      </c>
    </row>
    <row r="867" spans="1:4" x14ac:dyDescent="0.2">
      <c r="A867" s="5">
        <v>806</v>
      </c>
      <c r="B867" s="1821">
        <f>'Expenditures 15-22'!E71</f>
        <v>161392</v>
      </c>
      <c r="D867" s="2" t="str">
        <f t="shared" si="12"/>
        <v>Error?</v>
      </c>
    </row>
    <row r="868" spans="1:4" x14ac:dyDescent="0.2">
      <c r="A868" s="10">
        <v>807</v>
      </c>
      <c r="B868" s="1821"/>
      <c r="D868" s="2" t="str">
        <f t="shared" si="12"/>
        <v>OK</v>
      </c>
    </row>
    <row r="869" spans="1:4" x14ac:dyDescent="0.2">
      <c r="A869" s="5">
        <v>808</v>
      </c>
      <c r="B869" s="1821">
        <f>'Expenditures 15-22'!E72</f>
        <v>161392</v>
      </c>
      <c r="C869" s="2" t="s">
        <v>569</v>
      </c>
      <c r="D869" s="2" t="str">
        <f t="shared" si="12"/>
        <v>Error?</v>
      </c>
    </row>
    <row r="870" spans="1:4" x14ac:dyDescent="0.2">
      <c r="A870" s="5">
        <v>809</v>
      </c>
      <c r="B870" s="1821">
        <f>'Expenditures 15-22'!E73</f>
        <v>13773</v>
      </c>
      <c r="D870" s="2" t="str">
        <f t="shared" si="12"/>
        <v>Error?</v>
      </c>
    </row>
    <row r="871" spans="1:4" x14ac:dyDescent="0.2">
      <c r="A871" s="5">
        <v>810</v>
      </c>
      <c r="B871" s="1821">
        <f>'Expenditures 15-22'!E74</f>
        <v>1246870</v>
      </c>
      <c r="C871" s="2" t="s">
        <v>569</v>
      </c>
      <c r="D871" s="2" t="str">
        <f t="shared" si="12"/>
        <v>Error?</v>
      </c>
    </row>
    <row r="872" spans="1:4" x14ac:dyDescent="0.2">
      <c r="A872" s="5">
        <v>811</v>
      </c>
      <c r="B872" s="1821">
        <f>'Expenditures 15-22'!E75</f>
        <v>0</v>
      </c>
      <c r="D872" s="2" t="str">
        <f t="shared" si="12"/>
        <v>Error?</v>
      </c>
    </row>
    <row r="873" spans="1:4" x14ac:dyDescent="0.2">
      <c r="A873" s="5">
        <v>812</v>
      </c>
      <c r="B873" s="1821">
        <f>'Expenditures 15-22'!E114</f>
        <v>1373230</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123120</v>
      </c>
      <c r="D879" s="2" t="str">
        <f t="shared" si="12"/>
        <v>Error?</v>
      </c>
    </row>
    <row r="880" spans="1:4" x14ac:dyDescent="0.2">
      <c r="A880" s="5">
        <v>819</v>
      </c>
      <c r="B880" s="1821">
        <f>'Expenditures 15-22'!F16</f>
        <v>1252</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0</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0</v>
      </c>
      <c r="D891" s="2" t="str">
        <f t="shared" si="12"/>
        <v>Error?</v>
      </c>
    </row>
    <row r="892" spans="1:4" x14ac:dyDescent="0.2">
      <c r="A892" s="5">
        <v>831</v>
      </c>
      <c r="B892" s="1821">
        <f>'Expenditures 15-22'!F14</f>
        <v>0</v>
      </c>
      <c r="D892" s="2" t="str">
        <f t="shared" si="12"/>
        <v>Error?</v>
      </c>
    </row>
    <row r="893" spans="1:4" x14ac:dyDescent="0.2">
      <c r="A893" s="5">
        <v>832</v>
      </c>
      <c r="B893" s="1821">
        <f>'Expenditures 15-22'!F15</f>
        <v>0</v>
      </c>
      <c r="D893" s="2" t="str">
        <f t="shared" si="12"/>
        <v>Error?</v>
      </c>
    </row>
    <row r="894" spans="1:4" x14ac:dyDescent="0.2">
      <c r="A894" s="5">
        <v>833</v>
      </c>
      <c r="B894" s="1821">
        <f>'Expenditures 15-22'!F33</f>
        <v>125086</v>
      </c>
      <c r="C894" s="2" t="s">
        <v>569</v>
      </c>
      <c r="D894" s="2" t="str">
        <f t="shared" si="12"/>
        <v>Error?</v>
      </c>
    </row>
    <row r="895" spans="1:4" x14ac:dyDescent="0.2">
      <c r="A895" s="5">
        <v>834</v>
      </c>
      <c r="B895" s="1821">
        <f>'Expenditures 15-22'!F36</f>
        <v>0</v>
      </c>
      <c r="D895" s="2" t="str">
        <f t="shared" ref="D895:D958" si="13">IF(ISBLANK(B895),"OK",IF(A895-B895=0,"OK","Error?"))</f>
        <v>Error?</v>
      </c>
    </row>
    <row r="896" spans="1:4" x14ac:dyDescent="0.2">
      <c r="A896" s="5">
        <v>835</v>
      </c>
      <c r="B896" s="1821">
        <f>'Expenditures 15-22'!F37</f>
        <v>1744</v>
      </c>
      <c r="D896" s="2" t="str">
        <f t="shared" si="13"/>
        <v>Error?</v>
      </c>
    </row>
    <row r="897" spans="1:4" x14ac:dyDescent="0.2">
      <c r="A897" s="5">
        <v>836</v>
      </c>
      <c r="B897" s="1821">
        <f>'Expenditures 15-22'!F38</f>
        <v>6005</v>
      </c>
      <c r="D897" s="2" t="str">
        <f t="shared" si="13"/>
        <v>Error?</v>
      </c>
    </row>
    <row r="898" spans="1:4" x14ac:dyDescent="0.2">
      <c r="A898" s="5">
        <v>837</v>
      </c>
      <c r="B898" s="1821">
        <f>'Expenditures 15-22'!F39</f>
        <v>0</v>
      </c>
      <c r="D898" s="2" t="str">
        <f t="shared" si="13"/>
        <v>Error?</v>
      </c>
    </row>
    <row r="899" spans="1:4" x14ac:dyDescent="0.2">
      <c r="A899" s="5">
        <v>838</v>
      </c>
      <c r="B899" s="1821">
        <f>'Expenditures 15-22'!F40</f>
        <v>0</v>
      </c>
      <c r="D899" s="2" t="str">
        <f t="shared" si="13"/>
        <v>Error?</v>
      </c>
    </row>
    <row r="900" spans="1:4" x14ac:dyDescent="0.2">
      <c r="A900" s="5">
        <v>839</v>
      </c>
      <c r="B900" s="1821">
        <f>'Expenditures 15-22'!F41</f>
        <v>0</v>
      </c>
      <c r="D900" s="2" t="str">
        <f t="shared" si="13"/>
        <v>Error?</v>
      </c>
    </row>
    <row r="901" spans="1:4" x14ac:dyDescent="0.2">
      <c r="A901" s="5">
        <v>840</v>
      </c>
      <c r="B901" s="1821">
        <f>'Expenditures 15-22'!F42</f>
        <v>7749</v>
      </c>
      <c r="C901" s="2" t="s">
        <v>569</v>
      </c>
      <c r="D901" s="2" t="str">
        <f t="shared" si="13"/>
        <v>Error?</v>
      </c>
    </row>
    <row r="902" spans="1:4" x14ac:dyDescent="0.2">
      <c r="A902" s="5">
        <v>841</v>
      </c>
      <c r="B902" s="1821">
        <f>'Expenditures 15-22'!F44</f>
        <v>18551</v>
      </c>
      <c r="D902" s="2" t="str">
        <f t="shared" si="13"/>
        <v>Error?</v>
      </c>
    </row>
    <row r="903" spans="1:4" x14ac:dyDescent="0.2">
      <c r="A903" s="5">
        <v>842</v>
      </c>
      <c r="B903" s="1821">
        <f>'Expenditures 15-22'!F45</f>
        <v>7694</v>
      </c>
      <c r="D903" s="2" t="str">
        <f t="shared" si="13"/>
        <v>Error?</v>
      </c>
    </row>
    <row r="904" spans="1:4" x14ac:dyDescent="0.2">
      <c r="A904" s="5">
        <v>843</v>
      </c>
      <c r="B904" s="1821">
        <f>'Expenditures 15-22'!F46</f>
        <v>0</v>
      </c>
      <c r="D904" s="2" t="str">
        <f t="shared" si="13"/>
        <v>Error?</v>
      </c>
    </row>
    <row r="905" spans="1:4" x14ac:dyDescent="0.2">
      <c r="A905" s="5">
        <v>844</v>
      </c>
      <c r="B905" s="1821">
        <f>'Expenditures 15-22'!F47</f>
        <v>26245</v>
      </c>
      <c r="C905" s="2" t="s">
        <v>569</v>
      </c>
      <c r="D905" s="2" t="str">
        <f t="shared" si="13"/>
        <v>Error?</v>
      </c>
    </row>
    <row r="906" spans="1:4" x14ac:dyDescent="0.2">
      <c r="A906" s="5">
        <v>845</v>
      </c>
      <c r="B906" s="1821">
        <f>'Expenditures 15-22'!F49</f>
        <v>3679</v>
      </c>
      <c r="D906" s="2" t="str">
        <f t="shared" si="13"/>
        <v>Error?</v>
      </c>
    </row>
    <row r="907" spans="1:4" x14ac:dyDescent="0.2">
      <c r="A907" s="5">
        <v>846</v>
      </c>
      <c r="B907" s="1821">
        <f>'Expenditures 15-22'!F50</f>
        <v>1373</v>
      </c>
      <c r="D907" s="2" t="str">
        <f t="shared" si="13"/>
        <v>Error?</v>
      </c>
    </row>
    <row r="908" spans="1:4" x14ac:dyDescent="0.2">
      <c r="A908" s="5">
        <v>847</v>
      </c>
      <c r="B908" s="1821">
        <f>'Expenditures 15-22'!F53</f>
        <v>5052</v>
      </c>
      <c r="C908" s="2" t="s">
        <v>569</v>
      </c>
      <c r="D908" s="2" t="str">
        <f t="shared" si="13"/>
        <v>Error?</v>
      </c>
    </row>
    <row r="909" spans="1:4" x14ac:dyDescent="0.2">
      <c r="A909" s="5">
        <v>848</v>
      </c>
      <c r="B909" s="1821">
        <f>'Expenditures 15-22'!F55</f>
        <v>40556</v>
      </c>
      <c r="D909" s="2" t="str">
        <f t="shared" si="13"/>
        <v>Error?</v>
      </c>
    </row>
    <row r="910" spans="1:4" x14ac:dyDescent="0.2">
      <c r="A910" s="5">
        <v>849</v>
      </c>
      <c r="B910" s="1821">
        <f>'Expenditures 15-22'!F56</f>
        <v>885</v>
      </c>
      <c r="D910" s="2" t="str">
        <f t="shared" si="13"/>
        <v>Error?</v>
      </c>
    </row>
    <row r="911" spans="1:4" x14ac:dyDescent="0.2">
      <c r="A911" s="5">
        <v>850</v>
      </c>
      <c r="B911" s="1821">
        <f>'Expenditures 15-22'!F57</f>
        <v>41441</v>
      </c>
      <c r="C911" s="2" t="s">
        <v>569</v>
      </c>
      <c r="D911" s="2" t="str">
        <f t="shared" si="13"/>
        <v>Error?</v>
      </c>
    </row>
    <row r="912" spans="1:4" x14ac:dyDescent="0.2">
      <c r="A912" s="5">
        <v>851</v>
      </c>
      <c r="B912" s="1821">
        <f>'Expenditures 15-22'!F59</f>
        <v>0</v>
      </c>
      <c r="D912" s="2" t="str">
        <f t="shared" si="13"/>
        <v>Error?</v>
      </c>
    </row>
    <row r="913" spans="1:4" x14ac:dyDescent="0.2">
      <c r="A913" s="5">
        <v>852</v>
      </c>
      <c r="B913" s="1821">
        <f>'Expenditures 15-22'!F60</f>
        <v>6149</v>
      </c>
      <c r="D913" s="2" t="str">
        <f t="shared" si="13"/>
        <v>Error?</v>
      </c>
    </row>
    <row r="914" spans="1:4" x14ac:dyDescent="0.2">
      <c r="A914" s="5">
        <v>853</v>
      </c>
      <c r="B914" s="1821">
        <f>'Expenditures 15-22'!F61</f>
        <v>0</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124170</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130319</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0</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62838</v>
      </c>
      <c r="D925" s="2" t="str">
        <f t="shared" si="13"/>
        <v>Error?</v>
      </c>
    </row>
    <row r="926" spans="1:4" x14ac:dyDescent="0.2">
      <c r="A926" s="10">
        <v>865</v>
      </c>
      <c r="B926" s="1821"/>
      <c r="D926" s="2" t="str">
        <f t="shared" si="13"/>
        <v>OK</v>
      </c>
    </row>
    <row r="927" spans="1:4" x14ac:dyDescent="0.2">
      <c r="A927" s="5">
        <v>866</v>
      </c>
      <c r="B927" s="1821">
        <f>'Expenditures 15-22'!F72</f>
        <v>62838</v>
      </c>
      <c r="C927" s="2" t="s">
        <v>569</v>
      </c>
      <c r="D927" s="2" t="str">
        <f t="shared" si="13"/>
        <v>Error?</v>
      </c>
    </row>
    <row r="928" spans="1:4" x14ac:dyDescent="0.2">
      <c r="A928" s="5">
        <v>867</v>
      </c>
      <c r="B928" s="1821">
        <f>'Expenditures 15-22'!F73</f>
        <v>0</v>
      </c>
      <c r="D928" s="2" t="str">
        <f t="shared" si="13"/>
        <v>Error?</v>
      </c>
    </row>
    <row r="929" spans="1:4" x14ac:dyDescent="0.2">
      <c r="A929" s="5">
        <v>868</v>
      </c>
      <c r="B929" s="1821">
        <f>'Expenditures 15-22'!F74</f>
        <v>273644</v>
      </c>
      <c r="C929" s="2" t="s">
        <v>569</v>
      </c>
      <c r="D929" s="2" t="str">
        <f t="shared" si="13"/>
        <v>Error?</v>
      </c>
    </row>
    <row r="930" spans="1:4" x14ac:dyDescent="0.2">
      <c r="A930" s="5">
        <v>869</v>
      </c>
      <c r="B930" s="1821">
        <f>'Expenditures 15-22'!F75</f>
        <v>0</v>
      </c>
      <c r="D930" s="2" t="str">
        <f t="shared" si="13"/>
        <v>Error?</v>
      </c>
    </row>
    <row r="931" spans="1:4" x14ac:dyDescent="0.2">
      <c r="A931" s="5">
        <v>870</v>
      </c>
      <c r="B931" s="1821">
        <f>'Expenditures 15-22'!F114</f>
        <v>398730</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22987</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0</v>
      </c>
      <c r="D949" s="2" t="str">
        <f t="shared" si="13"/>
        <v>Error?</v>
      </c>
    </row>
    <row r="950" spans="1:4" x14ac:dyDescent="0.2">
      <c r="A950" s="5">
        <v>889</v>
      </c>
      <c r="B950" s="1821">
        <f>'Expenditures 15-22'!G14</f>
        <v>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28193</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0</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0</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4838</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4838</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87944</v>
      </c>
      <c r="D983" s="2" t="str">
        <f t="shared" si="14"/>
        <v>Error?</v>
      </c>
    </row>
    <row r="984" spans="1:4" x14ac:dyDescent="0.2">
      <c r="A984" s="10">
        <v>923</v>
      </c>
      <c r="B984" s="1821"/>
      <c r="D984" s="2" t="str">
        <f t="shared" si="14"/>
        <v>OK</v>
      </c>
    </row>
    <row r="985" spans="1:4" x14ac:dyDescent="0.2">
      <c r="A985" s="5">
        <v>924</v>
      </c>
      <c r="B985" s="1821">
        <f>'Expenditures 15-22'!G72</f>
        <v>87944</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92782</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120975</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0</v>
      </c>
      <c r="C995" s="9"/>
      <c r="D995" s="2" t="str">
        <f t="shared" si="14"/>
        <v>Error?</v>
      </c>
    </row>
    <row r="996" spans="1:4" x14ac:dyDescent="0.2">
      <c r="A996" s="5">
        <v>935</v>
      </c>
      <c r="B996" s="1821">
        <f>'Expenditures 15-22'!H16</f>
        <v>639</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750</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1389</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0</v>
      </c>
      <c r="C1017" s="2" t="s">
        <v>569</v>
      </c>
      <c r="D1017" s="2" t="str">
        <f t="shared" si="14"/>
        <v>Error?</v>
      </c>
    </row>
    <row r="1018" spans="1:4" x14ac:dyDescent="0.2">
      <c r="A1018" s="5">
        <v>957</v>
      </c>
      <c r="B1018" s="1821">
        <f>'Expenditures 15-22'!H44</f>
        <v>0</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0</v>
      </c>
      <c r="C1021" s="2" t="s">
        <v>569</v>
      </c>
      <c r="D1021" s="2" t="str">
        <f t="shared" si="14"/>
        <v>Error?</v>
      </c>
    </row>
    <row r="1022" spans="1:4" x14ac:dyDescent="0.2">
      <c r="A1022" s="5">
        <v>961</v>
      </c>
      <c r="B1022" s="1821">
        <f>'Expenditures 15-22'!H49</f>
        <v>40442</v>
      </c>
      <c r="D1022" s="2" t="str">
        <f t="shared" si="14"/>
        <v>Error?</v>
      </c>
    </row>
    <row r="1023" spans="1:4" x14ac:dyDescent="0.2">
      <c r="A1023" s="5">
        <v>962</v>
      </c>
      <c r="B1023" s="1821">
        <f>'Expenditures 15-22'!H50</f>
        <v>3133</v>
      </c>
      <c r="D1023" s="2" t="str">
        <f t="shared" ref="D1023:D1086" si="15">IF(ISBLANK(B1023),"OK",IF(A1023-B1023=0,"OK","Error?"))</f>
        <v>Error?</v>
      </c>
    </row>
    <row r="1024" spans="1:4" x14ac:dyDescent="0.2">
      <c r="A1024" s="5">
        <v>963</v>
      </c>
      <c r="B1024" s="1821">
        <f>'Expenditures 15-22'!H53</f>
        <v>43575</v>
      </c>
      <c r="C1024" s="2" t="s">
        <v>569</v>
      </c>
      <c r="D1024" s="2" t="str">
        <f t="shared" si="15"/>
        <v>Error?</v>
      </c>
    </row>
    <row r="1025" spans="1:4" x14ac:dyDescent="0.2">
      <c r="A1025" s="5">
        <v>964</v>
      </c>
      <c r="B1025" s="1821">
        <f>'Expenditures 15-22'!H55</f>
        <v>4325</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4325</v>
      </c>
      <c r="C1027" s="2" t="s">
        <v>569</v>
      </c>
      <c r="D1027" s="2" t="str">
        <f t="shared" si="15"/>
        <v>Error?</v>
      </c>
    </row>
    <row r="1028" spans="1:4" x14ac:dyDescent="0.2">
      <c r="A1028" s="5">
        <v>967</v>
      </c>
      <c r="B1028" s="1821">
        <f>'Expenditures 15-22'!H59</f>
        <v>0</v>
      </c>
      <c r="D1028" s="2" t="str">
        <f t="shared" si="15"/>
        <v>Error?</v>
      </c>
    </row>
    <row r="1029" spans="1:4" x14ac:dyDescent="0.2">
      <c r="A1029" s="5">
        <v>968</v>
      </c>
      <c r="B1029" s="1821">
        <f>'Expenditures 15-22'!H60</f>
        <v>0</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600</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600</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0</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48500</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331344</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381233</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1994</v>
      </c>
      <c r="E1056" s="4" t="s">
        <v>1993</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7182774</v>
      </c>
      <c r="C1093" s="2" t="s">
        <v>569</v>
      </c>
      <c r="D1093" s="2" t="str">
        <f t="shared" si="16"/>
        <v>Error?</v>
      </c>
    </row>
    <row r="1094" spans="1:4" x14ac:dyDescent="0.2">
      <c r="A1094" s="5">
        <v>1033</v>
      </c>
      <c r="B1094" s="1821">
        <f>'Expenditures 15-22'!K16</f>
        <v>67491</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0</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0</v>
      </c>
      <c r="C1105" s="2" t="s">
        <v>569</v>
      </c>
      <c r="D1105" s="2" t="str">
        <f t="shared" si="16"/>
        <v>Error?</v>
      </c>
    </row>
    <row r="1106" spans="1:4" x14ac:dyDescent="0.2">
      <c r="A1106" s="5">
        <v>1045</v>
      </c>
      <c r="B1106" s="1821">
        <f>'Expenditures 15-22'!K14</f>
        <v>78736</v>
      </c>
      <c r="C1106" s="2" t="s">
        <v>569</v>
      </c>
      <c r="D1106" s="2" t="str">
        <f t="shared" si="16"/>
        <v>Error?</v>
      </c>
    </row>
    <row r="1107" spans="1:4" x14ac:dyDescent="0.2">
      <c r="A1107" s="5">
        <v>1046</v>
      </c>
      <c r="B1107" s="1821">
        <f>'Expenditures 15-22'!K15</f>
        <v>48850</v>
      </c>
      <c r="C1107" s="2" t="s">
        <v>569</v>
      </c>
      <c r="D1107" s="2" t="str">
        <f t="shared" si="16"/>
        <v>Error?</v>
      </c>
    </row>
    <row r="1108" spans="1:4" x14ac:dyDescent="0.2">
      <c r="A1108" s="5">
        <v>1047</v>
      </c>
      <c r="B1108" s="1821">
        <f>'Expenditures 15-22'!K33</f>
        <v>9160034</v>
      </c>
      <c r="C1108" s="2" t="s">
        <v>569</v>
      </c>
      <c r="D1108" s="2" t="str">
        <f t="shared" si="16"/>
        <v>Error?</v>
      </c>
    </row>
    <row r="1109" spans="1:4" x14ac:dyDescent="0.2">
      <c r="A1109" s="5">
        <v>1048</v>
      </c>
      <c r="B1109" s="1821">
        <f>'Expenditures 15-22'!K36</f>
        <v>263736</v>
      </c>
      <c r="C1109" s="2" t="s">
        <v>569</v>
      </c>
      <c r="D1109" s="2" t="str">
        <f t="shared" si="16"/>
        <v>Error?</v>
      </c>
    </row>
    <row r="1110" spans="1:4" x14ac:dyDescent="0.2">
      <c r="A1110" s="5">
        <v>1049</v>
      </c>
      <c r="B1110" s="1821">
        <f>'Expenditures 15-22'!K37</f>
        <v>75478</v>
      </c>
      <c r="C1110" s="2" t="s">
        <v>569</v>
      </c>
      <c r="D1110" s="2" t="str">
        <f t="shared" si="16"/>
        <v>Error?</v>
      </c>
    </row>
    <row r="1111" spans="1:4" x14ac:dyDescent="0.2">
      <c r="A1111" s="5">
        <v>1050</v>
      </c>
      <c r="B1111" s="1821">
        <f>'Expenditures 15-22'!K38</f>
        <v>138316</v>
      </c>
      <c r="C1111" s="2" t="s">
        <v>569</v>
      </c>
      <c r="D1111" s="2" t="str">
        <f t="shared" si="16"/>
        <v>Error?</v>
      </c>
    </row>
    <row r="1112" spans="1:4" x14ac:dyDescent="0.2">
      <c r="A1112" s="5">
        <v>1051</v>
      </c>
      <c r="B1112" s="1821">
        <f>'Expenditures 15-22'!K39</f>
        <v>69355</v>
      </c>
      <c r="C1112" s="2" t="s">
        <v>569</v>
      </c>
      <c r="D1112" s="2" t="str">
        <f t="shared" si="16"/>
        <v>Error?</v>
      </c>
    </row>
    <row r="1113" spans="1:4" x14ac:dyDescent="0.2">
      <c r="A1113" s="5">
        <v>1052</v>
      </c>
      <c r="B1113" s="1821">
        <f>'Expenditures 15-22'!K40</f>
        <v>0</v>
      </c>
      <c r="C1113" s="2" t="s">
        <v>569</v>
      </c>
      <c r="D1113" s="2" t="str">
        <f t="shared" si="16"/>
        <v>Error?</v>
      </c>
    </row>
    <row r="1114" spans="1:4" x14ac:dyDescent="0.2">
      <c r="A1114" s="5">
        <v>1053</v>
      </c>
      <c r="B1114" s="1821">
        <f>'Expenditures 15-22'!K41</f>
        <v>224267</v>
      </c>
      <c r="C1114" s="2" t="s">
        <v>569</v>
      </c>
      <c r="D1114" s="2" t="str">
        <f t="shared" si="16"/>
        <v>Error?</v>
      </c>
    </row>
    <row r="1115" spans="1:4" x14ac:dyDescent="0.2">
      <c r="A1115" s="5">
        <v>1054</v>
      </c>
      <c r="B1115" s="1821">
        <f>'Expenditures 15-22'!K42</f>
        <v>771152</v>
      </c>
      <c r="C1115" s="2" t="s">
        <v>569</v>
      </c>
      <c r="D1115" s="2" t="str">
        <f t="shared" si="16"/>
        <v>Error?</v>
      </c>
    </row>
    <row r="1116" spans="1:4" x14ac:dyDescent="0.2">
      <c r="A1116" s="5">
        <v>1055</v>
      </c>
      <c r="B1116" s="1821">
        <f>'Expenditures 15-22'!K44</f>
        <v>628557</v>
      </c>
      <c r="C1116" s="2" t="s">
        <v>569</v>
      </c>
      <c r="D1116" s="2" t="str">
        <f t="shared" si="16"/>
        <v>Error?</v>
      </c>
    </row>
    <row r="1117" spans="1:4" x14ac:dyDescent="0.2">
      <c r="A1117" s="5">
        <v>1056</v>
      </c>
      <c r="B1117" s="1821">
        <f>'Expenditures 15-22'!K45</f>
        <v>221129</v>
      </c>
      <c r="C1117" s="2" t="s">
        <v>569</v>
      </c>
      <c r="D1117" s="2" t="str">
        <f t="shared" si="16"/>
        <v>Error?</v>
      </c>
    </row>
    <row r="1118" spans="1:4" x14ac:dyDescent="0.2">
      <c r="A1118" s="5">
        <v>1057</v>
      </c>
      <c r="B1118" s="1821">
        <f>'Expenditures 15-22'!K46</f>
        <v>0</v>
      </c>
      <c r="C1118" s="2" t="s">
        <v>569</v>
      </c>
      <c r="D1118" s="2" t="str">
        <f t="shared" si="16"/>
        <v>Error?</v>
      </c>
    </row>
    <row r="1119" spans="1:4" x14ac:dyDescent="0.2">
      <c r="A1119" s="5">
        <v>1058</v>
      </c>
      <c r="B1119" s="1821">
        <f>'Expenditures 15-22'!K47</f>
        <v>849686</v>
      </c>
      <c r="C1119" s="2" t="s">
        <v>569</v>
      </c>
      <c r="D1119" s="2" t="str">
        <f t="shared" si="16"/>
        <v>Error?</v>
      </c>
    </row>
    <row r="1120" spans="1:4" x14ac:dyDescent="0.2">
      <c r="A1120" s="5">
        <v>1059</v>
      </c>
      <c r="B1120" s="1821">
        <f>'Expenditures 15-22'!K49</f>
        <v>185983</v>
      </c>
      <c r="C1120" s="2" t="s">
        <v>569</v>
      </c>
      <c r="D1120" s="2" t="str">
        <f t="shared" si="16"/>
        <v>Error?</v>
      </c>
    </row>
    <row r="1121" spans="1:4" x14ac:dyDescent="0.2">
      <c r="A1121" s="5">
        <v>1060</v>
      </c>
      <c r="B1121" s="1821">
        <f>'Expenditures 15-22'!K50</f>
        <v>631212</v>
      </c>
      <c r="C1121" s="2" t="s">
        <v>569</v>
      </c>
      <c r="D1121" s="2" t="str">
        <f t="shared" si="16"/>
        <v>Error?</v>
      </c>
    </row>
    <row r="1122" spans="1:4" x14ac:dyDescent="0.2">
      <c r="A1122" s="5">
        <v>1061</v>
      </c>
      <c r="B1122" s="1821">
        <f>'Expenditures 15-22'!K53</f>
        <v>817985</v>
      </c>
      <c r="C1122" s="2" t="s">
        <v>569</v>
      </c>
      <c r="D1122" s="2" t="str">
        <f t="shared" si="16"/>
        <v>Error?</v>
      </c>
    </row>
    <row r="1123" spans="1:4" x14ac:dyDescent="0.2">
      <c r="A1123" s="5">
        <v>1062</v>
      </c>
      <c r="B1123" s="1821">
        <f>'Expenditures 15-22'!K55</f>
        <v>687011</v>
      </c>
      <c r="C1123" s="2" t="s">
        <v>569</v>
      </c>
      <c r="D1123" s="2" t="str">
        <f t="shared" si="16"/>
        <v>Error?</v>
      </c>
    </row>
    <row r="1124" spans="1:4" x14ac:dyDescent="0.2">
      <c r="A1124" s="5">
        <v>1063</v>
      </c>
      <c r="B1124" s="1821">
        <f>'Expenditures 15-22'!K56</f>
        <v>87283</v>
      </c>
      <c r="C1124" s="2" t="s">
        <v>569</v>
      </c>
      <c r="D1124" s="2" t="str">
        <f t="shared" si="16"/>
        <v>Error?</v>
      </c>
    </row>
    <row r="1125" spans="1:4" x14ac:dyDescent="0.2">
      <c r="A1125" s="5">
        <v>1064</v>
      </c>
      <c r="B1125" s="1821">
        <f>'Expenditures 15-22'!K57</f>
        <v>774294</v>
      </c>
      <c r="C1125" s="2" t="s">
        <v>569</v>
      </c>
      <c r="D1125" s="2" t="str">
        <f t="shared" si="16"/>
        <v>Error?</v>
      </c>
    </row>
    <row r="1126" spans="1:4" x14ac:dyDescent="0.2">
      <c r="A1126" s="5">
        <v>1065</v>
      </c>
      <c r="B1126" s="1821">
        <f>'Expenditures 15-22'!K59</f>
        <v>0</v>
      </c>
      <c r="C1126" s="2" t="s">
        <v>569</v>
      </c>
      <c r="D1126" s="2" t="str">
        <f t="shared" si="16"/>
        <v>Error?</v>
      </c>
    </row>
    <row r="1127" spans="1:4" x14ac:dyDescent="0.2">
      <c r="A1127" s="5">
        <v>1066</v>
      </c>
      <c r="B1127" s="1821">
        <f>'Expenditures 15-22'!K60</f>
        <v>74151</v>
      </c>
      <c r="C1127" s="2" t="s">
        <v>569</v>
      </c>
      <c r="D1127" s="2" t="str">
        <f t="shared" si="16"/>
        <v>Error?</v>
      </c>
    </row>
    <row r="1128" spans="1:4" x14ac:dyDescent="0.2">
      <c r="A1128" s="5">
        <v>1067</v>
      </c>
      <c r="B1128" s="1821">
        <f>'Expenditures 15-22'!K61</f>
        <v>0</v>
      </c>
      <c r="C1128" s="2" t="s">
        <v>569</v>
      </c>
      <c r="D1128" s="2" t="str">
        <f t="shared" si="16"/>
        <v>Error?</v>
      </c>
    </row>
    <row r="1129" spans="1:4" x14ac:dyDescent="0.2">
      <c r="A1129" s="5">
        <v>1068</v>
      </c>
      <c r="B1129" s="1821">
        <f>'Expenditures 15-22'!K62</f>
        <v>0</v>
      </c>
      <c r="C1129" s="2" t="s">
        <v>569</v>
      </c>
      <c r="D1129" s="2" t="str">
        <f t="shared" si="16"/>
        <v>Error?</v>
      </c>
    </row>
    <row r="1130" spans="1:4" x14ac:dyDescent="0.2">
      <c r="A1130" s="5">
        <v>1069</v>
      </c>
      <c r="B1130" s="1821">
        <f>'Expenditures 15-22'!K63</f>
        <v>279178</v>
      </c>
      <c r="C1130" s="2" t="s">
        <v>569</v>
      </c>
      <c r="D1130" s="2" t="str">
        <f t="shared" si="16"/>
        <v>Error?</v>
      </c>
    </row>
    <row r="1131" spans="1:4" x14ac:dyDescent="0.2">
      <c r="A1131" s="5">
        <v>1070</v>
      </c>
      <c r="B1131" s="1821">
        <f>'Expenditures 15-22'!K64</f>
        <v>0</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353329</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0</v>
      </c>
      <c r="C1135" s="2" t="s">
        <v>569</v>
      </c>
      <c r="D1135" s="2" t="str">
        <f t="shared" si="16"/>
        <v>Error?</v>
      </c>
    </row>
    <row r="1136" spans="1:4" x14ac:dyDescent="0.2">
      <c r="A1136" s="5">
        <v>1075</v>
      </c>
      <c r="B1136" s="1821">
        <f>'Expenditures 15-22'!K69</f>
        <v>0</v>
      </c>
      <c r="C1136" s="2" t="s">
        <v>569</v>
      </c>
      <c r="D1136" s="2" t="str">
        <f t="shared" si="16"/>
        <v>Error?</v>
      </c>
    </row>
    <row r="1137" spans="1:4" x14ac:dyDescent="0.2">
      <c r="A1137" s="5">
        <v>1076</v>
      </c>
      <c r="B1137" s="1821">
        <f>'Expenditures 15-22'!K70</f>
        <v>0</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586279</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586279</v>
      </c>
      <c r="C1141" s="2" t="s">
        <v>569</v>
      </c>
      <c r="D1141" s="2" t="str">
        <f t="shared" si="16"/>
        <v>Error?</v>
      </c>
    </row>
    <row r="1142" spans="1:4" x14ac:dyDescent="0.2">
      <c r="A1142" s="5">
        <v>1081</v>
      </c>
      <c r="B1142" s="1821">
        <f>'Expenditures 15-22'!K73</f>
        <v>13773</v>
      </c>
      <c r="C1142" s="2" t="s">
        <v>569</v>
      </c>
      <c r="D1142" s="2" t="str">
        <f t="shared" si="16"/>
        <v>Error?</v>
      </c>
    </row>
    <row r="1143" spans="1:4" x14ac:dyDescent="0.2">
      <c r="A1143" s="5">
        <v>1082</v>
      </c>
      <c r="B1143" s="1821">
        <f>'Expenditures 15-22'!K74</f>
        <v>4166498</v>
      </c>
      <c r="C1143" s="2" t="s">
        <v>569</v>
      </c>
      <c r="D1143" s="2" t="str">
        <f t="shared" si="16"/>
        <v>Error?</v>
      </c>
    </row>
    <row r="1144" spans="1:4" x14ac:dyDescent="0.2">
      <c r="A1144" s="5">
        <v>1083</v>
      </c>
      <c r="B1144" s="1821">
        <f>'Expenditures 15-22'!K75</f>
        <v>0</v>
      </c>
      <c r="C1144" s="2" t="s">
        <v>569</v>
      </c>
      <c r="D1144" s="2" t="str">
        <f t="shared" si="16"/>
        <v>Error?</v>
      </c>
    </row>
    <row r="1145" spans="1:4" x14ac:dyDescent="0.2">
      <c r="A1145" s="5">
        <v>1084</v>
      </c>
      <c r="B1145" s="1821">
        <f>'Expenditures 15-22'!K102</f>
        <v>332724</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13659256</v>
      </c>
      <c r="C1152" s="2" t="s">
        <v>569</v>
      </c>
      <c r="D1152" s="2" t="str">
        <f t="shared" si="17"/>
        <v>Error?</v>
      </c>
    </row>
    <row r="1153" spans="1:4" x14ac:dyDescent="0.2">
      <c r="A1153" s="5">
        <v>1092</v>
      </c>
      <c r="B1153" s="1821">
        <f>'Expenditures 15-22'!K115</f>
        <v>-1920853</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317250</v>
      </c>
      <c r="D1221" s="2" t="str">
        <f t="shared" si="18"/>
        <v>Error?</v>
      </c>
    </row>
    <row r="1222" spans="1:4" x14ac:dyDescent="0.2">
      <c r="A1222" s="10">
        <v>1161</v>
      </c>
      <c r="B1222" s="1821"/>
      <c r="D1222" s="2" t="str">
        <f t="shared" si="18"/>
        <v>OK</v>
      </c>
    </row>
    <row r="1223" spans="1:4" x14ac:dyDescent="0.2">
      <c r="A1223" s="5">
        <v>1162</v>
      </c>
      <c r="B1223" s="1821">
        <f>'Expenditures 15-22'!C127</f>
        <v>317250</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317250</v>
      </c>
      <c r="C1225" s="2" t="s">
        <v>569</v>
      </c>
      <c r="D1225" s="2" t="str">
        <f t="shared" si="18"/>
        <v>Error?</v>
      </c>
    </row>
    <row r="1226" spans="1:4" x14ac:dyDescent="0.2">
      <c r="A1226" s="5">
        <v>1165</v>
      </c>
      <c r="B1226" s="1821">
        <f>'Expenditures 15-22'!C151</f>
        <v>317250</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61317</v>
      </c>
      <c r="D1229" s="2" t="str">
        <f t="shared" si="18"/>
        <v>Error?</v>
      </c>
    </row>
    <row r="1230" spans="1:4" x14ac:dyDescent="0.2">
      <c r="A1230" s="10">
        <v>1169</v>
      </c>
      <c r="B1230" s="1821"/>
      <c r="D1230" s="2" t="str">
        <f t="shared" si="18"/>
        <v>OK</v>
      </c>
    </row>
    <row r="1231" spans="1:4" x14ac:dyDescent="0.2">
      <c r="A1231" s="5">
        <v>1170</v>
      </c>
      <c r="B1231" s="1821">
        <f>'Expenditures 15-22'!D127</f>
        <v>61317</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61317</v>
      </c>
      <c r="C1233" s="2" t="s">
        <v>569</v>
      </c>
      <c r="D1233" s="2" t="str">
        <f t="shared" si="18"/>
        <v>Error?</v>
      </c>
    </row>
    <row r="1234" spans="1:4" x14ac:dyDescent="0.2">
      <c r="A1234" s="5">
        <v>1173</v>
      </c>
      <c r="B1234" s="1821">
        <f>'Expenditures 15-22'!D151</f>
        <v>61317</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161556</v>
      </c>
      <c r="D1237" s="2" t="str">
        <f t="shared" si="18"/>
        <v>Error?</v>
      </c>
    </row>
    <row r="1238" spans="1:4" x14ac:dyDescent="0.2">
      <c r="A1238" s="10">
        <v>1177</v>
      </c>
      <c r="B1238" s="1821"/>
      <c r="D1238" s="2" t="str">
        <f t="shared" si="18"/>
        <v>OK</v>
      </c>
    </row>
    <row r="1239" spans="1:4" x14ac:dyDescent="0.2">
      <c r="A1239" s="5">
        <v>1178</v>
      </c>
      <c r="B1239" s="1821">
        <f>'Expenditures 15-22'!E127</f>
        <v>161556</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161556</v>
      </c>
      <c r="C1241" s="2" t="s">
        <v>569</v>
      </c>
      <c r="D1241" s="2" t="str">
        <f t="shared" si="18"/>
        <v>Error?</v>
      </c>
    </row>
    <row r="1242" spans="1:4" x14ac:dyDescent="0.2">
      <c r="A1242" s="5">
        <v>1181</v>
      </c>
      <c r="B1242" s="1821">
        <f>'Expenditures 15-22'!E151</f>
        <v>161556</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814059</v>
      </c>
      <c r="D1245" s="2" t="str">
        <f t="shared" si="18"/>
        <v>Error?</v>
      </c>
    </row>
    <row r="1246" spans="1:4" x14ac:dyDescent="0.2">
      <c r="A1246" s="10">
        <v>1185</v>
      </c>
      <c r="B1246" s="1821"/>
      <c r="D1246" s="2" t="str">
        <f t="shared" si="18"/>
        <v>OK</v>
      </c>
    </row>
    <row r="1247" spans="1:4" x14ac:dyDescent="0.2">
      <c r="A1247" s="5">
        <v>1186</v>
      </c>
      <c r="B1247" s="1821">
        <f>'Expenditures 15-22'!F127</f>
        <v>814059</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814059</v>
      </c>
      <c r="C1249" s="2" t="s">
        <v>569</v>
      </c>
      <c r="D1249" s="2" t="str">
        <f t="shared" si="18"/>
        <v>Error?</v>
      </c>
    </row>
    <row r="1250" spans="1:4" x14ac:dyDescent="0.2">
      <c r="A1250" s="5">
        <v>1189</v>
      </c>
      <c r="B1250" s="1821">
        <f>'Expenditures 15-22'!F151</f>
        <v>814059</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0</v>
      </c>
      <c r="D1252" s="2" t="str">
        <f t="shared" si="18"/>
        <v>Error?</v>
      </c>
    </row>
    <row r="1253" spans="1:4" x14ac:dyDescent="0.2">
      <c r="A1253" s="5">
        <v>1192</v>
      </c>
      <c r="B1253" s="1821">
        <f>'Expenditures 15-22'!G124</f>
        <v>17846</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17846</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17846</v>
      </c>
      <c r="C1258" s="2" t="s">
        <v>569</v>
      </c>
      <c r="D1258" s="2" t="str">
        <f t="shared" si="18"/>
        <v>Error?</v>
      </c>
    </row>
    <row r="1259" spans="1:4" x14ac:dyDescent="0.2">
      <c r="A1259" s="5">
        <v>1198</v>
      </c>
      <c r="B1259" s="1821">
        <f>'Expenditures 15-22'!G151</f>
        <v>17846</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0</v>
      </c>
      <c r="D1262" s="2" t="str">
        <f t="shared" si="18"/>
        <v>Error?</v>
      </c>
    </row>
    <row r="1263" spans="1:4" x14ac:dyDescent="0.2">
      <c r="A1263" s="10">
        <v>1202</v>
      </c>
      <c r="B1263" s="1821"/>
      <c r="D1263" s="2" t="str">
        <f t="shared" si="18"/>
        <v>OK</v>
      </c>
    </row>
    <row r="1264" spans="1:4" x14ac:dyDescent="0.2">
      <c r="A1264" s="5">
        <v>1203</v>
      </c>
      <c r="B1264" s="1821">
        <f>'Expenditures 15-22'!H127</f>
        <v>0</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0</v>
      </c>
      <c r="C1266" s="2" t="s">
        <v>569</v>
      </c>
      <c r="D1266" s="2" t="str">
        <f t="shared" si="18"/>
        <v>Error?</v>
      </c>
    </row>
    <row r="1267" spans="1:4" x14ac:dyDescent="0.2">
      <c r="A1267" s="5">
        <v>1206</v>
      </c>
      <c r="B1267" s="1821">
        <f>'Expenditures 15-22'!H139</f>
        <v>0</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0</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0</v>
      </c>
      <c r="C1275" s="2" t="s">
        <v>569</v>
      </c>
      <c r="D1275" s="2" t="str">
        <f t="shared" si="18"/>
        <v>Error?</v>
      </c>
    </row>
    <row r="1276" spans="1:4" x14ac:dyDescent="0.2">
      <c r="A1276" s="5">
        <v>1215</v>
      </c>
      <c r="B1276" s="1821">
        <f>'Expenditures 15-22'!K124</f>
        <v>1372028</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1372028</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1372028</v>
      </c>
      <c r="C1281" s="2" t="s">
        <v>569</v>
      </c>
      <c r="D1281" s="2" t="str">
        <f t="shared" si="19"/>
        <v>Error?</v>
      </c>
    </row>
    <row r="1282" spans="1:4" x14ac:dyDescent="0.2">
      <c r="A1282" s="5">
        <v>1221</v>
      </c>
      <c r="B1282" s="1821">
        <f>'Expenditures 15-22'!K139</f>
        <v>0</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1372028</v>
      </c>
      <c r="C1288" s="2" t="s">
        <v>569</v>
      </c>
      <c r="D1288" s="2" t="str">
        <f t="shared" si="19"/>
        <v>Error?</v>
      </c>
    </row>
    <row r="1289" spans="1:4" x14ac:dyDescent="0.2">
      <c r="A1289" s="5">
        <v>1228</v>
      </c>
      <c r="B1289" s="1821">
        <f>'Expenditures 15-22'!K152</f>
        <v>326066</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0</v>
      </c>
      <c r="D1307" s="2" t="str">
        <f t="shared" si="19"/>
        <v>Error?</v>
      </c>
    </row>
    <row r="1308" spans="1:4" x14ac:dyDescent="0.2">
      <c r="A1308" s="5">
        <v>1247</v>
      </c>
      <c r="B1308" s="1821">
        <f>'Expenditures 15-22'!E172</f>
        <v>0</v>
      </c>
      <c r="C1308" s="2" t="s">
        <v>569</v>
      </c>
      <c r="D1308" s="2" t="str">
        <f t="shared" si="19"/>
        <v>Error?</v>
      </c>
    </row>
    <row r="1309" spans="1:4" x14ac:dyDescent="0.2">
      <c r="A1309" s="5">
        <v>1248</v>
      </c>
      <c r="B1309" s="1821">
        <f>'Expenditures 15-22'!E174</f>
        <v>0</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0</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13898</v>
      </c>
      <c r="D1315" s="2" t="str">
        <f t="shared" si="19"/>
        <v>Error?</v>
      </c>
    </row>
    <row r="1316" spans="1:4" x14ac:dyDescent="0.2">
      <c r="A1316" s="5">
        <v>1255</v>
      </c>
      <c r="B1316" s="1821">
        <f>'Expenditures 15-22'!H171</f>
        <v>0</v>
      </c>
      <c r="D1316" s="2" t="str">
        <f t="shared" si="19"/>
        <v>Error?</v>
      </c>
    </row>
    <row r="1317" spans="1:4" x14ac:dyDescent="0.2">
      <c r="A1317" s="5">
        <v>1256</v>
      </c>
      <c r="B1317" s="1821">
        <f>'Expenditures 15-22'!H172</f>
        <v>13898</v>
      </c>
      <c r="C1317" s="2" t="s">
        <v>569</v>
      </c>
      <c r="D1317" s="2" t="str">
        <f t="shared" si="19"/>
        <v>Error?</v>
      </c>
    </row>
    <row r="1318" spans="1:4" x14ac:dyDescent="0.2">
      <c r="A1318" s="5">
        <v>1257</v>
      </c>
      <c r="B1318" s="1821">
        <f>'Expenditures 15-22'!H174</f>
        <v>13898</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0</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13898</v>
      </c>
      <c r="C1329" s="2" t="s">
        <v>569</v>
      </c>
      <c r="D1329" s="2" t="str">
        <f t="shared" si="19"/>
        <v>Error?</v>
      </c>
    </row>
    <row r="1330" spans="1:4" x14ac:dyDescent="0.2">
      <c r="A1330" s="5">
        <v>1269</v>
      </c>
      <c r="B1330" s="1821">
        <f>'Expenditures 15-22'!K171</f>
        <v>0</v>
      </c>
      <c r="C1330" s="2" t="s">
        <v>569</v>
      </c>
      <c r="D1330" s="2" t="str">
        <f t="shared" si="19"/>
        <v>Error?</v>
      </c>
    </row>
    <row r="1331" spans="1:4" x14ac:dyDescent="0.2">
      <c r="A1331" s="5">
        <v>1270</v>
      </c>
      <c r="B1331" s="1821">
        <f>'Expenditures 15-22'!K172</f>
        <v>13898</v>
      </c>
      <c r="C1331" s="2" t="s">
        <v>569</v>
      </c>
      <c r="D1331" s="2" t="str">
        <f t="shared" si="19"/>
        <v>Error?</v>
      </c>
    </row>
    <row r="1332" spans="1:4" x14ac:dyDescent="0.2">
      <c r="A1332" s="5">
        <v>1271</v>
      </c>
      <c r="B1332" s="1821">
        <f>'Expenditures 15-22'!K174</f>
        <v>13898</v>
      </c>
      <c r="C1332" s="2" t="s">
        <v>569</v>
      </c>
      <c r="D1332" s="2" t="str">
        <f t="shared" si="19"/>
        <v>Error?</v>
      </c>
    </row>
    <row r="1333" spans="1:4" x14ac:dyDescent="0.2">
      <c r="A1333" s="5">
        <v>1272</v>
      </c>
      <c r="B1333" s="1821">
        <f>'Expenditures 15-22'!K175</f>
        <v>-13898</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0</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0</v>
      </c>
      <c r="C1339" s="2" t="s">
        <v>569</v>
      </c>
      <c r="D1339" s="2" t="str">
        <f t="shared" si="19"/>
        <v>Error?</v>
      </c>
    </row>
    <row r="1340" spans="1:4" x14ac:dyDescent="0.2">
      <c r="A1340" s="5">
        <v>1279</v>
      </c>
      <c r="B1340" s="1821">
        <f>'Expenditures 15-22'!C210</f>
        <v>0</v>
      </c>
      <c r="C1340" s="2" t="s">
        <v>569</v>
      </c>
      <c r="D1340" s="2" t="str">
        <f t="shared" si="19"/>
        <v>Error?</v>
      </c>
    </row>
    <row r="1341" spans="1:4" x14ac:dyDescent="0.2">
      <c r="A1341" s="5">
        <v>1280</v>
      </c>
      <c r="B1341" s="1821">
        <f>'Expenditures 15-22'!D182</f>
        <v>0</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0</v>
      </c>
      <c r="C1345" s="2" t="s">
        <v>569</v>
      </c>
      <c r="D1345" s="2" t="str">
        <f t="shared" si="20"/>
        <v>Error?</v>
      </c>
    </row>
    <row r="1346" spans="1:4" x14ac:dyDescent="0.2">
      <c r="A1346" s="5">
        <v>1285</v>
      </c>
      <c r="B1346" s="1821">
        <f>'Expenditures 15-22'!D210</f>
        <v>0</v>
      </c>
      <c r="C1346" s="2" t="s">
        <v>569</v>
      </c>
      <c r="D1346" s="2" t="str">
        <f t="shared" si="20"/>
        <v>Error?</v>
      </c>
    </row>
    <row r="1347" spans="1:4" x14ac:dyDescent="0.2">
      <c r="A1347" s="5">
        <v>1286</v>
      </c>
      <c r="B1347" s="1821">
        <f>'Expenditures 15-22'!E182</f>
        <v>470129</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470129</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470129</v>
      </c>
      <c r="C1353" s="2" t="s">
        <v>569</v>
      </c>
      <c r="D1353" s="2" t="str">
        <f t="shared" si="20"/>
        <v>Error?</v>
      </c>
    </row>
    <row r="1354" spans="1:4" x14ac:dyDescent="0.2">
      <c r="A1354" s="5">
        <v>1293</v>
      </c>
      <c r="B1354" s="1821">
        <f>'Expenditures 15-22'!F182</f>
        <v>0</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0</v>
      </c>
      <c r="C1358" s="2" t="s">
        <v>569</v>
      </c>
      <c r="D1358" s="2" t="str">
        <f t="shared" si="20"/>
        <v>Error?</v>
      </c>
    </row>
    <row r="1359" spans="1:4" x14ac:dyDescent="0.2">
      <c r="A1359" s="5">
        <v>1298</v>
      </c>
      <c r="B1359" s="1821">
        <f>'Expenditures 15-22'!F210</f>
        <v>0</v>
      </c>
      <c r="C1359" s="2" t="s">
        <v>569</v>
      </c>
      <c r="D1359" s="2" t="str">
        <f t="shared" si="20"/>
        <v>Error?</v>
      </c>
    </row>
    <row r="1360" spans="1:4" x14ac:dyDescent="0.2">
      <c r="A1360" s="5">
        <v>1299</v>
      </c>
      <c r="B1360" s="1821">
        <f>'Expenditures 15-22'!G182</f>
        <v>0</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0</v>
      </c>
      <c r="C1364" s="2" t="s">
        <v>569</v>
      </c>
      <c r="D1364" s="2" t="str">
        <f t="shared" si="20"/>
        <v>Error?</v>
      </c>
    </row>
    <row r="1365" spans="1:4" x14ac:dyDescent="0.2">
      <c r="A1365" s="5">
        <v>1304</v>
      </c>
      <c r="B1365" s="1821">
        <f>'Expenditures 15-22'!G210</f>
        <v>0</v>
      </c>
      <c r="C1365" s="2" t="s">
        <v>569</v>
      </c>
      <c r="D1365" s="2" t="str">
        <f t="shared" si="20"/>
        <v>Error?</v>
      </c>
    </row>
    <row r="1366" spans="1:4" x14ac:dyDescent="0.2">
      <c r="A1366" s="5">
        <v>1305</v>
      </c>
      <c r="B1366" s="1821">
        <f>'Expenditures 15-22'!H182</f>
        <v>0</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0</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0</v>
      </c>
      <c r="C1376" s="2" t="s">
        <v>569</v>
      </c>
      <c r="D1376" s="2" t="str">
        <f t="shared" si="20"/>
        <v>Error?</v>
      </c>
    </row>
    <row r="1377" spans="1:4" x14ac:dyDescent="0.2">
      <c r="A1377" s="5">
        <v>1316</v>
      </c>
      <c r="B1377" s="1821">
        <f>'Expenditures 15-22'!K182</f>
        <v>470129</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470129</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470129</v>
      </c>
      <c r="C1388" s="2" t="s">
        <v>569</v>
      </c>
      <c r="D1388" s="2" t="str">
        <f t="shared" si="20"/>
        <v>Error?</v>
      </c>
    </row>
    <row r="1389" spans="1:4" x14ac:dyDescent="0.2">
      <c r="A1389" s="5">
        <v>1328</v>
      </c>
      <c r="B1389" s="1821">
        <f>'Expenditures 15-22'!K211</f>
        <v>157894</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937</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0</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0</v>
      </c>
      <c r="D1407" s="2" t="str">
        <f t="shared" ref="D1407:D1470" si="21">IF(ISBLANK(B1407),"OK",IF(A1407-B1407=0,"OK","Error?"))</f>
        <v>Error?</v>
      </c>
    </row>
    <row r="1408" spans="1:4" x14ac:dyDescent="0.2">
      <c r="A1408" s="5">
        <v>1347</v>
      </c>
      <c r="B1408" s="1821">
        <f>'Expenditures 15-22'!D223</f>
        <v>1863</v>
      </c>
      <c r="D1408" s="2" t="str">
        <f t="shared" si="21"/>
        <v>Error?</v>
      </c>
    </row>
    <row r="1409" spans="1:4" x14ac:dyDescent="0.2">
      <c r="A1409" s="5">
        <v>1348</v>
      </c>
      <c r="B1409" s="1821">
        <f>'Expenditures 15-22'!D224</f>
        <v>2687</v>
      </c>
      <c r="D1409" s="2" t="str">
        <f t="shared" si="21"/>
        <v>Error?</v>
      </c>
    </row>
    <row r="1410" spans="1:4" x14ac:dyDescent="0.2">
      <c r="A1410" s="5">
        <v>1349</v>
      </c>
      <c r="B1410" s="1821">
        <f>'Expenditures 15-22'!D229</f>
        <v>205560</v>
      </c>
      <c r="C1410" s="2" t="s">
        <v>569</v>
      </c>
      <c r="D1410" s="2" t="str">
        <f t="shared" si="21"/>
        <v>Error?</v>
      </c>
    </row>
    <row r="1411" spans="1:4" x14ac:dyDescent="0.2">
      <c r="A1411" s="5">
        <v>1350</v>
      </c>
      <c r="B1411" s="1821">
        <f>'Expenditures 15-22'!D232</f>
        <v>3768</v>
      </c>
      <c r="D1411" s="2" t="str">
        <f t="shared" si="21"/>
        <v>Error?</v>
      </c>
    </row>
    <row r="1412" spans="1:4" x14ac:dyDescent="0.2">
      <c r="A1412" s="5">
        <v>1351</v>
      </c>
      <c r="B1412" s="1821">
        <f>'Expenditures 15-22'!D233</f>
        <v>1053</v>
      </c>
      <c r="D1412" s="2" t="str">
        <f t="shared" si="21"/>
        <v>Error?</v>
      </c>
    </row>
    <row r="1413" spans="1:4" x14ac:dyDescent="0.2">
      <c r="A1413" s="5">
        <v>1352</v>
      </c>
      <c r="B1413" s="1821">
        <f>'Expenditures 15-22'!D234</f>
        <v>7180</v>
      </c>
      <c r="D1413" s="2" t="str">
        <f t="shared" si="21"/>
        <v>Error?</v>
      </c>
    </row>
    <row r="1414" spans="1:4" x14ac:dyDescent="0.2">
      <c r="A1414" s="5">
        <v>1353</v>
      </c>
      <c r="B1414" s="1821">
        <f>'Expenditures 15-22'!D235</f>
        <v>991</v>
      </c>
      <c r="D1414" s="2" t="str">
        <f t="shared" si="21"/>
        <v>Error?</v>
      </c>
    </row>
    <row r="1415" spans="1:4" x14ac:dyDescent="0.2">
      <c r="A1415" s="5">
        <v>1354</v>
      </c>
      <c r="B1415" s="1821">
        <f>'Expenditures 15-22'!D236</f>
        <v>0</v>
      </c>
      <c r="D1415" s="2" t="str">
        <f t="shared" si="21"/>
        <v>Error?</v>
      </c>
    </row>
    <row r="1416" spans="1:4" x14ac:dyDescent="0.2">
      <c r="A1416" s="5">
        <v>1355</v>
      </c>
      <c r="B1416" s="1821">
        <f>'Expenditures 15-22'!D237</f>
        <v>34552</v>
      </c>
      <c r="D1416" s="2" t="str">
        <f t="shared" si="21"/>
        <v>Error?</v>
      </c>
    </row>
    <row r="1417" spans="1:4" x14ac:dyDescent="0.2">
      <c r="A1417" s="5">
        <v>1356</v>
      </c>
      <c r="B1417" s="1821">
        <f>'Expenditures 15-22'!D238</f>
        <v>47544</v>
      </c>
      <c r="C1417" s="2" t="s">
        <v>569</v>
      </c>
      <c r="D1417" s="2" t="str">
        <f t="shared" si="21"/>
        <v>Error?</v>
      </c>
    </row>
    <row r="1418" spans="1:4" x14ac:dyDescent="0.2">
      <c r="A1418" s="5">
        <v>1357</v>
      </c>
      <c r="B1418" s="1821">
        <f>'Expenditures 15-22'!D240</f>
        <v>3564</v>
      </c>
      <c r="D1418" s="2" t="str">
        <f t="shared" si="21"/>
        <v>Error?</v>
      </c>
    </row>
    <row r="1419" spans="1:4" x14ac:dyDescent="0.2">
      <c r="A1419" s="5">
        <v>1358</v>
      </c>
      <c r="B1419" s="1821">
        <f>'Expenditures 15-22'!D241</f>
        <v>13058</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16622</v>
      </c>
      <c r="C1421" s="2" t="s">
        <v>569</v>
      </c>
      <c r="D1421" s="2" t="str">
        <f t="shared" si="21"/>
        <v>Error?</v>
      </c>
    </row>
    <row r="1422" spans="1:4" x14ac:dyDescent="0.2">
      <c r="A1422" s="5">
        <v>1361</v>
      </c>
      <c r="B1422" s="1821">
        <f>'Expenditures 15-22'!D245</f>
        <v>0</v>
      </c>
      <c r="D1422" s="2" t="str">
        <f t="shared" si="21"/>
        <v>Error?</v>
      </c>
    </row>
    <row r="1423" spans="1:4" x14ac:dyDescent="0.2">
      <c r="A1423" s="5">
        <v>1362</v>
      </c>
      <c r="B1423" s="1821">
        <f>'Expenditures 15-22'!D246</f>
        <v>12470</v>
      </c>
      <c r="D1423" s="2" t="str">
        <f t="shared" si="21"/>
        <v>Error?</v>
      </c>
    </row>
    <row r="1424" spans="1:4" x14ac:dyDescent="0.2">
      <c r="A1424" s="5">
        <v>1363</v>
      </c>
      <c r="B1424" s="1821">
        <f>'Expenditures 15-22'!D257</f>
        <v>12470</v>
      </c>
      <c r="C1424" s="2" t="s">
        <v>569</v>
      </c>
      <c r="D1424" s="2" t="str">
        <f t="shared" si="21"/>
        <v>Error?</v>
      </c>
    </row>
    <row r="1425" spans="1:4" x14ac:dyDescent="0.2">
      <c r="A1425" s="5">
        <v>1364</v>
      </c>
      <c r="B1425" s="1821">
        <f>'Expenditures 15-22'!D259</f>
        <v>31963</v>
      </c>
      <c r="D1425" s="2" t="str">
        <f t="shared" si="21"/>
        <v>Error?</v>
      </c>
    </row>
    <row r="1426" spans="1:4" x14ac:dyDescent="0.2">
      <c r="A1426" s="5">
        <v>1365</v>
      </c>
      <c r="B1426" s="1821">
        <f>'Expenditures 15-22'!D260</f>
        <v>5345</v>
      </c>
      <c r="D1426" s="2" t="str">
        <f t="shared" si="21"/>
        <v>Error?</v>
      </c>
    </row>
    <row r="1427" spans="1:4" x14ac:dyDescent="0.2">
      <c r="A1427" s="5">
        <v>1366</v>
      </c>
      <c r="B1427" s="1821">
        <f>'Expenditures 15-22'!D261</f>
        <v>37308</v>
      </c>
      <c r="C1427" s="2" t="s">
        <v>569</v>
      </c>
      <c r="D1427" s="2" t="str">
        <f t="shared" si="21"/>
        <v>Error?</v>
      </c>
    </row>
    <row r="1428" spans="1:4" x14ac:dyDescent="0.2">
      <c r="A1428" s="5">
        <v>1367</v>
      </c>
      <c r="B1428" s="1821">
        <f>'Expenditures 15-22'!D263</f>
        <v>0</v>
      </c>
      <c r="D1428" s="2" t="str">
        <f t="shared" si="21"/>
        <v>Error?</v>
      </c>
    </row>
    <row r="1429" spans="1:4" x14ac:dyDescent="0.2">
      <c r="A1429" s="5">
        <v>1368</v>
      </c>
      <c r="B1429" s="1821">
        <f>'Expenditures 15-22'!D264</f>
        <v>17944</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49793</v>
      </c>
      <c r="D1431" s="2" t="str">
        <f t="shared" si="21"/>
        <v>Error?</v>
      </c>
    </row>
    <row r="1432" spans="1:4" x14ac:dyDescent="0.2">
      <c r="A1432" s="5">
        <v>1371</v>
      </c>
      <c r="B1432" s="1821">
        <f>'Expenditures 15-22'!D267</f>
        <v>0</v>
      </c>
      <c r="D1432" s="2" t="str">
        <f t="shared" si="21"/>
        <v>Error?</v>
      </c>
    </row>
    <row r="1433" spans="1:4" x14ac:dyDescent="0.2">
      <c r="A1433" s="5">
        <v>1372</v>
      </c>
      <c r="B1433" s="1821">
        <f>'Expenditures 15-22'!D268</f>
        <v>20078</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87815</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0</v>
      </c>
      <c r="D1439" s="2" t="str">
        <f t="shared" si="21"/>
        <v>Error?</v>
      </c>
    </row>
    <row r="1440" spans="1:4" x14ac:dyDescent="0.2">
      <c r="A1440" s="5">
        <v>1379</v>
      </c>
      <c r="B1440" s="1821">
        <f>'Expenditures 15-22'!D275</f>
        <v>0</v>
      </c>
      <c r="D1440" s="2" t="str">
        <f t="shared" si="21"/>
        <v>Error?</v>
      </c>
    </row>
    <row r="1441" spans="1:4" x14ac:dyDescent="0.2">
      <c r="A1441" s="10">
        <v>1380</v>
      </c>
      <c r="B1441" s="1821"/>
      <c r="D1441" s="2" t="str">
        <f t="shared" si="21"/>
        <v>OK</v>
      </c>
    </row>
    <row r="1442" spans="1:4" x14ac:dyDescent="0.2">
      <c r="A1442" s="5">
        <v>1381</v>
      </c>
      <c r="B1442" s="1821">
        <f>'Expenditures 15-22'!D276</f>
        <v>42104</v>
      </c>
      <c r="D1442" s="2" t="str">
        <f t="shared" si="21"/>
        <v>Error?</v>
      </c>
    </row>
    <row r="1443" spans="1:4" x14ac:dyDescent="0.2">
      <c r="A1443" s="10">
        <v>1382</v>
      </c>
      <c r="B1443" s="1821"/>
      <c r="D1443" s="2" t="str">
        <f t="shared" si="21"/>
        <v>OK</v>
      </c>
    </row>
    <row r="1444" spans="1:4" x14ac:dyDescent="0.2">
      <c r="A1444" s="5">
        <v>1383</v>
      </c>
      <c r="B1444" s="1821">
        <f>'Expenditures 15-22'!D277</f>
        <v>42104</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243863</v>
      </c>
      <c r="C1446" s="2" t="s">
        <v>569</v>
      </c>
      <c r="D1446" s="2" t="str">
        <f t="shared" si="21"/>
        <v>Error?</v>
      </c>
    </row>
    <row r="1447" spans="1:4" x14ac:dyDescent="0.2">
      <c r="A1447" s="5">
        <v>1386</v>
      </c>
      <c r="B1447" s="1821">
        <f>'Expenditures 15-22'!D280</f>
        <v>0</v>
      </c>
      <c r="D1447" s="2" t="str">
        <f t="shared" si="21"/>
        <v>Error?</v>
      </c>
    </row>
    <row r="1448" spans="1:4" x14ac:dyDescent="0.2">
      <c r="A1448" s="5">
        <v>1387</v>
      </c>
      <c r="B1448" s="1821">
        <f>'Expenditures 15-22'!D295</f>
        <v>449423</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937</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0</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0</v>
      </c>
      <c r="C1471" s="2" t="s">
        <v>569</v>
      </c>
      <c r="D1471" s="2" t="str">
        <f t="shared" ref="D1471:D1534" si="22">IF(ISBLANK(B1471),"OK",IF(A1471-B1471=0,"OK","Error?"))</f>
        <v>Error?</v>
      </c>
    </row>
    <row r="1472" spans="1:4" x14ac:dyDescent="0.2">
      <c r="A1472" s="5">
        <v>1411</v>
      </c>
      <c r="B1472" s="1821">
        <f>'Expenditures 15-22'!K223</f>
        <v>1863</v>
      </c>
      <c r="C1472" s="2" t="s">
        <v>569</v>
      </c>
      <c r="D1472" s="2" t="str">
        <f t="shared" si="22"/>
        <v>Error?</v>
      </c>
    </row>
    <row r="1473" spans="1:4" x14ac:dyDescent="0.2">
      <c r="A1473" s="5">
        <v>1412</v>
      </c>
      <c r="B1473" s="1821">
        <f>'Expenditures 15-22'!K224</f>
        <v>2687</v>
      </c>
      <c r="C1473" s="2" t="s">
        <v>569</v>
      </c>
      <c r="D1473" s="2" t="str">
        <f t="shared" si="22"/>
        <v>Error?</v>
      </c>
    </row>
    <row r="1474" spans="1:4" x14ac:dyDescent="0.2">
      <c r="A1474" s="5">
        <v>1413</v>
      </c>
      <c r="B1474" s="1821">
        <f>'Expenditures 15-22'!K229</f>
        <v>205560</v>
      </c>
      <c r="C1474" s="2" t="s">
        <v>569</v>
      </c>
      <c r="D1474" s="2" t="str">
        <f t="shared" si="22"/>
        <v>Error?</v>
      </c>
    </row>
    <row r="1475" spans="1:4" x14ac:dyDescent="0.2">
      <c r="A1475" s="5">
        <v>1414</v>
      </c>
      <c r="B1475" s="1821">
        <f>'Expenditures 15-22'!K232</f>
        <v>3768</v>
      </c>
      <c r="C1475" s="2" t="s">
        <v>569</v>
      </c>
      <c r="D1475" s="2" t="str">
        <f t="shared" si="22"/>
        <v>Error?</v>
      </c>
    </row>
    <row r="1476" spans="1:4" x14ac:dyDescent="0.2">
      <c r="A1476" s="5">
        <v>1415</v>
      </c>
      <c r="B1476" s="1821">
        <f>'Expenditures 15-22'!K233</f>
        <v>1053</v>
      </c>
      <c r="C1476" s="2" t="s">
        <v>569</v>
      </c>
      <c r="D1476" s="2" t="str">
        <f t="shared" si="22"/>
        <v>Error?</v>
      </c>
    </row>
    <row r="1477" spans="1:4" x14ac:dyDescent="0.2">
      <c r="A1477" s="5">
        <v>1416</v>
      </c>
      <c r="B1477" s="1821">
        <f>'Expenditures 15-22'!K234</f>
        <v>7180</v>
      </c>
      <c r="C1477" s="2" t="s">
        <v>569</v>
      </c>
      <c r="D1477" s="2" t="str">
        <f t="shared" si="22"/>
        <v>Error?</v>
      </c>
    </row>
    <row r="1478" spans="1:4" x14ac:dyDescent="0.2">
      <c r="A1478" s="5">
        <v>1417</v>
      </c>
      <c r="B1478" s="1821">
        <f>'Expenditures 15-22'!K235</f>
        <v>991</v>
      </c>
      <c r="C1478" s="2" t="s">
        <v>569</v>
      </c>
      <c r="D1478" s="2" t="str">
        <f t="shared" si="22"/>
        <v>Error?</v>
      </c>
    </row>
    <row r="1479" spans="1:4" x14ac:dyDescent="0.2">
      <c r="A1479" s="5">
        <v>1418</v>
      </c>
      <c r="B1479" s="1821">
        <f>'Expenditures 15-22'!K236</f>
        <v>0</v>
      </c>
      <c r="C1479" s="2" t="s">
        <v>569</v>
      </c>
      <c r="D1479" s="2" t="str">
        <f t="shared" si="22"/>
        <v>Error?</v>
      </c>
    </row>
    <row r="1480" spans="1:4" x14ac:dyDescent="0.2">
      <c r="A1480" s="5">
        <v>1419</v>
      </c>
      <c r="B1480" s="1821">
        <f>'Expenditures 15-22'!K237</f>
        <v>34552</v>
      </c>
      <c r="C1480" s="2" t="s">
        <v>569</v>
      </c>
      <c r="D1480" s="2" t="str">
        <f t="shared" si="22"/>
        <v>Error?</v>
      </c>
    </row>
    <row r="1481" spans="1:4" x14ac:dyDescent="0.2">
      <c r="A1481" s="5">
        <v>1420</v>
      </c>
      <c r="B1481" s="1821">
        <f>'Expenditures 15-22'!K238</f>
        <v>47544</v>
      </c>
      <c r="C1481" s="2" t="s">
        <v>569</v>
      </c>
      <c r="D1481" s="2" t="str">
        <f t="shared" si="22"/>
        <v>Error?</v>
      </c>
    </row>
    <row r="1482" spans="1:4" x14ac:dyDescent="0.2">
      <c r="A1482" s="5">
        <v>1421</v>
      </c>
      <c r="B1482" s="1821">
        <f>'Expenditures 15-22'!K240</f>
        <v>3564</v>
      </c>
      <c r="C1482" s="2" t="s">
        <v>569</v>
      </c>
      <c r="D1482" s="2" t="str">
        <f t="shared" si="22"/>
        <v>Error?</v>
      </c>
    </row>
    <row r="1483" spans="1:4" x14ac:dyDescent="0.2">
      <c r="A1483" s="5">
        <v>1422</v>
      </c>
      <c r="B1483" s="1821">
        <f>'Expenditures 15-22'!K241</f>
        <v>13058</v>
      </c>
      <c r="C1483" s="2" t="s">
        <v>569</v>
      </c>
      <c r="D1483" s="2" t="str">
        <f t="shared" si="22"/>
        <v>Error?</v>
      </c>
    </row>
    <row r="1484" spans="1:4" x14ac:dyDescent="0.2">
      <c r="A1484" s="5">
        <v>1423</v>
      </c>
      <c r="B1484" s="1821">
        <f>'Expenditures 15-22'!K242</f>
        <v>0</v>
      </c>
      <c r="C1484" s="2" t="s">
        <v>569</v>
      </c>
      <c r="D1484" s="2" t="str">
        <f t="shared" si="22"/>
        <v>Error?</v>
      </c>
    </row>
    <row r="1485" spans="1:4" x14ac:dyDescent="0.2">
      <c r="A1485" s="5">
        <v>1424</v>
      </c>
      <c r="B1485" s="1821">
        <f>'Expenditures 15-22'!K243</f>
        <v>16622</v>
      </c>
      <c r="C1485" s="2" t="s">
        <v>569</v>
      </c>
      <c r="D1485" s="2" t="str">
        <f t="shared" si="22"/>
        <v>Error?</v>
      </c>
    </row>
    <row r="1486" spans="1:4" x14ac:dyDescent="0.2">
      <c r="A1486" s="5">
        <v>1425</v>
      </c>
      <c r="B1486" s="1821">
        <f>'Expenditures 15-22'!K245</f>
        <v>0</v>
      </c>
      <c r="C1486" s="2" t="s">
        <v>569</v>
      </c>
      <c r="D1486" s="2" t="str">
        <f t="shared" si="22"/>
        <v>Error?</v>
      </c>
    </row>
    <row r="1487" spans="1:4" x14ac:dyDescent="0.2">
      <c r="A1487" s="5">
        <v>1426</v>
      </c>
      <c r="B1487" s="1821">
        <f>'Expenditures 15-22'!K246</f>
        <v>12470</v>
      </c>
      <c r="C1487" s="2" t="s">
        <v>569</v>
      </c>
      <c r="D1487" s="2" t="str">
        <f t="shared" si="22"/>
        <v>Error?</v>
      </c>
    </row>
    <row r="1488" spans="1:4" x14ac:dyDescent="0.2">
      <c r="A1488" s="5">
        <v>1427</v>
      </c>
      <c r="B1488" s="1821">
        <f>'Expenditures 15-22'!K257</f>
        <v>12470</v>
      </c>
      <c r="C1488" s="2" t="s">
        <v>569</v>
      </c>
      <c r="D1488" s="2" t="str">
        <f t="shared" si="22"/>
        <v>Error?</v>
      </c>
    </row>
    <row r="1489" spans="1:4" x14ac:dyDescent="0.2">
      <c r="A1489" s="5">
        <v>1428</v>
      </c>
      <c r="B1489" s="1821">
        <f>'Expenditures 15-22'!K259</f>
        <v>31963</v>
      </c>
      <c r="C1489" s="2" t="s">
        <v>569</v>
      </c>
      <c r="D1489" s="2" t="str">
        <f t="shared" si="22"/>
        <v>Error?</v>
      </c>
    </row>
    <row r="1490" spans="1:4" x14ac:dyDescent="0.2">
      <c r="A1490" s="5">
        <v>1429</v>
      </c>
      <c r="B1490" s="1821">
        <f>'Expenditures 15-22'!K260</f>
        <v>5345</v>
      </c>
      <c r="C1490" s="2" t="s">
        <v>569</v>
      </c>
      <c r="D1490" s="2" t="str">
        <f t="shared" si="22"/>
        <v>Error?</v>
      </c>
    </row>
    <row r="1491" spans="1:4" x14ac:dyDescent="0.2">
      <c r="A1491" s="5">
        <v>1430</v>
      </c>
      <c r="B1491" s="1821">
        <f>'Expenditures 15-22'!K261</f>
        <v>37308</v>
      </c>
      <c r="C1491" s="2" t="s">
        <v>569</v>
      </c>
      <c r="D1491" s="2" t="str">
        <f t="shared" si="22"/>
        <v>Error?</v>
      </c>
    </row>
    <row r="1492" spans="1:4" x14ac:dyDescent="0.2">
      <c r="A1492" s="5">
        <v>1431</v>
      </c>
      <c r="B1492" s="1821">
        <f>'Expenditures 15-22'!K263</f>
        <v>0</v>
      </c>
      <c r="C1492" s="2" t="s">
        <v>569</v>
      </c>
      <c r="D1492" s="2" t="str">
        <f t="shared" si="22"/>
        <v>Error?</v>
      </c>
    </row>
    <row r="1493" spans="1:4" x14ac:dyDescent="0.2">
      <c r="A1493" s="5">
        <v>1432</v>
      </c>
      <c r="B1493" s="1821">
        <f>'Expenditures 15-22'!K264</f>
        <v>17944</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49793</v>
      </c>
      <c r="C1495" s="2" t="s">
        <v>569</v>
      </c>
      <c r="D1495" s="2" t="str">
        <f t="shared" si="22"/>
        <v>Error?</v>
      </c>
    </row>
    <row r="1496" spans="1:4" x14ac:dyDescent="0.2">
      <c r="A1496" s="5">
        <v>1435</v>
      </c>
      <c r="B1496" s="1821">
        <f>'Expenditures 15-22'!K267</f>
        <v>0</v>
      </c>
      <c r="C1496" s="2" t="s">
        <v>569</v>
      </c>
      <c r="D1496" s="2" t="str">
        <f t="shared" si="22"/>
        <v>Error?</v>
      </c>
    </row>
    <row r="1497" spans="1:4" x14ac:dyDescent="0.2">
      <c r="A1497" s="5">
        <v>1436</v>
      </c>
      <c r="B1497" s="1821">
        <f>'Expenditures 15-22'!K268</f>
        <v>20078</v>
      </c>
      <c r="C1497" s="2" t="s">
        <v>569</v>
      </c>
      <c r="D1497" s="2" t="str">
        <f t="shared" si="22"/>
        <v>Error?</v>
      </c>
    </row>
    <row r="1498" spans="1:4" x14ac:dyDescent="0.2">
      <c r="A1498" s="5">
        <v>1437</v>
      </c>
      <c r="B1498" s="1821">
        <f>'Expenditures 15-22'!K269</f>
        <v>0</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87815</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0</v>
      </c>
      <c r="C1503" s="2" t="s">
        <v>569</v>
      </c>
      <c r="D1503" s="2" t="str">
        <f t="shared" si="22"/>
        <v>Error?</v>
      </c>
    </row>
    <row r="1504" spans="1:4" x14ac:dyDescent="0.2">
      <c r="A1504" s="5">
        <v>1443</v>
      </c>
      <c r="B1504" s="1821">
        <f>'Expenditures 15-22'!K275</f>
        <v>0</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42104</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42104</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243863</v>
      </c>
      <c r="C1510" s="2" t="s">
        <v>569</v>
      </c>
      <c r="D1510" s="2" t="str">
        <f t="shared" si="22"/>
        <v>Error?</v>
      </c>
    </row>
    <row r="1511" spans="1:4" x14ac:dyDescent="0.2">
      <c r="A1511" s="5">
        <v>1450</v>
      </c>
      <c r="B1511" s="1821">
        <f>'Expenditures 15-22'!K280</f>
        <v>0</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449423</v>
      </c>
      <c r="C1517" s="2" t="s">
        <v>569</v>
      </c>
      <c r="D1517" s="2" t="str">
        <f t="shared" si="22"/>
        <v>Error?</v>
      </c>
    </row>
    <row r="1518" spans="1:4" x14ac:dyDescent="0.2">
      <c r="A1518" s="5">
        <v>1457</v>
      </c>
      <c r="B1518" s="1821">
        <f>'Expenditures 15-22'!K296</f>
        <v>125690</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0</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0</v>
      </c>
      <c r="C1535" s="2" t="s">
        <v>569</v>
      </c>
      <c r="D1535" s="2" t="str">
        <f t="shared" ref="D1535:D1598" si="23">IF(ISBLANK(B1535),"OK",IF(A1535-B1535=0,"OK","Error?"))</f>
        <v>Error?</v>
      </c>
    </row>
    <row r="1536" spans="1:4" x14ac:dyDescent="0.2">
      <c r="A1536" s="5">
        <v>1475</v>
      </c>
      <c r="B1536" s="1821">
        <f>'Expenditures 15-22'!E312</f>
        <v>0</v>
      </c>
      <c r="C1536" s="2" t="s">
        <v>569</v>
      </c>
      <c r="D1536" s="2" t="str">
        <f t="shared" si="23"/>
        <v>Error?</v>
      </c>
    </row>
    <row r="1537" spans="1:4" x14ac:dyDescent="0.2">
      <c r="A1537" s="5">
        <v>1476</v>
      </c>
      <c r="B1537" s="1821">
        <f>'Expenditures 15-22'!F301</f>
        <v>0</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0</v>
      </c>
      <c r="C1541" s="2" t="s">
        <v>569</v>
      </c>
      <c r="D1541" s="2" t="str">
        <f t="shared" si="23"/>
        <v>Error?</v>
      </c>
    </row>
    <row r="1542" spans="1:4" x14ac:dyDescent="0.2">
      <c r="A1542" s="5">
        <v>1481</v>
      </c>
      <c r="B1542" s="1821">
        <f>'Expenditures 15-22'!F312</f>
        <v>0</v>
      </c>
      <c r="C1542" s="2" t="s">
        <v>569</v>
      </c>
      <c r="D1542" s="2" t="str">
        <f t="shared" si="23"/>
        <v>Error?</v>
      </c>
    </row>
    <row r="1543" spans="1:4" x14ac:dyDescent="0.2">
      <c r="A1543" s="5">
        <v>1482</v>
      </c>
      <c r="B1543" s="1821">
        <f>'Expenditures 15-22'!G301</f>
        <v>0</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0</v>
      </c>
      <c r="C1547" s="2" t="s">
        <v>569</v>
      </c>
      <c r="D1547" s="2" t="str">
        <f t="shared" si="23"/>
        <v>Error?</v>
      </c>
    </row>
    <row r="1548" spans="1:4" x14ac:dyDescent="0.2">
      <c r="A1548" s="5">
        <v>1487</v>
      </c>
      <c r="B1548" s="1821">
        <f>'Expenditures 15-22'!G312</f>
        <v>0</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0</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0</v>
      </c>
      <c r="C1559" s="2" t="s">
        <v>569</v>
      </c>
      <c r="D1559" s="2" t="str">
        <f t="shared" si="23"/>
        <v>Error?</v>
      </c>
    </row>
    <row r="1560" spans="1:4" x14ac:dyDescent="0.2">
      <c r="A1560" s="5">
        <v>1499</v>
      </c>
      <c r="B1560" s="1821">
        <f>'Expenditures 15-22'!K312</f>
        <v>0</v>
      </c>
      <c r="C1560" s="2" t="s">
        <v>569</v>
      </c>
      <c r="D1560" s="2" t="str">
        <f t="shared" si="23"/>
        <v>Error?</v>
      </c>
    </row>
    <row r="1561" spans="1:4" x14ac:dyDescent="0.2">
      <c r="A1561" s="5">
        <v>1500</v>
      </c>
      <c r="B1561" s="1821">
        <f>'Expenditures 15-22'!K313</f>
        <v>61925</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4741130</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9518484</v>
      </c>
      <c r="C1630" s="2" t="s">
        <v>569</v>
      </c>
      <c r="D1630" s="2" t="str">
        <f t="shared" si="24"/>
        <v>Error?</v>
      </c>
    </row>
    <row r="1631" spans="1:4" x14ac:dyDescent="0.2">
      <c r="A1631" s="5">
        <v>1570</v>
      </c>
      <c r="B1631" s="1821">
        <f>'Acct Summary 7-8'!D79</f>
        <v>2561134</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3818947</v>
      </c>
      <c r="C1644" s="2" t="s">
        <v>569</v>
      </c>
      <c r="D1644" s="2" t="str">
        <f t="shared" si="24"/>
        <v>Error?</v>
      </c>
    </row>
    <row r="1645" spans="1:4" x14ac:dyDescent="0.2">
      <c r="A1645" s="5">
        <v>1584</v>
      </c>
      <c r="B1645" s="1821">
        <f>'Acct Summary 7-8'!E79</f>
        <v>0</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0</v>
      </c>
      <c r="C1658" s="2" t="s">
        <v>569</v>
      </c>
      <c r="D1658" s="2" t="str">
        <f t="shared" si="24"/>
        <v>Error?</v>
      </c>
    </row>
    <row r="1659" spans="1:4" x14ac:dyDescent="0.2">
      <c r="A1659" s="5">
        <v>1598</v>
      </c>
      <c r="B1659" s="1821">
        <f>'Acct Summary 7-8'!F79</f>
        <v>2268860</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2515474</v>
      </c>
      <c r="C1672" s="2" t="s">
        <v>569</v>
      </c>
      <c r="D1672" s="2" t="str">
        <f t="shared" si="25"/>
        <v>Error?</v>
      </c>
    </row>
    <row r="1673" spans="1:4" x14ac:dyDescent="0.2">
      <c r="A1673" s="5">
        <v>1612</v>
      </c>
      <c r="B1673" s="1821">
        <f>'Acct Summary 7-8'!G79</f>
        <v>203587</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626067</v>
      </c>
      <c r="C1686" s="2" t="s">
        <v>569</v>
      </c>
      <c r="D1686" s="2" t="str">
        <f t="shared" si="25"/>
        <v>Error?</v>
      </c>
    </row>
    <row r="1687" spans="1:4" x14ac:dyDescent="0.2">
      <c r="A1687" s="5">
        <v>1626</v>
      </c>
      <c r="B1687" s="1821">
        <f>'Acct Summary 7-8'!H79</f>
        <v>2290040</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2351183</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9294761</v>
      </c>
      <c r="C1744" s="2" t="s">
        <v>569</v>
      </c>
      <c r="D1744" s="2" t="str">
        <f t="shared" si="26"/>
        <v>Error?</v>
      </c>
    </row>
    <row r="1745" spans="1:5" x14ac:dyDescent="0.2">
      <c r="A1745" s="5">
        <v>1684</v>
      </c>
      <c r="B1745" s="1821">
        <f>'Tax Sched 23'!B5</f>
        <v>1613736</v>
      </c>
      <c r="C1745" s="2" t="s">
        <v>569</v>
      </c>
      <c r="D1745" s="2" t="str">
        <f t="shared" si="26"/>
        <v>Error?</v>
      </c>
    </row>
    <row r="1746" spans="1:5" x14ac:dyDescent="0.2">
      <c r="A1746" s="5">
        <v>1685</v>
      </c>
      <c r="B1746" s="1821">
        <f>'Tax Sched 23'!B6</f>
        <v>0</v>
      </c>
      <c r="C1746" s="2" t="s">
        <v>569</v>
      </c>
      <c r="D1746" s="2" t="str">
        <f t="shared" si="26"/>
        <v>Error?</v>
      </c>
    </row>
    <row r="1747" spans="1:5" x14ac:dyDescent="0.2">
      <c r="A1747" s="5">
        <v>1686</v>
      </c>
      <c r="B1747" s="1821">
        <f>'Tax Sched 23'!B7</f>
        <v>314309</v>
      </c>
      <c r="C1747" s="2" t="s">
        <v>569</v>
      </c>
      <c r="D1747" s="2" t="str">
        <f t="shared" si="26"/>
        <v>Error?</v>
      </c>
    </row>
    <row r="1748" spans="1:5" x14ac:dyDescent="0.2">
      <c r="A1748" s="5">
        <v>1687</v>
      </c>
      <c r="B1748" s="1821">
        <f>'Tax Sched 23'!B8</f>
        <v>264479</v>
      </c>
      <c r="C1748" s="2" t="s">
        <v>569</v>
      </c>
      <c r="D1748" s="2" t="str">
        <f t="shared" si="26"/>
        <v>Error?</v>
      </c>
    </row>
    <row r="1749" spans="1:5" x14ac:dyDescent="0.2">
      <c r="A1749" s="5">
        <v>1688</v>
      </c>
      <c r="B1749" s="1821">
        <f>'Tax Sched 23'!B10</f>
        <v>25966</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179362</v>
      </c>
      <c r="C1752" s="2" t="s">
        <v>569</v>
      </c>
      <c r="D1752" s="2" t="str">
        <f t="shared" si="26"/>
        <v>Error?</v>
      </c>
    </row>
    <row r="1753" spans="1:5" x14ac:dyDescent="0.2">
      <c r="A1753" s="5">
        <v>1692</v>
      </c>
      <c r="B1753" s="1821">
        <f>'Tax Sched 23'!B12</f>
        <v>1008</v>
      </c>
      <c r="C1753" s="2" t="s">
        <v>569</v>
      </c>
      <c r="D1753" s="2" t="str">
        <f t="shared" si="26"/>
        <v>Error?</v>
      </c>
    </row>
    <row r="1754" spans="1:5" x14ac:dyDescent="0.2">
      <c r="A1754" s="5">
        <v>1693</v>
      </c>
      <c r="B1754" s="1821">
        <f>'Tax Sched 23'!B14</f>
        <v>179362</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12137458</v>
      </c>
      <c r="C1759" s="2" t="s">
        <v>569</v>
      </c>
      <c r="D1759" s="2" t="str">
        <f t="shared" si="26"/>
        <v>Error?</v>
      </c>
    </row>
    <row r="1760" spans="1:5" x14ac:dyDescent="0.2">
      <c r="A1760" s="5">
        <v>1699</v>
      </c>
      <c r="B1760" s="1821">
        <f>'Tax Sched 23'!D4</f>
        <v>4634196</v>
      </c>
      <c r="C1760" s="2" t="s">
        <v>569</v>
      </c>
      <c r="D1760" s="2" t="str">
        <f t="shared" si="26"/>
        <v>Error?</v>
      </c>
    </row>
    <row r="1761" spans="1:7" x14ac:dyDescent="0.2">
      <c r="A1761" s="5">
        <v>1700</v>
      </c>
      <c r="B1761" s="1821">
        <f>'Tax Sched 23'!D5</f>
        <v>787459</v>
      </c>
      <c r="C1761" s="2" t="s">
        <v>569</v>
      </c>
      <c r="D1761" s="2" t="str">
        <f t="shared" si="26"/>
        <v>Error?</v>
      </c>
    </row>
    <row r="1762" spans="1:7" s="8" customFormat="1" x14ac:dyDescent="0.2">
      <c r="A1762" s="5">
        <v>1701</v>
      </c>
      <c r="B1762" s="1821">
        <f>'Tax Sched 23'!D6</f>
        <v>0</v>
      </c>
      <c r="C1762" s="2" t="s">
        <v>569</v>
      </c>
      <c r="D1762" s="2" t="str">
        <f t="shared" si="26"/>
        <v>Error?</v>
      </c>
      <c r="E1762" s="9"/>
      <c r="G1762"/>
    </row>
    <row r="1763" spans="1:7" x14ac:dyDescent="0.2">
      <c r="A1763" s="5">
        <v>1702</v>
      </c>
      <c r="B1763" s="1821">
        <f>'Tax Sched 23'!D7</f>
        <v>156480</v>
      </c>
      <c r="C1763" s="2" t="s">
        <v>569</v>
      </c>
      <c r="D1763" s="2" t="str">
        <f t="shared" si="26"/>
        <v>Error?</v>
      </c>
    </row>
    <row r="1764" spans="1:7" x14ac:dyDescent="0.2">
      <c r="A1764" s="5">
        <v>1703</v>
      </c>
      <c r="B1764" s="1821">
        <f>'Tax Sched 23'!D8</f>
        <v>132413</v>
      </c>
      <c r="C1764" s="2" t="s">
        <v>569</v>
      </c>
      <c r="D1764" s="2" t="str">
        <f t="shared" si="26"/>
        <v>Error?</v>
      </c>
    </row>
    <row r="1765" spans="1:7" x14ac:dyDescent="0.2">
      <c r="A1765" s="5">
        <v>1704</v>
      </c>
      <c r="B1765" s="1821">
        <f>'Tax Sched 23'!D10</f>
        <v>12039</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89074</v>
      </c>
      <c r="C1768" s="2" t="s">
        <v>569</v>
      </c>
      <c r="D1768" s="2" t="str">
        <f t="shared" si="26"/>
        <v>Error?</v>
      </c>
    </row>
    <row r="1769" spans="1:7" x14ac:dyDescent="0.2">
      <c r="A1769" s="5">
        <v>1708</v>
      </c>
      <c r="B1769" s="1821">
        <f>'Tax Sched 23'!D12</f>
        <v>498</v>
      </c>
      <c r="C1769" s="2" t="s">
        <v>569</v>
      </c>
      <c r="D1769" s="2" t="str">
        <f t="shared" si="26"/>
        <v>Error?</v>
      </c>
    </row>
    <row r="1770" spans="1:7" x14ac:dyDescent="0.2">
      <c r="A1770" s="5">
        <v>1709</v>
      </c>
      <c r="B1770" s="1821">
        <f>'Tax Sched 23'!D14</f>
        <v>89074</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6033642</v>
      </c>
      <c r="C1775" s="2" t="s">
        <v>569</v>
      </c>
      <c r="D1775" s="2" t="str">
        <f t="shared" si="26"/>
        <v>Error?</v>
      </c>
    </row>
    <row r="1776" spans="1:7" x14ac:dyDescent="0.2">
      <c r="A1776" s="5">
        <v>1715</v>
      </c>
      <c r="B1776" s="1821">
        <f>'Tax Sched 23'!C4</f>
        <v>4660565</v>
      </c>
      <c r="D1776" s="2" t="str">
        <f t="shared" si="26"/>
        <v>Error?</v>
      </c>
    </row>
    <row r="1777" spans="1:4" x14ac:dyDescent="0.2">
      <c r="A1777" s="5">
        <v>1716</v>
      </c>
      <c r="B1777" s="1821">
        <f>'Tax Sched 23'!C5</f>
        <v>826277</v>
      </c>
      <c r="D1777" s="2" t="str">
        <f t="shared" si="26"/>
        <v>Error?</v>
      </c>
    </row>
    <row r="1778" spans="1:4" x14ac:dyDescent="0.2">
      <c r="A1778" s="5">
        <v>1717</v>
      </c>
      <c r="B1778" s="1821">
        <f>'Tax Sched 23'!C6</f>
        <v>0</v>
      </c>
      <c r="D1778" s="2" t="str">
        <f t="shared" si="26"/>
        <v>Error?</v>
      </c>
    </row>
    <row r="1779" spans="1:4" x14ac:dyDescent="0.2">
      <c r="A1779" s="5">
        <v>1718</v>
      </c>
      <c r="B1779" s="1821">
        <f>'Tax Sched 23'!C7</f>
        <v>157829</v>
      </c>
      <c r="D1779" s="2" t="str">
        <f t="shared" si="26"/>
        <v>Error?</v>
      </c>
    </row>
    <row r="1780" spans="1:4" x14ac:dyDescent="0.2">
      <c r="A1780" s="5">
        <v>1719</v>
      </c>
      <c r="B1780" s="1821">
        <f>'Tax Sched 23'!C8</f>
        <v>132066</v>
      </c>
      <c r="D1780" s="2" t="str">
        <f t="shared" si="26"/>
        <v>Error?</v>
      </c>
    </row>
    <row r="1781" spans="1:4" x14ac:dyDescent="0.2">
      <c r="A1781" s="5">
        <v>1720</v>
      </c>
      <c r="B1781" s="1821">
        <f>'Tax Sched 23'!C10</f>
        <v>13927</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90288</v>
      </c>
      <c r="D1784" s="2" t="str">
        <f t="shared" si="26"/>
        <v>Error?</v>
      </c>
    </row>
    <row r="1785" spans="1:4" x14ac:dyDescent="0.2">
      <c r="A1785" s="5">
        <v>1724</v>
      </c>
      <c r="B1785" s="1821">
        <f>'Tax Sched 23'!C12</f>
        <v>510</v>
      </c>
      <c r="D1785" s="2" t="str">
        <f t="shared" si="26"/>
        <v>Error?</v>
      </c>
    </row>
    <row r="1786" spans="1:4" x14ac:dyDescent="0.2">
      <c r="A1786" s="5">
        <v>1725</v>
      </c>
      <c r="B1786" s="1821">
        <f>'Tax Sched 23'!C14</f>
        <v>90288</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6103816</v>
      </c>
      <c r="C1791" s="2" t="s">
        <v>569</v>
      </c>
      <c r="D1791" s="2" t="str">
        <f t="shared" ref="D1791:D1854" si="27">IF(ISBLANK(B1791),"OK",IF(A1791-B1791=0,"OK","Error?"))</f>
        <v>Error?</v>
      </c>
    </row>
    <row r="1792" spans="1:4" x14ac:dyDescent="0.2">
      <c r="A1792" s="5">
        <v>1731</v>
      </c>
      <c r="B1792" s="1821">
        <f>'Tax Sched 23'!F4</f>
        <v>5185276</v>
      </c>
      <c r="C1792" s="2" t="s">
        <v>569</v>
      </c>
      <c r="D1792" s="2" t="str">
        <f t="shared" si="27"/>
        <v>Error?</v>
      </c>
    </row>
    <row r="1793" spans="1:4" x14ac:dyDescent="0.2">
      <c r="A1793" s="5">
        <v>1732</v>
      </c>
      <c r="B1793" s="1821">
        <f>'Tax Sched 23'!F5</f>
        <v>919305</v>
      </c>
      <c r="C1793" s="2" t="s">
        <v>569</v>
      </c>
      <c r="D1793" s="2" t="str">
        <f t="shared" si="27"/>
        <v>Error?</v>
      </c>
    </row>
    <row r="1794" spans="1:4" x14ac:dyDescent="0.2">
      <c r="A1794" s="5">
        <v>1733</v>
      </c>
      <c r="B1794" s="1821">
        <f>'Tax Sched 23'!F6</f>
        <v>0</v>
      </c>
      <c r="C1794" s="2" t="s">
        <v>569</v>
      </c>
      <c r="D1794" s="2" t="str">
        <f t="shared" si="27"/>
        <v>Error?</v>
      </c>
    </row>
    <row r="1795" spans="1:4" x14ac:dyDescent="0.2">
      <c r="A1795" s="5">
        <v>1734</v>
      </c>
      <c r="B1795" s="1821">
        <f>'Tax Sched 23'!F7</f>
        <v>175598</v>
      </c>
      <c r="C1795" s="2" t="s">
        <v>569</v>
      </c>
      <c r="D1795" s="2" t="str">
        <f t="shared" si="27"/>
        <v>Error?</v>
      </c>
    </row>
    <row r="1796" spans="1:4" x14ac:dyDescent="0.2">
      <c r="A1796" s="5">
        <v>1735</v>
      </c>
      <c r="B1796" s="1821">
        <f>'Tax Sched 23'!F8</f>
        <v>146935</v>
      </c>
      <c r="C1796" s="2" t="s">
        <v>569</v>
      </c>
      <c r="D1796" s="2" t="str">
        <f t="shared" si="27"/>
        <v>Error?</v>
      </c>
    </row>
    <row r="1797" spans="1:4" x14ac:dyDescent="0.2">
      <c r="A1797" s="5">
        <v>1736</v>
      </c>
      <c r="B1797" s="1821">
        <f>'Tax Sched 23'!F10</f>
        <v>15496</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100452</v>
      </c>
      <c r="C1800" s="2" t="s">
        <v>569</v>
      </c>
      <c r="D1800" s="2" t="str">
        <f t="shared" si="27"/>
        <v>Error?</v>
      </c>
    </row>
    <row r="1801" spans="1:4" x14ac:dyDescent="0.2">
      <c r="A1801" s="5">
        <v>1740</v>
      </c>
      <c r="B1801" s="1821">
        <f>'Tax Sched 23'!F12</f>
        <v>568</v>
      </c>
      <c r="C1801" s="2" t="s">
        <v>569</v>
      </c>
      <c r="D1801" s="2" t="str">
        <f t="shared" si="27"/>
        <v>Error?</v>
      </c>
    </row>
    <row r="1802" spans="1:4" x14ac:dyDescent="0.2">
      <c r="A1802" s="5">
        <v>1741</v>
      </c>
      <c r="B1802" s="1821">
        <f>'Tax Sched 23'!F14</f>
        <v>100452</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6791017</v>
      </c>
      <c r="C1807" s="2" t="s">
        <v>569</v>
      </c>
      <c r="D1807" s="2" t="str">
        <f t="shared" si="27"/>
        <v>Error?</v>
      </c>
    </row>
    <row r="1808" spans="1:4" x14ac:dyDescent="0.2">
      <c r="A1808" s="5">
        <v>1747</v>
      </c>
      <c r="B1808" s="1821">
        <f>'Tax Sched 23'!E4</f>
        <v>9845841</v>
      </c>
      <c r="D1808" s="2" t="str">
        <f t="shared" si="27"/>
        <v>Error?</v>
      </c>
    </row>
    <row r="1809" spans="1:4" x14ac:dyDescent="0.2">
      <c r="A1809" s="5">
        <v>1748</v>
      </c>
      <c r="B1809" s="1821">
        <f>'Tax Sched 23'!E5</f>
        <v>1745582</v>
      </c>
      <c r="D1809" s="2" t="str">
        <f t="shared" si="27"/>
        <v>Error?</v>
      </c>
    </row>
    <row r="1810" spans="1:4" x14ac:dyDescent="0.2">
      <c r="A1810" s="5">
        <v>1749</v>
      </c>
      <c r="B1810" s="1821">
        <f>'Tax Sched 23'!E6</f>
        <v>0</v>
      </c>
      <c r="D1810" s="2" t="str">
        <f t="shared" si="27"/>
        <v>Error?</v>
      </c>
    </row>
    <row r="1811" spans="1:4" x14ac:dyDescent="0.2">
      <c r="A1811" s="5">
        <v>1750</v>
      </c>
      <c r="B1811" s="1821">
        <f>'Tax Sched 23'!E7</f>
        <v>333427</v>
      </c>
      <c r="D1811" s="2" t="str">
        <f t="shared" si="27"/>
        <v>Error?</v>
      </c>
    </row>
    <row r="1812" spans="1:4" x14ac:dyDescent="0.2">
      <c r="A1812" s="5">
        <v>1751</v>
      </c>
      <c r="B1812" s="1821">
        <f>'Tax Sched 23'!E8</f>
        <v>279001</v>
      </c>
      <c r="D1812" s="2" t="str">
        <f t="shared" si="27"/>
        <v>Error?</v>
      </c>
    </row>
    <row r="1813" spans="1:4" x14ac:dyDescent="0.2">
      <c r="A1813" s="5">
        <v>1752</v>
      </c>
      <c r="B1813" s="1821">
        <f>'Tax Sched 23'!E10</f>
        <v>29423</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190740</v>
      </c>
      <c r="D1816" s="2" t="str">
        <f t="shared" si="27"/>
        <v>Error?</v>
      </c>
    </row>
    <row r="1817" spans="1:4" x14ac:dyDescent="0.2">
      <c r="A1817" s="5">
        <v>1756</v>
      </c>
      <c r="B1817" s="1821">
        <f>'Tax Sched 23'!E12</f>
        <v>1078</v>
      </c>
      <c r="D1817" s="2" t="str">
        <f t="shared" si="27"/>
        <v>Error?</v>
      </c>
    </row>
    <row r="1818" spans="1:4" x14ac:dyDescent="0.2">
      <c r="A1818" s="5">
        <v>1757</v>
      </c>
      <c r="B1818" s="1821">
        <f>'Tax Sched 23'!E14</f>
        <v>190740</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12894833</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20847</v>
      </c>
      <c r="C1939" s="2" t="s">
        <v>569</v>
      </c>
      <c r="D1939" s="2" t="str">
        <f t="shared" si="29"/>
        <v>Error?</v>
      </c>
    </row>
    <row r="1940" spans="1:5" x14ac:dyDescent="0.2">
      <c r="A1940" s="5">
        <v>1879</v>
      </c>
      <c r="B1940" s="1821">
        <f>'Short-Term Long-Term Debt 24'!F49</f>
        <v>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179362</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179362</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179362</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791988</v>
      </c>
      <c r="D2008" s="2" t="str">
        <f t="shared" si="30"/>
        <v>Error?</v>
      </c>
    </row>
    <row r="2009" spans="1:4" x14ac:dyDescent="0.2">
      <c r="A2009" s="5">
        <v>1948</v>
      </c>
      <c r="B2009" s="1821">
        <f>'Cap Outlay Deprec 26'!C8</f>
        <v>13115510</v>
      </c>
      <c r="D2009" s="2" t="str">
        <f t="shared" si="30"/>
        <v>Error?</v>
      </c>
    </row>
    <row r="2010" spans="1:4" x14ac:dyDescent="0.2">
      <c r="A2010" s="5">
        <v>1949</v>
      </c>
      <c r="B2010" s="1821">
        <f>'Cap Outlay Deprec 26'!C10</f>
        <v>1696192</v>
      </c>
      <c r="D2010" s="2" t="str">
        <f t="shared" si="30"/>
        <v>Error?</v>
      </c>
    </row>
    <row r="2011" spans="1:4" x14ac:dyDescent="0.2">
      <c r="A2011" s="5">
        <v>1950</v>
      </c>
      <c r="B2011" s="1821">
        <f>'Cap Outlay Deprec 26'!C12</f>
        <v>5092514</v>
      </c>
      <c r="D2011" s="2" t="str">
        <f t="shared" si="30"/>
        <v>Error?</v>
      </c>
    </row>
    <row r="2012" spans="1:4" x14ac:dyDescent="0.2">
      <c r="A2012" s="5">
        <v>1951</v>
      </c>
      <c r="B2012" s="1821">
        <f>'Cap Outlay Deprec 26'!C13</f>
        <v>0</v>
      </c>
      <c r="D2012" s="2" t="str">
        <f t="shared" si="30"/>
        <v>Error?</v>
      </c>
    </row>
    <row r="2013" spans="1:4" x14ac:dyDescent="0.2">
      <c r="A2013" s="5">
        <v>1952</v>
      </c>
      <c r="B2013" s="1821">
        <f>'Cap Outlay Deprec 26'!C16</f>
        <v>20696204</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0</v>
      </c>
      <c r="D2015" s="2" t="str">
        <f t="shared" si="30"/>
        <v>Error?</v>
      </c>
    </row>
    <row r="2016" spans="1:4" x14ac:dyDescent="0.2">
      <c r="A2016" s="5">
        <v>1955</v>
      </c>
      <c r="B2016" s="1821">
        <f>'Cap Outlay Deprec 26'!D10</f>
        <v>0</v>
      </c>
      <c r="D2016" s="2" t="str">
        <f t="shared" si="30"/>
        <v>Error?</v>
      </c>
    </row>
    <row r="2017" spans="1:4" x14ac:dyDescent="0.2">
      <c r="A2017" s="5">
        <v>1956</v>
      </c>
      <c r="B2017" s="1821">
        <f>'Cap Outlay Deprec 26'!D12</f>
        <v>138822</v>
      </c>
      <c r="D2017" s="2" t="str">
        <f t="shared" si="30"/>
        <v>Error?</v>
      </c>
    </row>
    <row r="2018" spans="1:4" x14ac:dyDescent="0.2">
      <c r="A2018" s="5">
        <v>1957</v>
      </c>
      <c r="B2018" s="1821">
        <f>'Cap Outlay Deprec 26'!D13</f>
        <v>0</v>
      </c>
      <c r="D2018" s="2" t="str">
        <f t="shared" si="30"/>
        <v>Error?</v>
      </c>
    </row>
    <row r="2019" spans="1:4" x14ac:dyDescent="0.2">
      <c r="A2019" s="5">
        <v>1958</v>
      </c>
      <c r="B2019" s="1821">
        <f>'Cap Outlay Deprec 26'!D16</f>
        <v>138822</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0</v>
      </c>
      <c r="D2021" s="2" t="str">
        <f t="shared" si="30"/>
        <v>Error?</v>
      </c>
    </row>
    <row r="2022" spans="1:4" x14ac:dyDescent="0.2">
      <c r="A2022" s="5">
        <v>1961</v>
      </c>
      <c r="B2022" s="1821">
        <f>'Cap Outlay Deprec 26'!E10</f>
        <v>0</v>
      </c>
      <c r="D2022" s="2" t="str">
        <f t="shared" si="30"/>
        <v>Error?</v>
      </c>
    </row>
    <row r="2023" spans="1:4" x14ac:dyDescent="0.2">
      <c r="A2023" s="5">
        <v>1962</v>
      </c>
      <c r="B2023" s="1821">
        <f>'Cap Outlay Deprec 26'!E12</f>
        <v>0</v>
      </c>
      <c r="D2023" s="2" t="str">
        <f t="shared" si="30"/>
        <v>Error?</v>
      </c>
    </row>
    <row r="2024" spans="1:4" x14ac:dyDescent="0.2">
      <c r="A2024" s="5">
        <v>1963</v>
      </c>
      <c r="B2024" s="1821">
        <f>'Cap Outlay Deprec 26'!E13</f>
        <v>0</v>
      </c>
      <c r="D2024" s="2" t="str">
        <f t="shared" si="30"/>
        <v>Error?</v>
      </c>
    </row>
    <row r="2025" spans="1:4" x14ac:dyDescent="0.2">
      <c r="A2025" s="5">
        <v>1964</v>
      </c>
      <c r="B2025" s="1821">
        <f>'Cap Outlay Deprec 26'!E16</f>
        <v>0</v>
      </c>
      <c r="C2025" s="2" t="s">
        <v>569</v>
      </c>
      <c r="D2025" s="2" t="str">
        <f t="shared" si="30"/>
        <v>Error?</v>
      </c>
    </row>
    <row r="2026" spans="1:4" x14ac:dyDescent="0.2">
      <c r="A2026" s="5">
        <v>1965</v>
      </c>
      <c r="B2026" s="1821">
        <f>'Cap Outlay Deprec 26'!F5</f>
        <v>791988</v>
      </c>
      <c r="C2026" s="2" t="s">
        <v>569</v>
      </c>
      <c r="D2026" s="2" t="str">
        <f t="shared" si="30"/>
        <v>Error?</v>
      </c>
    </row>
    <row r="2027" spans="1:4" x14ac:dyDescent="0.2">
      <c r="A2027" s="5">
        <v>1966</v>
      </c>
      <c r="B2027" s="1821">
        <f>'Cap Outlay Deprec 26'!F8</f>
        <v>13115510</v>
      </c>
      <c r="C2027" s="2" t="s">
        <v>569</v>
      </c>
      <c r="D2027" s="2" t="str">
        <f t="shared" si="30"/>
        <v>Error?</v>
      </c>
    </row>
    <row r="2028" spans="1:4" x14ac:dyDescent="0.2">
      <c r="A2028" s="5">
        <v>1967</v>
      </c>
      <c r="B2028" s="1821">
        <f>'Cap Outlay Deprec 26'!F10</f>
        <v>1696192</v>
      </c>
      <c r="C2028" s="2" t="s">
        <v>569</v>
      </c>
      <c r="D2028" s="2" t="str">
        <f t="shared" si="30"/>
        <v>Error?</v>
      </c>
    </row>
    <row r="2029" spans="1:4" x14ac:dyDescent="0.2">
      <c r="A2029" s="5">
        <v>1968</v>
      </c>
      <c r="B2029" s="1821">
        <f>'Cap Outlay Deprec 26'!F12</f>
        <v>5231336</v>
      </c>
      <c r="C2029" s="2" t="s">
        <v>569</v>
      </c>
      <c r="D2029" s="2" t="str">
        <f t="shared" si="30"/>
        <v>Error?</v>
      </c>
    </row>
    <row r="2030" spans="1:4" x14ac:dyDescent="0.2">
      <c r="A2030" s="5">
        <v>1969</v>
      </c>
      <c r="B2030" s="1821">
        <f>'Cap Outlay Deprec 26'!F13</f>
        <v>0</v>
      </c>
      <c r="C2030" s="2" t="s">
        <v>569</v>
      </c>
      <c r="D2030" s="2" t="str">
        <f t="shared" si="30"/>
        <v>Error?</v>
      </c>
    </row>
    <row r="2031" spans="1:4" x14ac:dyDescent="0.2">
      <c r="A2031" s="5">
        <v>1970</v>
      </c>
      <c r="B2031" s="1821">
        <f>'Cap Outlay Deprec 26'!F16</f>
        <v>20835026</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5429429</v>
      </c>
      <c r="D2033" s="2" t="str">
        <f t="shared" si="30"/>
        <v>Error?</v>
      </c>
    </row>
    <row r="2034" spans="1:4" x14ac:dyDescent="0.2">
      <c r="A2034" s="5">
        <v>1973</v>
      </c>
      <c r="B2034" s="1821">
        <f>'Cap Outlay Deprec 26'!H10</f>
        <v>550870</v>
      </c>
      <c r="D2034" s="2" t="str">
        <f t="shared" si="30"/>
        <v>Error?</v>
      </c>
    </row>
    <row r="2035" spans="1:4" x14ac:dyDescent="0.2">
      <c r="A2035" s="5">
        <v>1974</v>
      </c>
      <c r="B2035" s="1821">
        <f>'Cap Outlay Deprec 26'!H12</f>
        <v>4180464</v>
      </c>
      <c r="D2035" s="2" t="str">
        <f t="shared" si="30"/>
        <v>Error?</v>
      </c>
    </row>
    <row r="2036" spans="1:4" x14ac:dyDescent="0.2">
      <c r="A2036" s="5">
        <v>1975</v>
      </c>
      <c r="B2036" s="1821">
        <f>'Cap Outlay Deprec 26'!H13</f>
        <v>0</v>
      </c>
      <c r="D2036" s="2" t="str">
        <f t="shared" si="30"/>
        <v>Error?</v>
      </c>
    </row>
    <row r="2037" spans="1:4" x14ac:dyDescent="0.2">
      <c r="A2037" s="5">
        <v>1976</v>
      </c>
      <c r="B2037" s="1821">
        <f>'Cap Outlay Deprec 26'!H16</f>
        <v>10160763</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262310</v>
      </c>
      <c r="D2039" s="2" t="str">
        <f t="shared" si="30"/>
        <v>Error?</v>
      </c>
    </row>
    <row r="2040" spans="1:4" x14ac:dyDescent="0.2">
      <c r="A2040" s="5">
        <v>1979</v>
      </c>
      <c r="B2040" s="1821">
        <f>'Cap Outlay Deprec 26'!I10</f>
        <v>84809</v>
      </c>
      <c r="D2040" s="2" t="str">
        <f t="shared" si="30"/>
        <v>Error?</v>
      </c>
    </row>
    <row r="2041" spans="1:4" x14ac:dyDescent="0.2">
      <c r="A2041" s="5">
        <v>1980</v>
      </c>
      <c r="B2041" s="1821">
        <f>'Cap Outlay Deprec 26'!I12</f>
        <v>516143</v>
      </c>
      <c r="D2041" s="2" t="str">
        <f t="shared" si="30"/>
        <v>Error?</v>
      </c>
    </row>
    <row r="2042" spans="1:4" x14ac:dyDescent="0.2">
      <c r="A2042" s="5">
        <v>1981</v>
      </c>
      <c r="B2042" s="1821">
        <f>'Cap Outlay Deprec 26'!I13</f>
        <v>0</v>
      </c>
      <c r="D2042" s="2" t="str">
        <f t="shared" si="30"/>
        <v>Error?</v>
      </c>
    </row>
    <row r="2043" spans="1:4" x14ac:dyDescent="0.2">
      <c r="A2043" s="5">
        <v>1982</v>
      </c>
      <c r="B2043" s="1821">
        <f>'Cap Outlay Deprec 26'!I16</f>
        <v>863262</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0</v>
      </c>
      <c r="D2045" s="2" t="str">
        <f t="shared" si="30"/>
        <v>Error?</v>
      </c>
    </row>
    <row r="2046" spans="1:4" x14ac:dyDescent="0.2">
      <c r="A2046" s="5">
        <v>1985</v>
      </c>
      <c r="B2046" s="1821">
        <f>'Cap Outlay Deprec 26'!J10</f>
        <v>0</v>
      </c>
      <c r="D2046" s="2" t="str">
        <f t="shared" si="30"/>
        <v>Error?</v>
      </c>
    </row>
    <row r="2047" spans="1:4" x14ac:dyDescent="0.2">
      <c r="A2047" s="5">
        <v>1986</v>
      </c>
      <c r="B2047" s="1821">
        <f>'Cap Outlay Deprec 26'!J12</f>
        <v>0</v>
      </c>
      <c r="D2047" s="2" t="str">
        <f t="shared" ref="D2047:D2110" si="31">IF(ISBLANK(B2047),"OK",IF(A2047-B2047=0,"OK","Error?"))</f>
        <v>Error?</v>
      </c>
    </row>
    <row r="2048" spans="1:4" x14ac:dyDescent="0.2">
      <c r="A2048" s="5">
        <v>1987</v>
      </c>
      <c r="B2048" s="1821">
        <f>'Cap Outlay Deprec 26'!J13</f>
        <v>0</v>
      </c>
      <c r="D2048" s="2" t="str">
        <f t="shared" si="31"/>
        <v>Error?</v>
      </c>
    </row>
    <row r="2049" spans="1:4" x14ac:dyDescent="0.2">
      <c r="A2049" s="5">
        <v>1988</v>
      </c>
      <c r="B2049" s="1821">
        <f>'Cap Outlay Deprec 26'!J16</f>
        <v>0</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5691739</v>
      </c>
      <c r="C2051" s="2" t="s">
        <v>569</v>
      </c>
      <c r="D2051" s="2" t="str">
        <f t="shared" si="31"/>
        <v>Error?</v>
      </c>
    </row>
    <row r="2052" spans="1:4" x14ac:dyDescent="0.2">
      <c r="A2052" s="5">
        <v>1991</v>
      </c>
      <c r="B2052" s="1821">
        <f>'Cap Outlay Deprec 26'!K10</f>
        <v>635679</v>
      </c>
      <c r="C2052" s="2" t="s">
        <v>569</v>
      </c>
      <c r="D2052" s="2" t="str">
        <f t="shared" si="31"/>
        <v>Error?</v>
      </c>
    </row>
    <row r="2053" spans="1:4" x14ac:dyDescent="0.2">
      <c r="A2053" s="5">
        <v>1992</v>
      </c>
      <c r="B2053" s="1821">
        <f>'Cap Outlay Deprec 26'!K12</f>
        <v>4696607</v>
      </c>
      <c r="C2053" s="2" t="s">
        <v>569</v>
      </c>
      <c r="D2053" s="2" t="str">
        <f t="shared" si="31"/>
        <v>Error?</v>
      </c>
    </row>
    <row r="2054" spans="1:4" x14ac:dyDescent="0.2">
      <c r="A2054" s="5">
        <v>1993</v>
      </c>
      <c r="B2054" s="1821">
        <f>'Cap Outlay Deprec 26'!K13</f>
        <v>0</v>
      </c>
      <c r="C2054" s="2" t="s">
        <v>569</v>
      </c>
      <c r="D2054" s="2" t="str">
        <f t="shared" si="31"/>
        <v>Error?</v>
      </c>
    </row>
    <row r="2055" spans="1:4" x14ac:dyDescent="0.2">
      <c r="A2055" s="5">
        <v>1994</v>
      </c>
      <c r="B2055" s="1821">
        <f>'Cap Outlay Deprec 26'!K16</f>
        <v>11024025</v>
      </c>
      <c r="C2055" s="2" t="s">
        <v>569</v>
      </c>
      <c r="D2055" s="2" t="str">
        <f t="shared" si="31"/>
        <v>Error?</v>
      </c>
    </row>
    <row r="2056" spans="1:4" x14ac:dyDescent="0.2">
      <c r="A2056" s="5">
        <v>1995</v>
      </c>
      <c r="B2056" s="1821">
        <f>'Cap Outlay Deprec 26'!L5</f>
        <v>791988</v>
      </c>
      <c r="C2056" s="2" t="s">
        <v>569</v>
      </c>
      <c r="D2056" s="2" t="str">
        <f t="shared" si="31"/>
        <v>Error?</v>
      </c>
    </row>
    <row r="2057" spans="1:4" x14ac:dyDescent="0.2">
      <c r="A2057" s="5">
        <v>1996</v>
      </c>
      <c r="B2057" s="1821">
        <f>'Cap Outlay Deprec 26'!L8</f>
        <v>7423771</v>
      </c>
      <c r="C2057" s="2" t="s">
        <v>569</v>
      </c>
      <c r="D2057" s="2" t="str">
        <f t="shared" si="31"/>
        <v>Error?</v>
      </c>
    </row>
    <row r="2058" spans="1:4" x14ac:dyDescent="0.2">
      <c r="A2058" s="5">
        <v>1997</v>
      </c>
      <c r="B2058" s="1821">
        <f>'Cap Outlay Deprec 26'!L10</f>
        <v>1060513</v>
      </c>
      <c r="C2058" s="2" t="s">
        <v>569</v>
      </c>
      <c r="D2058" s="2" t="str">
        <f t="shared" si="31"/>
        <v>Error?</v>
      </c>
    </row>
    <row r="2059" spans="1:4" x14ac:dyDescent="0.2">
      <c r="A2059" s="5">
        <v>1998</v>
      </c>
      <c r="B2059" s="1821">
        <f>'Cap Outlay Deprec 26'!L12</f>
        <v>534729</v>
      </c>
      <c r="C2059" s="2" t="s">
        <v>569</v>
      </c>
      <c r="D2059" s="2" t="str">
        <f t="shared" si="31"/>
        <v>Error?</v>
      </c>
    </row>
    <row r="2060" spans="1:4" x14ac:dyDescent="0.2">
      <c r="A2060" s="5">
        <v>1999</v>
      </c>
      <c r="B2060" s="1821">
        <f>'Cap Outlay Deprec 26'!L13</f>
        <v>0</v>
      </c>
      <c r="C2060" s="2" t="s">
        <v>569</v>
      </c>
      <c r="D2060" s="2" t="str">
        <f t="shared" si="31"/>
        <v>Error?</v>
      </c>
    </row>
    <row r="2061" spans="1:4" x14ac:dyDescent="0.2">
      <c r="A2061" s="5">
        <v>2000</v>
      </c>
      <c r="B2061" s="1821">
        <f>'Cap Outlay Deprec 26'!L16</f>
        <v>9811001</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331344</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332724</v>
      </c>
      <c r="C2088" s="2" t="s">
        <v>569</v>
      </c>
      <c r="D2088" s="2" t="str">
        <f t="shared" si="31"/>
        <v>Error?</v>
      </c>
    </row>
    <row r="2089" spans="1:4" x14ac:dyDescent="0.2">
      <c r="A2089" s="5">
        <v>2028</v>
      </c>
      <c r="B2089" s="1821">
        <f>'Expenditures 15-22'!K92</f>
        <v>0</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0</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569</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436152</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10017181</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1285412</v>
      </c>
      <c r="C2553" s="2" t="s">
        <v>569</v>
      </c>
      <c r="D2553" s="2" t="str">
        <f t="shared" si="38"/>
        <v>Error?</v>
      </c>
    </row>
    <row r="2554" spans="1:4" x14ac:dyDescent="0.2">
      <c r="A2554" s="5">
        <v>2493</v>
      </c>
      <c r="B2554" s="1821">
        <f>'Acct Summary 7-8'!C7</f>
        <v>435810</v>
      </c>
      <c r="C2554" s="2" t="s">
        <v>569</v>
      </c>
      <c r="D2554" s="2" t="str">
        <f t="shared" si="38"/>
        <v>Error?</v>
      </c>
    </row>
    <row r="2555" spans="1:4" x14ac:dyDescent="0.2">
      <c r="A2555" s="5">
        <v>2494</v>
      </c>
      <c r="B2555" s="1821">
        <f>'Acct Summary 7-8'!C8</f>
        <v>11738403</v>
      </c>
      <c r="C2555" s="2" t="s">
        <v>569</v>
      </c>
      <c r="D2555" s="2" t="str">
        <f t="shared" si="38"/>
        <v>Error?</v>
      </c>
    </row>
    <row r="2556" spans="1:4" x14ac:dyDescent="0.2">
      <c r="A2556" s="5">
        <v>2495</v>
      </c>
      <c r="B2556" s="1821">
        <f>'Acct Summary 7-8'!C12</f>
        <v>9160034</v>
      </c>
      <c r="C2556" s="2" t="s">
        <v>569</v>
      </c>
      <c r="D2556" s="2" t="str">
        <f t="shared" si="38"/>
        <v>Error?</v>
      </c>
    </row>
    <row r="2557" spans="1:4" x14ac:dyDescent="0.2">
      <c r="A2557" s="5">
        <v>2496</v>
      </c>
      <c r="B2557" s="1821">
        <f>'Acct Summary 7-8'!C13</f>
        <v>4166498</v>
      </c>
      <c r="C2557" s="2" t="s">
        <v>569</v>
      </c>
      <c r="D2557" s="2" t="str">
        <f t="shared" si="38"/>
        <v>Error?</v>
      </c>
    </row>
    <row r="2558" spans="1:4" x14ac:dyDescent="0.2">
      <c r="A2558" s="5">
        <v>2497</v>
      </c>
      <c r="B2558" s="1821">
        <f>'Acct Summary 7-8'!C14</f>
        <v>0</v>
      </c>
      <c r="C2558" s="2" t="s">
        <v>569</v>
      </c>
      <c r="D2558" s="2" t="str">
        <f t="shared" si="38"/>
        <v>Error?</v>
      </c>
    </row>
    <row r="2559" spans="1:4" x14ac:dyDescent="0.2">
      <c r="A2559" s="5">
        <v>2498</v>
      </c>
      <c r="B2559" s="1821">
        <f>'Acct Summary 7-8'!C15</f>
        <v>332724</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13659256</v>
      </c>
      <c r="C2561" s="2" t="s">
        <v>569</v>
      </c>
      <c r="D2561" s="2" t="str">
        <f t="shared" si="39"/>
        <v>Error?</v>
      </c>
    </row>
    <row r="2562" spans="1:4" x14ac:dyDescent="0.2">
      <c r="A2562" s="5">
        <v>2501</v>
      </c>
      <c r="B2562" s="1821">
        <f>'Acct Summary 7-8'!C20</f>
        <v>-1920853</v>
      </c>
      <c r="C2562" s="2" t="s">
        <v>569</v>
      </c>
      <c r="D2562" s="2" t="str">
        <f t="shared" si="39"/>
        <v>Error?</v>
      </c>
    </row>
    <row r="2563" spans="1:4" x14ac:dyDescent="0.2">
      <c r="A2563" s="5">
        <v>2502</v>
      </c>
      <c r="B2563" s="1821">
        <f>'Acct Summary 7-8'!C80</f>
        <v>6712105</v>
      </c>
      <c r="D2563" s="2" t="str">
        <f t="shared" si="39"/>
        <v>Error?</v>
      </c>
    </row>
    <row r="2564" spans="1:4" x14ac:dyDescent="0.2">
      <c r="A2564" s="5">
        <v>2503</v>
      </c>
      <c r="B2564" s="1821">
        <f>'Acct Summary 7-8'!D4</f>
        <v>1698094</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1698094</v>
      </c>
      <c r="C2568" s="2" t="s">
        <v>569</v>
      </c>
      <c r="D2568" s="2" t="str">
        <f t="shared" si="39"/>
        <v>Error?</v>
      </c>
    </row>
    <row r="2569" spans="1:4" x14ac:dyDescent="0.2">
      <c r="A2569" s="5">
        <v>2508</v>
      </c>
      <c r="B2569" s="1821">
        <f>'Acct Summary 7-8'!D13</f>
        <v>1372028</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0</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1372028</v>
      </c>
      <c r="C2573" s="2" t="s">
        <v>569</v>
      </c>
      <c r="D2573" s="2" t="str">
        <f t="shared" si="39"/>
        <v>Error?</v>
      </c>
    </row>
    <row r="2574" spans="1:4" x14ac:dyDescent="0.2">
      <c r="A2574" s="5">
        <v>2513</v>
      </c>
      <c r="B2574" s="1821">
        <f>'Acct Summary 7-8'!D20</f>
        <v>326066</v>
      </c>
      <c r="C2574" s="2" t="s">
        <v>569</v>
      </c>
      <c r="D2574" s="2" t="str">
        <f t="shared" si="39"/>
        <v>Error?</v>
      </c>
    </row>
    <row r="2575" spans="1:4" x14ac:dyDescent="0.2">
      <c r="A2575" s="5">
        <v>2514</v>
      </c>
      <c r="B2575" s="1821">
        <f>'Acct Summary 7-8'!D80</f>
        <v>931747</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381598</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246425</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628023</v>
      </c>
      <c r="C2595" s="2" t="s">
        <v>569</v>
      </c>
      <c r="D2595" s="2" t="str">
        <f t="shared" si="39"/>
        <v>Error?</v>
      </c>
    </row>
    <row r="2596" spans="1:4" x14ac:dyDescent="0.2">
      <c r="A2596" s="5">
        <v>2535</v>
      </c>
      <c r="B2596" s="1821">
        <f>'Acct Summary 7-8'!F13</f>
        <v>470129</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470129</v>
      </c>
      <c r="C2600" s="2" t="s">
        <v>569</v>
      </c>
      <c r="D2600" s="2" t="str">
        <f t="shared" si="39"/>
        <v>Error?</v>
      </c>
    </row>
    <row r="2601" spans="1:4" x14ac:dyDescent="0.2">
      <c r="A2601" s="5">
        <v>2540</v>
      </c>
      <c r="B2601" s="1821">
        <f>'Acct Summary 7-8'!F20</f>
        <v>157894</v>
      </c>
      <c r="C2601" s="2" t="s">
        <v>569</v>
      </c>
      <c r="D2601" s="2" t="str">
        <f t="shared" si="39"/>
        <v>Error?</v>
      </c>
    </row>
    <row r="2602" spans="1:4" x14ac:dyDescent="0.2">
      <c r="A2602" s="5">
        <v>2541</v>
      </c>
      <c r="B2602" s="1821">
        <f>'Acct Summary 7-8'!F80</f>
        <v>88720</v>
      </c>
      <c r="D2602" s="2" t="str">
        <f t="shared" si="39"/>
        <v>Error?</v>
      </c>
    </row>
    <row r="2603" spans="1:4" x14ac:dyDescent="0.2">
      <c r="A2603" s="5">
        <v>2542</v>
      </c>
      <c r="B2603" s="1821">
        <f>'Acct Summary 7-8'!G4</f>
        <v>575113</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575113</v>
      </c>
      <c r="C2606" s="2" t="s">
        <v>569</v>
      </c>
      <c r="D2606" s="2" t="str">
        <f t="shared" si="39"/>
        <v>Error?</v>
      </c>
    </row>
    <row r="2607" spans="1:4" x14ac:dyDescent="0.2">
      <c r="A2607" s="5">
        <v>2546</v>
      </c>
      <c r="B2607" s="1821">
        <f>'Acct Summary 7-8'!G12</f>
        <v>205560</v>
      </c>
      <c r="C2607" s="2" t="s">
        <v>569</v>
      </c>
      <c r="D2607" s="2" t="str">
        <f t="shared" si="39"/>
        <v>Error?</v>
      </c>
    </row>
    <row r="2608" spans="1:4" x14ac:dyDescent="0.2">
      <c r="A2608" s="5">
        <v>2547</v>
      </c>
      <c r="B2608" s="1821">
        <f>'Acct Summary 7-8'!G13</f>
        <v>243863</v>
      </c>
      <c r="C2608" s="2" t="s">
        <v>569</v>
      </c>
      <c r="D2608" s="2" t="str">
        <f t="shared" si="39"/>
        <v>Error?</v>
      </c>
    </row>
    <row r="2609" spans="1:4" x14ac:dyDescent="0.2">
      <c r="A2609" s="5">
        <v>2548</v>
      </c>
      <c r="B2609" s="1821">
        <f>'Acct Summary 7-8'!G14</f>
        <v>0</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449423</v>
      </c>
      <c r="C2612" s="2" t="s">
        <v>569</v>
      </c>
      <c r="D2612" s="2" t="str">
        <f t="shared" si="39"/>
        <v>Error?</v>
      </c>
    </row>
    <row r="2613" spans="1:4" x14ac:dyDescent="0.2">
      <c r="A2613" s="5">
        <v>2552</v>
      </c>
      <c r="B2613" s="1821">
        <f>'Acct Summary 7-8'!G20</f>
        <v>125690</v>
      </c>
      <c r="C2613" s="2" t="s">
        <v>569</v>
      </c>
      <c r="D2613" s="2" t="str">
        <f t="shared" si="39"/>
        <v>Error?</v>
      </c>
    </row>
    <row r="2614" spans="1:4" x14ac:dyDescent="0.2">
      <c r="A2614" s="5">
        <v>2553</v>
      </c>
      <c r="B2614" s="1821">
        <f>'Acct Summary 7-8'!G80</f>
        <v>296790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0</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0</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13898</v>
      </c>
      <c r="C2634" s="2" t="s">
        <v>569</v>
      </c>
      <c r="D2634" s="2" t="str">
        <f t="shared" si="40"/>
        <v>Error?</v>
      </c>
    </row>
    <row r="2635" spans="1:4" x14ac:dyDescent="0.2">
      <c r="A2635" s="5">
        <v>2574</v>
      </c>
      <c r="B2635" s="1821">
        <f>'Acct Summary 7-8'!E17</f>
        <v>13898</v>
      </c>
      <c r="C2635" s="2" t="s">
        <v>569</v>
      </c>
      <c r="D2635" s="2" t="str">
        <f t="shared" si="40"/>
        <v>Error?</v>
      </c>
    </row>
    <row r="2636" spans="1:4" x14ac:dyDescent="0.2">
      <c r="A2636" s="5">
        <v>2575</v>
      </c>
      <c r="B2636" s="1821">
        <f>'Acct Summary 7-8'!E20</f>
        <v>-13898</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61925</v>
      </c>
      <c r="C2655" s="2" t="s">
        <v>569</v>
      </c>
      <c r="D2655" s="2" t="str">
        <f t="shared" si="40"/>
        <v>Error?</v>
      </c>
    </row>
    <row r="2656" spans="1:4" x14ac:dyDescent="0.2">
      <c r="A2656" s="5">
        <v>2595</v>
      </c>
      <c r="B2656" s="1821">
        <f>'Acct Summary 7-8'!H6</f>
        <v>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61925</v>
      </c>
      <c r="C2658" s="2" t="s">
        <v>569</v>
      </c>
      <c r="D2658" s="2" t="str">
        <f t="shared" si="40"/>
        <v>Error?</v>
      </c>
    </row>
    <row r="2659" spans="1:4" x14ac:dyDescent="0.2">
      <c r="A2659" s="5">
        <v>2598</v>
      </c>
      <c r="B2659" s="1821">
        <f>'Acct Summary 7-8'!H13</f>
        <v>0</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0</v>
      </c>
      <c r="C2661" s="2" t="s">
        <v>569</v>
      </c>
      <c r="D2661" s="2" t="str">
        <f t="shared" si="40"/>
        <v>Error?</v>
      </c>
    </row>
    <row r="2662" spans="1:4" x14ac:dyDescent="0.2">
      <c r="A2662" s="5">
        <v>2601</v>
      </c>
      <c r="B2662" s="1821">
        <f>'Acct Summary 7-8'!H20</f>
        <v>61925</v>
      </c>
      <c r="C2662" s="2" t="s">
        <v>569</v>
      </c>
      <c r="D2662" s="2" t="str">
        <f t="shared" si="40"/>
        <v>Error?</v>
      </c>
    </row>
    <row r="2663" spans="1:4" x14ac:dyDescent="0.2">
      <c r="A2663" s="5">
        <v>2602</v>
      </c>
      <c r="B2663" s="1821">
        <f>'Acct Summary 7-8'!H80</f>
        <v>-782</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0</v>
      </c>
      <c r="D2718" s="2" t="str">
        <f t="shared" si="41"/>
        <v>Error?</v>
      </c>
    </row>
    <row r="2719" spans="1:4" x14ac:dyDescent="0.2">
      <c r="A2719" s="5">
        <v>2658</v>
      </c>
      <c r="B2719" s="1821">
        <f>'Expenditures 15-22'!D51</f>
        <v>0</v>
      </c>
      <c r="D2719" s="2" t="str">
        <f t="shared" si="41"/>
        <v>Error?</v>
      </c>
    </row>
    <row r="2720" spans="1:4" x14ac:dyDescent="0.2">
      <c r="A2720" s="5">
        <v>2659</v>
      </c>
      <c r="B2720" s="1821">
        <f>'Expenditures 15-22'!E51</f>
        <v>0</v>
      </c>
      <c r="D2720" s="2" t="str">
        <f t="shared" si="41"/>
        <v>Error?</v>
      </c>
    </row>
    <row r="2721" spans="1:4" x14ac:dyDescent="0.2">
      <c r="A2721" s="5">
        <v>2660</v>
      </c>
      <c r="B2721" s="1821">
        <f>'Expenditures 15-22'!F51</f>
        <v>0</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0</v>
      </c>
      <c r="C2724" s="2" t="s">
        <v>569</v>
      </c>
      <c r="D2724" s="2" t="str">
        <f t="shared" si="41"/>
        <v>Error?</v>
      </c>
    </row>
    <row r="2725" spans="1:4" x14ac:dyDescent="0.2">
      <c r="A2725" s="5">
        <v>2664</v>
      </c>
      <c r="B2725" s="1821">
        <f>'Expenditures 15-22'!D247</f>
        <v>0</v>
      </c>
      <c r="D2725" s="2" t="str">
        <f t="shared" si="41"/>
        <v>Error?</v>
      </c>
    </row>
    <row r="2726" spans="1:4" x14ac:dyDescent="0.2">
      <c r="A2726" s="5">
        <v>2665</v>
      </c>
      <c r="B2726" s="1821">
        <f>'Expenditures 15-22'!K247</f>
        <v>0</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1994</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1380</v>
      </c>
      <c r="C2789" s="2" t="s">
        <v>569</v>
      </c>
      <c r="D2789" s="2" t="str">
        <f t="shared" si="42"/>
        <v>Error?</v>
      </c>
    </row>
    <row r="2790" spans="1:4" x14ac:dyDescent="0.2">
      <c r="A2790" s="5">
        <v>2729</v>
      </c>
      <c r="B2790" s="1821">
        <f>'Expenditures 15-22'!E102</f>
        <v>1380</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0</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191186</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1139004</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139818</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1139004</v>
      </c>
      <c r="D2912" s="2" t="str">
        <f t="shared" si="44"/>
        <v>Error?</v>
      </c>
    </row>
    <row r="2913" spans="1:4" x14ac:dyDescent="0.2">
      <c r="A2913" s="5">
        <v>2852</v>
      </c>
      <c r="B2913" s="1821">
        <f>'Assets-Liab 5-6'!I41</f>
        <v>1139004</v>
      </c>
      <c r="C2913" s="2" t="s">
        <v>569</v>
      </c>
      <c r="D2913" s="2" t="str">
        <f t="shared" si="44"/>
        <v>Error?</v>
      </c>
    </row>
    <row r="2914" spans="1:4" x14ac:dyDescent="0.2">
      <c r="A2914" s="5">
        <v>2853</v>
      </c>
      <c r="B2914" s="1821">
        <f>'Assets-Liab 5-6'!L33</f>
        <v>139818</v>
      </c>
      <c r="D2914" s="2" t="str">
        <f t="shared" si="44"/>
        <v>Error?</v>
      </c>
    </row>
    <row r="2915" spans="1:4" x14ac:dyDescent="0.2">
      <c r="A2915" s="10">
        <v>2854</v>
      </c>
      <c r="B2915" s="1821"/>
      <c r="D2915" s="2" t="str">
        <f t="shared" si="44"/>
        <v>OK</v>
      </c>
    </row>
    <row r="2916" spans="1:4" x14ac:dyDescent="0.2">
      <c r="A2916" s="5">
        <v>2855</v>
      </c>
      <c r="B2916" s="1821">
        <f>'Assets-Liab 5-6'!L34</f>
        <v>139818</v>
      </c>
      <c r="C2916" s="2" t="s">
        <v>569</v>
      </c>
      <c r="D2916" s="2" t="str">
        <f t="shared" si="44"/>
        <v>Error?</v>
      </c>
    </row>
    <row r="2917" spans="1:4" x14ac:dyDescent="0.2">
      <c r="A2917" s="5">
        <v>2856</v>
      </c>
      <c r="B2917" s="1821">
        <f>'Assets-Liab 5-6'!L41</f>
        <v>139818</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1380</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331344</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332724</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0</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0</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1994</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0</v>
      </c>
      <c r="D3055" s="2" t="str">
        <f t="shared" si="46"/>
        <v>Error?</v>
      </c>
    </row>
    <row r="3056" spans="1:4" x14ac:dyDescent="0.2">
      <c r="A3056" s="5">
        <v>2995</v>
      </c>
      <c r="B3056" s="1821">
        <f>'Expenditures 15-22'!D10</f>
        <v>0</v>
      </c>
      <c r="D3056" s="2" t="str">
        <f t="shared" si="46"/>
        <v>Error?</v>
      </c>
    </row>
    <row r="3057" spans="1:4" x14ac:dyDescent="0.2">
      <c r="A3057" s="5">
        <v>2996</v>
      </c>
      <c r="B3057" s="1821">
        <f>'Expenditures 15-22'!E10</f>
        <v>0</v>
      </c>
      <c r="D3057" s="2" t="str">
        <f t="shared" si="46"/>
        <v>Error?</v>
      </c>
    </row>
    <row r="3058" spans="1:4" x14ac:dyDescent="0.2">
      <c r="A3058" s="5">
        <v>2997</v>
      </c>
      <c r="B3058" s="1821">
        <f>'Expenditures 15-22'!F10</f>
        <v>0</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0</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0</v>
      </c>
      <c r="D3064" s="2" t="str">
        <f t="shared" si="46"/>
        <v>Error?</v>
      </c>
    </row>
    <row r="3065" spans="1:4" x14ac:dyDescent="0.2">
      <c r="A3065" s="5">
        <v>3004</v>
      </c>
      <c r="B3065" s="1821">
        <f>'Expenditures 15-22'!K219</f>
        <v>0</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51003</v>
      </c>
      <c r="C3225" s="2" t="s">
        <v>569</v>
      </c>
      <c r="D3225" s="2" t="str">
        <f t="shared" si="49"/>
        <v>Error?</v>
      </c>
    </row>
    <row r="3226" spans="1:4" x14ac:dyDescent="0.2">
      <c r="A3226" s="5">
        <v>3165</v>
      </c>
      <c r="B3226" s="1821">
        <f>'Acct Summary 7-8'!I8</f>
        <v>51003</v>
      </c>
      <c r="C3226" s="2" t="s">
        <v>569</v>
      </c>
      <c r="D3226" s="2" t="str">
        <f t="shared" si="49"/>
        <v>Error?</v>
      </c>
    </row>
    <row r="3227" spans="1:4" x14ac:dyDescent="0.2">
      <c r="A3227" s="5">
        <v>3166</v>
      </c>
      <c r="B3227" s="1821">
        <f>'Acct Summary 7-8'!I20</f>
        <v>51003</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569</v>
      </c>
      <c r="D3229" s="2" t="str">
        <f t="shared" si="49"/>
        <v>Error?</v>
      </c>
    </row>
    <row r="3230" spans="1:4" x14ac:dyDescent="0.2">
      <c r="A3230" s="5">
        <v>3169</v>
      </c>
      <c r="B3230" s="1821">
        <f>'Acct Summary 7-8'!C75</f>
        <v>13898</v>
      </c>
      <c r="D3230" s="2" t="str">
        <f t="shared" si="49"/>
        <v>Error?</v>
      </c>
    </row>
    <row r="3231" spans="1:4" x14ac:dyDescent="0.2">
      <c r="A3231" s="5">
        <v>3170</v>
      </c>
      <c r="B3231" s="1821">
        <f>'Acct Summary 7-8'!C76</f>
        <v>13898</v>
      </c>
      <c r="C3231" s="2" t="s">
        <v>569</v>
      </c>
      <c r="D3231" s="2" t="str">
        <f t="shared" si="49"/>
        <v>Error?</v>
      </c>
    </row>
    <row r="3232" spans="1:4" x14ac:dyDescent="0.2">
      <c r="A3232" s="5">
        <v>3171</v>
      </c>
      <c r="B3232" s="1821">
        <f>'Acct Summary 7-8'!C77</f>
        <v>-13898</v>
      </c>
      <c r="C3232" s="2" t="s">
        <v>569</v>
      </c>
      <c r="D3232" s="2" t="str">
        <f t="shared" si="49"/>
        <v>Error?</v>
      </c>
    </row>
    <row r="3233" spans="1:4" x14ac:dyDescent="0.2">
      <c r="A3233" s="5">
        <v>3172</v>
      </c>
      <c r="B3233" s="1821">
        <f>'Acct Summary 7-8'!C78</f>
        <v>-1934751</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0</v>
      </c>
      <c r="C3235" s="2" t="s">
        <v>569</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0</v>
      </c>
      <c r="C3237" s="2" t="s">
        <v>569</v>
      </c>
      <c r="D3237" s="2" t="str">
        <f t="shared" si="49"/>
        <v>Error?</v>
      </c>
    </row>
    <row r="3238" spans="1:4" x14ac:dyDescent="0.2">
      <c r="A3238" s="5">
        <v>3177</v>
      </c>
      <c r="B3238" s="1821">
        <f>'Acct Summary 7-8'!D77</f>
        <v>0</v>
      </c>
      <c r="C3238" s="2" t="s">
        <v>569</v>
      </c>
      <c r="D3238" s="2" t="str">
        <f t="shared" si="49"/>
        <v>Error?</v>
      </c>
    </row>
    <row r="3239" spans="1:4" x14ac:dyDescent="0.2">
      <c r="A3239" s="5">
        <v>3178</v>
      </c>
      <c r="B3239" s="1821">
        <f>'Acct Summary 7-8'!D78</f>
        <v>326066</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569</v>
      </c>
      <c r="D3254" s="2" t="str">
        <f t="shared" si="49"/>
        <v>Error?</v>
      </c>
    </row>
    <row r="3255" spans="1:4" x14ac:dyDescent="0.2">
      <c r="A3255" s="5">
        <v>3194</v>
      </c>
      <c r="B3255" s="1821">
        <f>'Acct Summary 7-8'!F77</f>
        <v>0</v>
      </c>
      <c r="C3255" s="2" t="s">
        <v>569</v>
      </c>
      <c r="D3255" s="2" t="str">
        <f t="shared" si="49"/>
        <v>Error?</v>
      </c>
    </row>
    <row r="3256" spans="1:4" x14ac:dyDescent="0.2">
      <c r="A3256" s="5">
        <v>3195</v>
      </c>
      <c r="B3256" s="1821">
        <f>'Acct Summary 7-8'!F78</f>
        <v>157894</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125690</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13898</v>
      </c>
      <c r="D3273" s="2" t="str">
        <f t="shared" si="50"/>
        <v>Error?</v>
      </c>
    </row>
    <row r="3274" spans="1:4" x14ac:dyDescent="0.2">
      <c r="A3274" s="5">
        <v>3213</v>
      </c>
      <c r="B3274" s="1821">
        <f>'Acct Summary 7-8'!E44</f>
        <v>13898</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569</v>
      </c>
      <c r="D3276" s="2" t="str">
        <f t="shared" si="50"/>
        <v>Error?</v>
      </c>
    </row>
    <row r="3277" spans="1:4" x14ac:dyDescent="0.2">
      <c r="A3277" s="5">
        <v>3216</v>
      </c>
      <c r="B3277" s="1821">
        <f>'Acct Summary 7-8'!E77</f>
        <v>13898</v>
      </c>
      <c r="C3277" s="2" t="s">
        <v>569</v>
      </c>
      <c r="D3277" s="2" t="str">
        <f t="shared" si="50"/>
        <v>Error?</v>
      </c>
    </row>
    <row r="3278" spans="1:4" x14ac:dyDescent="0.2">
      <c r="A3278" s="5">
        <v>3217</v>
      </c>
      <c r="B3278" s="1821">
        <f>'Acct Summary 7-8'!E78</f>
        <v>0</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0</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569</v>
      </c>
      <c r="D3298" s="2" t="str">
        <f t="shared" si="50"/>
        <v>Error?</v>
      </c>
    </row>
    <row r="3299" spans="1:4" x14ac:dyDescent="0.2">
      <c r="A3299" s="5">
        <v>3238</v>
      </c>
      <c r="B3299" s="1821">
        <f>'Acct Summary 7-8'!H77</f>
        <v>0</v>
      </c>
      <c r="C3299" s="2" t="s">
        <v>569</v>
      </c>
      <c r="D3299" s="2" t="str">
        <f t="shared" si="50"/>
        <v>Error?</v>
      </c>
    </row>
    <row r="3300" spans="1:4" x14ac:dyDescent="0.2">
      <c r="A3300" s="5">
        <v>3239</v>
      </c>
      <c r="B3300" s="1821">
        <f>'Acct Summary 7-8'!H78</f>
        <v>61925</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0</v>
      </c>
      <c r="C3318" s="2" t="s">
        <v>569</v>
      </c>
      <c r="D3318" s="2" t="str">
        <f t="shared" si="50"/>
        <v>Error?</v>
      </c>
    </row>
    <row r="3319" spans="1:4" x14ac:dyDescent="0.2">
      <c r="A3319" s="5">
        <v>3258</v>
      </c>
      <c r="B3319" s="1821">
        <f>'Acct Summary 7-8'!I77</f>
        <v>0</v>
      </c>
      <c r="C3319" s="2" t="s">
        <v>569</v>
      </c>
      <c r="D3319" s="2" t="str">
        <f t="shared" si="50"/>
        <v>Error?</v>
      </c>
    </row>
    <row r="3320" spans="1:4" x14ac:dyDescent="0.2">
      <c r="A3320" s="5">
        <v>3259</v>
      </c>
      <c r="B3320" s="1821">
        <f>'Acct Summary 7-8'!I78</f>
        <v>51003</v>
      </c>
      <c r="C3320" s="2" t="s">
        <v>569</v>
      </c>
      <c r="D3320" s="2" t="str">
        <f t="shared" si="50"/>
        <v>Error?</v>
      </c>
    </row>
    <row r="3321" spans="1:4" x14ac:dyDescent="0.2">
      <c r="A3321" s="5">
        <v>3260</v>
      </c>
      <c r="B3321" s="1821">
        <f>'Acct Summary 7-8'!I79</f>
        <v>1075925</v>
      </c>
      <c r="D3321" s="2" t="str">
        <f t="shared" si="50"/>
        <v>Error?</v>
      </c>
    </row>
    <row r="3322" spans="1:4" x14ac:dyDescent="0.2">
      <c r="A3322" s="5">
        <v>3261</v>
      </c>
      <c r="B3322" s="1821">
        <f>'Acct Summary 7-8'!I80</f>
        <v>12076</v>
      </c>
      <c r="D3322" s="2" t="str">
        <f t="shared" si="50"/>
        <v>Error?</v>
      </c>
    </row>
    <row r="3323" spans="1:4" x14ac:dyDescent="0.2">
      <c r="A3323" s="5">
        <v>3262</v>
      </c>
      <c r="B3323" s="1821">
        <f>'Acct Summary 7-8'!I81</f>
        <v>1139004</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1623445</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52896</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99922</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714</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5206</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0</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1782183</v>
      </c>
      <c r="C3380" s="2" t="s">
        <v>569</v>
      </c>
      <c r="D3380" s="2" t="str">
        <f t="shared" si="51"/>
        <v>Error?</v>
      </c>
    </row>
    <row r="3381" spans="1:4" x14ac:dyDescent="0.2">
      <c r="A3381" s="5">
        <v>3320</v>
      </c>
      <c r="B3381" s="1821">
        <f>'Expenditures 15-22'!K19</f>
        <v>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106014</v>
      </c>
      <c r="D3387" s="2" t="str">
        <f t="shared" si="51"/>
        <v>Error?</v>
      </c>
    </row>
    <row r="3388" spans="1:4" x14ac:dyDescent="0.2">
      <c r="A3388" s="5">
        <v>3327</v>
      </c>
      <c r="B3388" s="1821">
        <f>'Expenditures 15-22'!D217</f>
        <v>94059</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106014</v>
      </c>
      <c r="C3390" s="2" t="s">
        <v>569</v>
      </c>
      <c r="D3390" s="2" t="str">
        <f t="shared" si="51"/>
        <v>Error?</v>
      </c>
    </row>
    <row r="3391" spans="1:4" x14ac:dyDescent="0.2">
      <c r="A3391" s="5">
        <v>3330</v>
      </c>
      <c r="B3391" s="1821">
        <f>'Expenditures 15-22'!K217</f>
        <v>94059</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7958337</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3177847</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0</v>
      </c>
      <c r="D3417" s="2" t="str">
        <f t="shared" si="52"/>
        <v>Error?</v>
      </c>
    </row>
    <row r="3418" spans="1:4" x14ac:dyDescent="0.2">
      <c r="A3418" s="10">
        <v>3357</v>
      </c>
      <c r="B3418" s="1821"/>
      <c r="D3418" s="2" t="str">
        <f t="shared" si="52"/>
        <v>OK</v>
      </c>
    </row>
    <row r="3419" spans="1:4" x14ac:dyDescent="0.2">
      <c r="A3419" s="5">
        <v>3358</v>
      </c>
      <c r="B3419" s="1821">
        <f>'Assets-Liab 5-6'!F4</f>
        <v>2093243</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522229</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1956528</v>
      </c>
      <c r="D3425" s="2" t="str">
        <f t="shared" si="52"/>
        <v>Error?</v>
      </c>
    </row>
    <row r="3426" spans="1:4" x14ac:dyDescent="0.2">
      <c r="A3426" s="10">
        <v>3365</v>
      </c>
      <c r="B3426" s="1821"/>
      <c r="D3426" s="2" t="str">
        <f t="shared" si="52"/>
        <v>OK</v>
      </c>
    </row>
    <row r="3427" spans="1:4" x14ac:dyDescent="0.2">
      <c r="A3427" s="5">
        <v>3366</v>
      </c>
      <c r="B3427" s="1821">
        <f>'Assets-Liab 5-6'!I4</f>
        <v>947818</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139818</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264475</v>
      </c>
      <c r="C3446" s="2" t="s">
        <v>569</v>
      </c>
      <c r="D3446" s="2" t="str">
        <f t="shared" si="52"/>
        <v>Error?</v>
      </c>
    </row>
    <row r="3447" spans="1:4" x14ac:dyDescent="0.2">
      <c r="A3447" s="5">
        <v>3386</v>
      </c>
      <c r="B3447" s="1821">
        <f>'Tax Sched 23'!D16</f>
        <v>132409</v>
      </c>
      <c r="C3447" s="2" t="s">
        <v>569</v>
      </c>
      <c r="D3447" s="2" t="str">
        <f t="shared" si="52"/>
        <v>Error?</v>
      </c>
    </row>
    <row r="3448" spans="1:4" x14ac:dyDescent="0.2">
      <c r="A3448" s="5">
        <v>3387</v>
      </c>
      <c r="B3448" s="1821">
        <f>'Tax Sched 23'!C16</f>
        <v>132066</v>
      </c>
      <c r="D3448" s="2" t="str">
        <f t="shared" si="52"/>
        <v>Error?</v>
      </c>
    </row>
    <row r="3449" spans="1:4" x14ac:dyDescent="0.2">
      <c r="A3449" s="5">
        <v>3388</v>
      </c>
      <c r="B3449" s="1821">
        <f>'Tax Sched 23'!F16</f>
        <v>146935</v>
      </c>
      <c r="C3449" s="2" t="s">
        <v>569</v>
      </c>
      <c r="D3449" s="2" t="str">
        <f t="shared" si="52"/>
        <v>Error?</v>
      </c>
    </row>
    <row r="3450" spans="1:4" x14ac:dyDescent="0.2">
      <c r="A3450" s="5">
        <v>3389</v>
      </c>
      <c r="B3450" s="1821">
        <f>'Tax Sched 23'!E16</f>
        <v>279001</v>
      </c>
      <c r="D3450" s="2" t="str">
        <f t="shared" si="52"/>
        <v>Error?</v>
      </c>
    </row>
    <row r="3451" spans="1:4" x14ac:dyDescent="0.2">
      <c r="A3451" s="5">
        <v>3390</v>
      </c>
      <c r="B3451" s="1821">
        <f>'Cap Outlay Deprec 26'!C15</f>
        <v>0</v>
      </c>
      <c r="D3451" s="2" t="str">
        <f t="shared" si="52"/>
        <v>Error?</v>
      </c>
    </row>
    <row r="3452" spans="1:4" x14ac:dyDescent="0.2">
      <c r="A3452" s="5">
        <v>3391</v>
      </c>
      <c r="B3452" s="1821">
        <f>'Cap Outlay Deprec 26'!D15</f>
        <v>0</v>
      </c>
      <c r="D3452" s="2" t="str">
        <f t="shared" si="52"/>
        <v>Error?</v>
      </c>
    </row>
    <row r="3453" spans="1:4" x14ac:dyDescent="0.2">
      <c r="A3453" s="5">
        <v>3392</v>
      </c>
      <c r="B3453" s="1821">
        <f>'Cap Outlay Deprec 26'!E15</f>
        <v>0</v>
      </c>
      <c r="D3453" s="2" t="str">
        <f t="shared" si="52"/>
        <v>Error?</v>
      </c>
    </row>
    <row r="3454" spans="1:4" x14ac:dyDescent="0.2">
      <c r="A3454" s="5">
        <v>3393</v>
      </c>
      <c r="B3454" s="1821">
        <f>'Cap Outlay Deprec 26'!F15</f>
        <v>0</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0</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1994</v>
      </c>
      <c r="E3521" s="4" t="s">
        <v>134</v>
      </c>
    </row>
    <row r="3522" spans="1:5" x14ac:dyDescent="0.2">
      <c r="A3522" s="10">
        <v>3461</v>
      </c>
      <c r="B3522" s="1821"/>
      <c r="D3522" s="4" t="s">
        <v>1994</v>
      </c>
      <c r="E3522" s="4" t="s">
        <v>134</v>
      </c>
    </row>
    <row r="3523" spans="1:5" x14ac:dyDescent="0.2">
      <c r="A3523" s="10">
        <v>3462</v>
      </c>
      <c r="B3523" s="1821"/>
      <c r="D3523" s="4" t="s">
        <v>1994</v>
      </c>
      <c r="E3523" s="4" t="s">
        <v>134</v>
      </c>
    </row>
    <row r="3524" spans="1:5" x14ac:dyDescent="0.2">
      <c r="A3524" s="10">
        <v>3463</v>
      </c>
      <c r="B3524" s="1821"/>
      <c r="D3524" s="4" t="s">
        <v>1994</v>
      </c>
      <c r="E3524" s="4" t="s">
        <v>134</v>
      </c>
    </row>
    <row r="3525" spans="1:5" x14ac:dyDescent="0.2">
      <c r="A3525" s="10">
        <v>3464</v>
      </c>
      <c r="B3525" s="1821"/>
      <c r="D3525" s="4" t="s">
        <v>1994</v>
      </c>
      <c r="E3525" s="4" t="s">
        <v>134</v>
      </c>
    </row>
    <row r="3526" spans="1:5" x14ac:dyDescent="0.2">
      <c r="A3526" s="10">
        <v>3465</v>
      </c>
      <c r="B3526" s="1821"/>
      <c r="D3526" s="4" t="s">
        <v>1994</v>
      </c>
      <c r="E3526" s="4" t="s">
        <v>134</v>
      </c>
    </row>
    <row r="3527" spans="1:5" x14ac:dyDescent="0.2">
      <c r="A3527" s="10">
        <v>3466</v>
      </c>
      <c r="B3527" s="1821"/>
      <c r="D3527" s="4" t="s">
        <v>1994</v>
      </c>
      <c r="E3527" s="4" t="s">
        <v>134</v>
      </c>
    </row>
    <row r="3528" spans="1:5" x14ac:dyDescent="0.2">
      <c r="A3528" s="10">
        <v>3467</v>
      </c>
      <c r="B3528" s="1821"/>
      <c r="D3528" s="4" t="s">
        <v>1994</v>
      </c>
      <c r="E3528" s="4" t="s">
        <v>134</v>
      </c>
    </row>
    <row r="3529" spans="1:5" x14ac:dyDescent="0.2">
      <c r="A3529" s="10">
        <v>3468</v>
      </c>
      <c r="B3529" s="1821"/>
      <c r="D3529" s="4" t="s">
        <v>1994</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111082</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22406</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133488</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133488</v>
      </c>
      <c r="D3567" s="2" t="str">
        <f t="shared" si="54"/>
        <v>Error?</v>
      </c>
    </row>
    <row r="3568" spans="1:4" x14ac:dyDescent="0.2">
      <c r="A3568" s="5">
        <v>3507</v>
      </c>
      <c r="B3568" s="1821">
        <f>'Assets-Liab 5-6'!K41</f>
        <v>133488</v>
      </c>
      <c r="C3568" s="2" t="s">
        <v>569</v>
      </c>
      <c r="D3568" s="2" t="str">
        <f t="shared" si="54"/>
        <v>Error?</v>
      </c>
    </row>
    <row r="3569" spans="1:4" x14ac:dyDescent="0.2">
      <c r="A3569" s="5">
        <v>3508</v>
      </c>
      <c r="B3569" s="1821">
        <f>'Acct Summary 7-8'!K4</f>
        <v>4473</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4473</v>
      </c>
      <c r="C3571" s="2" t="s">
        <v>569</v>
      </c>
      <c r="D3571" s="2" t="str">
        <f t="shared" si="54"/>
        <v>Error?</v>
      </c>
    </row>
    <row r="3572" spans="1:4" x14ac:dyDescent="0.2">
      <c r="A3572" s="5">
        <v>3511</v>
      </c>
      <c r="B3572" s="1821">
        <f>'Acct Summary 7-8'!K13</f>
        <v>0</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0</v>
      </c>
      <c r="C3575" s="2" t="s">
        <v>569</v>
      </c>
      <c r="D3575" s="2" t="str">
        <f t="shared" si="54"/>
        <v>Error?</v>
      </c>
    </row>
    <row r="3576" spans="1:4" x14ac:dyDescent="0.2">
      <c r="A3576" s="5">
        <v>3515</v>
      </c>
      <c r="B3576" s="1821">
        <f>'Acct Summary 7-8'!K20</f>
        <v>4473</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4473</v>
      </c>
      <c r="C3588" s="2" t="s">
        <v>569</v>
      </c>
      <c r="D3588" s="2" t="str">
        <f t="shared" si="55"/>
        <v>Error?</v>
      </c>
    </row>
    <row r="3589" spans="1:4" x14ac:dyDescent="0.2">
      <c r="A3589" s="5">
        <v>3528</v>
      </c>
      <c r="B3589" s="1821">
        <f>'Acct Summary 7-8'!K79</f>
        <v>128164</v>
      </c>
      <c r="D3589" s="2" t="str">
        <f t="shared" si="55"/>
        <v>Error?</v>
      </c>
    </row>
    <row r="3590" spans="1:4" x14ac:dyDescent="0.2">
      <c r="A3590" s="5">
        <v>3529</v>
      </c>
      <c r="B3590" s="1821">
        <f>'Acct Summary 7-8'!K80</f>
        <v>851</v>
      </c>
      <c r="D3590" s="2" t="str">
        <f t="shared" si="55"/>
        <v>Error?</v>
      </c>
    </row>
    <row r="3591" spans="1:4" x14ac:dyDescent="0.2">
      <c r="A3591" s="5">
        <v>3530</v>
      </c>
      <c r="B3591" s="1821">
        <f>'Acct Summary 7-8'!K81</f>
        <v>133488</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569</v>
      </c>
      <c r="D3649" s="2" t="str">
        <f t="shared" si="56"/>
        <v>Error?</v>
      </c>
    </row>
    <row r="3650" spans="1:4" x14ac:dyDescent="0.2">
      <c r="A3650" s="5">
        <v>3589</v>
      </c>
      <c r="B3650" s="1821">
        <f>'Expenditures 15-22'!G367</f>
        <v>0</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0</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0</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0</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4473</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569</v>
      </c>
      <c r="D3722" s="2" t="str">
        <f t="shared" si="57"/>
        <v>Error?</v>
      </c>
    </row>
    <row r="3723" spans="1:4" x14ac:dyDescent="0.2">
      <c r="A3723" s="5">
        <v>3662</v>
      </c>
      <c r="B3723" s="1821">
        <f>'Expenditures 15-22'!K283</f>
        <v>0</v>
      </c>
      <c r="C3723" s="2" t="s">
        <v>569</v>
      </c>
      <c r="D3723" s="2" t="str">
        <f t="shared" si="57"/>
        <v>Error?</v>
      </c>
    </row>
    <row r="3724" spans="1:4" x14ac:dyDescent="0.2">
      <c r="A3724" s="5">
        <v>3663</v>
      </c>
      <c r="B3724" s="1821">
        <f>'Expenditures 15-22'!K285</f>
        <v>0</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124170</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0</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0</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0</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6173680</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17912083</v>
      </c>
      <c r="C4122" s="2" t="s">
        <v>569</v>
      </c>
      <c r="D4122" s="2" t="str">
        <f t="shared" si="63"/>
        <v>Error?</v>
      </c>
    </row>
    <row r="4123" spans="1:4" x14ac:dyDescent="0.2">
      <c r="A4123" s="5">
        <v>4062</v>
      </c>
      <c r="B4123" s="1821">
        <f>'Acct Summary 7-8'!D10</f>
        <v>1698094</v>
      </c>
      <c r="C4123" s="2" t="s">
        <v>569</v>
      </c>
      <c r="D4123" s="2" t="str">
        <f t="shared" si="63"/>
        <v>Error?</v>
      </c>
    </row>
    <row r="4124" spans="1:4" x14ac:dyDescent="0.2">
      <c r="A4124" s="5">
        <v>4063</v>
      </c>
      <c r="B4124" s="1821">
        <f>'Acct Summary 7-8'!E10</f>
        <v>0</v>
      </c>
      <c r="C4124" s="2" t="s">
        <v>569</v>
      </c>
      <c r="D4124" s="2" t="str">
        <f t="shared" si="63"/>
        <v>Error?</v>
      </c>
    </row>
    <row r="4125" spans="1:4" x14ac:dyDescent="0.2">
      <c r="A4125" s="5">
        <v>4064</v>
      </c>
      <c r="B4125" s="1821">
        <f>'Acct Summary 7-8'!F10</f>
        <v>628023</v>
      </c>
      <c r="C4125" s="2" t="s">
        <v>569</v>
      </c>
      <c r="D4125" s="2" t="str">
        <f t="shared" si="63"/>
        <v>Error?</v>
      </c>
    </row>
    <row r="4126" spans="1:4" x14ac:dyDescent="0.2">
      <c r="A4126" s="5">
        <v>4065</v>
      </c>
      <c r="B4126" s="1821">
        <f>'Acct Summary 7-8'!G10</f>
        <v>575113</v>
      </c>
      <c r="C4126" s="2" t="s">
        <v>569</v>
      </c>
      <c r="D4126" s="2" t="str">
        <f t="shared" si="63"/>
        <v>Error?</v>
      </c>
    </row>
    <row r="4127" spans="1:4" x14ac:dyDescent="0.2">
      <c r="A4127" s="5">
        <v>4066</v>
      </c>
      <c r="B4127" s="1821">
        <f>'Acct Summary 7-8'!H10</f>
        <v>61925</v>
      </c>
      <c r="C4127" s="2" t="s">
        <v>569</v>
      </c>
      <c r="D4127" s="2" t="str">
        <f t="shared" si="63"/>
        <v>Error?</v>
      </c>
    </row>
    <row r="4128" spans="1:4" x14ac:dyDescent="0.2">
      <c r="A4128" s="5">
        <v>4067</v>
      </c>
      <c r="B4128" s="1821">
        <f>'Acct Summary 7-8'!I10</f>
        <v>51003</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4473</v>
      </c>
      <c r="C4130" s="2" t="s">
        <v>569</v>
      </c>
      <c r="D4130" s="2" t="str">
        <f t="shared" si="63"/>
        <v>Error?</v>
      </c>
    </row>
    <row r="4131" spans="1:4" x14ac:dyDescent="0.2">
      <c r="A4131" s="5">
        <v>4070</v>
      </c>
      <c r="B4131" s="1821">
        <f>'Acct Summary 7-8'!C18</f>
        <v>6173680</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19832936</v>
      </c>
      <c r="C4136" s="2" t="s">
        <v>569</v>
      </c>
      <c r="D4136" s="2" t="str">
        <f t="shared" si="63"/>
        <v>Error?</v>
      </c>
    </row>
    <row r="4137" spans="1:4" x14ac:dyDescent="0.2">
      <c r="A4137" s="5">
        <v>4076</v>
      </c>
      <c r="B4137" s="1821">
        <f>'Acct Summary 7-8'!D19</f>
        <v>1372028</v>
      </c>
      <c r="C4137" s="2" t="s">
        <v>569</v>
      </c>
      <c r="D4137" s="2" t="str">
        <f t="shared" si="63"/>
        <v>Error?</v>
      </c>
    </row>
    <row r="4138" spans="1:4" x14ac:dyDescent="0.2">
      <c r="A4138" s="5">
        <v>4077</v>
      </c>
      <c r="B4138" s="1821">
        <f>'Acct Summary 7-8'!E19</f>
        <v>13898</v>
      </c>
      <c r="C4138" s="2" t="s">
        <v>569</v>
      </c>
      <c r="D4138" s="2" t="str">
        <f t="shared" si="63"/>
        <v>Error?</v>
      </c>
    </row>
    <row r="4139" spans="1:4" x14ac:dyDescent="0.2">
      <c r="A4139" s="5">
        <v>4078</v>
      </c>
      <c r="B4139" s="1821">
        <f>'Acct Summary 7-8'!F19</f>
        <v>470129</v>
      </c>
      <c r="C4139" s="2" t="s">
        <v>569</v>
      </c>
      <c r="D4139" s="2" t="str">
        <f t="shared" si="63"/>
        <v>Error?</v>
      </c>
    </row>
    <row r="4140" spans="1:4" x14ac:dyDescent="0.2">
      <c r="A4140" s="5">
        <v>4079</v>
      </c>
      <c r="B4140" s="1821">
        <f>'Acct Summary 7-8'!G19</f>
        <v>449423</v>
      </c>
      <c r="C4140" s="2" t="s">
        <v>569</v>
      </c>
      <c r="D4140" s="2" t="str">
        <f t="shared" si="63"/>
        <v>Error?</v>
      </c>
    </row>
    <row r="4141" spans="1:4" x14ac:dyDescent="0.2">
      <c r="A4141" s="5">
        <v>4080</v>
      </c>
      <c r="B4141" s="1821">
        <f>'Acct Summary 7-8'!H19</f>
        <v>0</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0</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0</v>
      </c>
      <c r="C4171" s="2" t="s">
        <v>569</v>
      </c>
      <c r="D4171" s="2" t="str">
        <f t="shared" si="64"/>
        <v>Error?</v>
      </c>
    </row>
    <row r="4172" spans="1:4" x14ac:dyDescent="0.2">
      <c r="A4172" s="5">
        <v>4111</v>
      </c>
      <c r="B4172" s="1821">
        <f>'Short-Term Long-Term Debt 24'!J49</f>
        <v>0</v>
      </c>
      <c r="C4172" s="2" t="s">
        <v>569</v>
      </c>
      <c r="D4172" s="2" t="str">
        <f t="shared" si="64"/>
        <v>Error?</v>
      </c>
    </row>
    <row r="4173" spans="1:4" x14ac:dyDescent="0.2">
      <c r="A4173" s="5">
        <v>4112</v>
      </c>
      <c r="B4173" s="1821">
        <f>'Short-Term Long-Term Debt 24'!H49</f>
        <v>13898</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-6949</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569</v>
      </c>
      <c r="D4202" s="2" t="str">
        <f t="shared" si="64"/>
        <v>Error?</v>
      </c>
    </row>
    <row r="4203" spans="1:4" x14ac:dyDescent="0.2">
      <c r="A4203" s="5">
        <v>4142</v>
      </c>
      <c r="B4203" s="1821">
        <f>'Expenditures 15-22'!E139</f>
        <v>0</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1896</v>
      </c>
    </row>
    <row r="4236" spans="1:5" x14ac:dyDescent="0.2">
      <c r="A4236" s="10">
        <v>4175</v>
      </c>
      <c r="B4236" s="1821"/>
      <c r="D4236" s="2" t="str">
        <f t="shared" si="65"/>
        <v>OK</v>
      </c>
      <c r="E4236" s="4" t="s">
        <v>1896</v>
      </c>
    </row>
    <row r="4237" spans="1:5" x14ac:dyDescent="0.2">
      <c r="A4237" s="10">
        <v>4176</v>
      </c>
      <c r="B4237" s="1821"/>
      <c r="D4237" s="2" t="str">
        <f t="shared" si="65"/>
        <v>OK</v>
      </c>
      <c r="E4237" s="4" t="s">
        <v>1896</v>
      </c>
    </row>
    <row r="4238" spans="1:5" x14ac:dyDescent="0.2">
      <c r="A4238" s="10">
        <v>4177</v>
      </c>
      <c r="B4238" s="1821"/>
      <c r="D4238" s="2" t="str">
        <f t="shared" si="65"/>
        <v>OK</v>
      </c>
      <c r="E4238" s="4" t="s">
        <v>1896</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2566.297</v>
      </c>
      <c r="C4265" s="2" t="s">
        <v>569</v>
      </c>
      <c r="D4265" s="2" t="str">
        <f t="shared" si="65"/>
        <v>Error?</v>
      </c>
      <c r="E4265" s="125"/>
    </row>
    <row r="4266" spans="1:5" x14ac:dyDescent="0.2">
      <c r="A4266" s="12">
        <v>4205</v>
      </c>
      <c r="B4266" s="1821">
        <f>('FP Info 3'!F10)*100000</f>
        <v>454.98200000000003</v>
      </c>
      <c r="C4266" s="2" t="s">
        <v>569</v>
      </c>
      <c r="D4266" s="2" t="str">
        <f t="shared" si="65"/>
        <v>Error?</v>
      </c>
      <c r="E4266" s="125"/>
    </row>
    <row r="4267" spans="1:5" x14ac:dyDescent="0.2">
      <c r="A4267" s="12">
        <v>4206</v>
      </c>
      <c r="B4267" s="1821">
        <f>('FP Info 3'!H10)*100000</f>
        <v>86.906999999999996</v>
      </c>
      <c r="C4267" s="2" t="s">
        <v>569</v>
      </c>
      <c r="D4267" s="2" t="str">
        <f t="shared" si="65"/>
        <v>Error?</v>
      </c>
      <c r="E4267" s="125"/>
    </row>
    <row r="4268" spans="1:5" x14ac:dyDescent="0.2">
      <c r="A4268" s="12">
        <v>4207</v>
      </c>
      <c r="B4268" s="1821">
        <f>('FP Info 3'!J10)*100000</f>
        <v>3108</v>
      </c>
      <c r="C4268" s="2" t="s">
        <v>569</v>
      </c>
      <c r="D4268" s="2" t="str">
        <f t="shared" si="65"/>
        <v>Error?</v>
      </c>
    </row>
    <row r="4269" spans="1:5" x14ac:dyDescent="0.2">
      <c r="A4269" s="12">
        <v>4208</v>
      </c>
      <c r="B4269" s="1821">
        <f>'FP Info 3'!J16</f>
        <v>16991909</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13015</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0</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1896</v>
      </c>
    </row>
    <row r="4400" spans="1:5" x14ac:dyDescent="0.2">
      <c r="A4400" s="10">
        <v>4339</v>
      </c>
      <c r="B4400" s="1821"/>
      <c r="D4400" s="2" t="str">
        <f t="shared" si="67"/>
        <v>OK</v>
      </c>
      <c r="E4400" s="4" t="s">
        <v>1896</v>
      </c>
    </row>
    <row r="4401" spans="1:5" x14ac:dyDescent="0.2">
      <c r="A4401" s="10">
        <v>4340</v>
      </c>
      <c r="B4401" s="1821"/>
      <c r="D4401" s="2" t="str">
        <f t="shared" si="67"/>
        <v>OK</v>
      </c>
      <c r="E4401" s="4" t="s">
        <v>1896</v>
      </c>
    </row>
    <row r="4402" spans="1:5" x14ac:dyDescent="0.2">
      <c r="A4402" s="10">
        <v>4341</v>
      </c>
      <c r="B4402" s="1821"/>
      <c r="D4402" s="2" t="str">
        <f t="shared" si="67"/>
        <v>OK</v>
      </c>
      <c r="E4402" s="4" t="s">
        <v>1896</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10000</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0</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15476</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7.7</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56025</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0</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383659467</v>
      </c>
      <c r="D4995" s="2" t="str">
        <f t="shared" si="77"/>
        <v>Error?</v>
      </c>
    </row>
    <row r="4996" spans="1:4" x14ac:dyDescent="0.2">
      <c r="A4996" s="12">
        <v>4935</v>
      </c>
      <c r="B4996" s="1821">
        <f>'FP Info 3'!H31</f>
        <v>26472503.223000001</v>
      </c>
      <c r="D4996" s="2" t="str">
        <f t="shared" si="77"/>
        <v>Error?</v>
      </c>
    </row>
    <row r="4997" spans="1:4" x14ac:dyDescent="0.2">
      <c r="A4997" s="12">
        <v>4936</v>
      </c>
      <c r="B4997" s="1821">
        <f>'FP Info 3'!H37</f>
        <v>0</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9294761</v>
      </c>
      <c r="D5061" s="2" t="str">
        <f t="shared" si="78"/>
        <v>Error?</v>
      </c>
    </row>
    <row r="5062" spans="1:4" x14ac:dyDescent="0.2">
      <c r="A5062" s="10">
        <v>5001</v>
      </c>
      <c r="B5062" s="1821"/>
      <c r="D5062" s="2" t="str">
        <f t="shared" si="78"/>
        <v>OK</v>
      </c>
    </row>
    <row r="5063" spans="1:4" x14ac:dyDescent="0.2">
      <c r="A5063" s="5">
        <v>5002</v>
      </c>
      <c r="B5063" s="1821">
        <f>'Revenues 9-14'!C7</f>
        <v>179362</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9474123</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98296</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98296</v>
      </c>
      <c r="C5071" s="2" t="s">
        <v>569</v>
      </c>
      <c r="D5071" s="2" t="str">
        <f t="shared" si="78"/>
        <v>Error?</v>
      </c>
    </row>
    <row r="5072" spans="1:4" x14ac:dyDescent="0.2">
      <c r="A5072" s="5">
        <v>5011</v>
      </c>
      <c r="B5072" s="1821">
        <f>'Revenues 9-14'!C20</f>
        <v>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0</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0</v>
      </c>
      <c r="C5087" s="2" t="s">
        <v>569</v>
      </c>
      <c r="D5087" s="2" t="str">
        <f t="shared" si="78"/>
        <v>Error?</v>
      </c>
    </row>
    <row r="5088" spans="1:4" x14ac:dyDescent="0.2">
      <c r="A5088" s="5">
        <v>5027</v>
      </c>
      <c r="B5088" s="1821">
        <f>'Revenues 9-14'!C65</f>
        <v>136304</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136304</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0</v>
      </c>
      <c r="D5092" s="2" t="str">
        <f t="shared" si="78"/>
        <v>Error?</v>
      </c>
    </row>
    <row r="5093" spans="1:4" x14ac:dyDescent="0.2">
      <c r="A5093" s="5">
        <v>5032</v>
      </c>
      <c r="B5093" s="1821">
        <f>'Revenues 9-14'!C72</f>
        <v>0</v>
      </c>
      <c r="D5093" s="2" t="str">
        <f t="shared" si="78"/>
        <v>Error?</v>
      </c>
    </row>
    <row r="5094" spans="1:4" x14ac:dyDescent="0.2">
      <c r="A5094" s="5">
        <v>5033</v>
      </c>
      <c r="B5094" s="1821">
        <f>'Revenues 9-14'!C73</f>
        <v>0</v>
      </c>
      <c r="D5094" s="2" t="str">
        <f t="shared" si="78"/>
        <v>Error?</v>
      </c>
    </row>
    <row r="5095" spans="1:4" x14ac:dyDescent="0.2">
      <c r="A5095" s="5">
        <v>5034</v>
      </c>
      <c r="B5095" s="1821">
        <f>'Revenues 9-14'!C74</f>
        <v>499</v>
      </c>
      <c r="D5095" s="2" t="str">
        <f t="shared" si="78"/>
        <v>Error?</v>
      </c>
    </row>
    <row r="5096" spans="1:4" x14ac:dyDescent="0.2">
      <c r="A5096" s="5">
        <v>5035</v>
      </c>
      <c r="B5096" s="1821">
        <f>'Revenues 9-14'!C75</f>
        <v>153262</v>
      </c>
      <c r="C5096" s="2" t="s">
        <v>569</v>
      </c>
      <c r="D5096" s="2" t="str">
        <f t="shared" si="78"/>
        <v>Error?</v>
      </c>
    </row>
    <row r="5097" spans="1:4" x14ac:dyDescent="0.2">
      <c r="A5097" s="5">
        <v>5036</v>
      </c>
      <c r="B5097" s="1821">
        <f>'Revenues 9-14'!C77</f>
        <v>0</v>
      </c>
      <c r="D5097" s="2" t="str">
        <f t="shared" si="78"/>
        <v>Error?</v>
      </c>
    </row>
    <row r="5098" spans="1:4" x14ac:dyDescent="0.2">
      <c r="A5098" s="5">
        <v>5037</v>
      </c>
      <c r="B5098" s="1821">
        <f>'Revenues 9-14'!C78</f>
        <v>0</v>
      </c>
      <c r="D5098" s="2" t="str">
        <f t="shared" si="78"/>
        <v>Error?</v>
      </c>
    </row>
    <row r="5099" spans="1:4" x14ac:dyDescent="0.2">
      <c r="A5099" s="5">
        <v>5038</v>
      </c>
      <c r="B5099" s="1821">
        <f>'Revenues 9-14'!C79</f>
        <v>18528</v>
      </c>
      <c r="D5099" s="2" t="str">
        <f t="shared" si="78"/>
        <v>Error?</v>
      </c>
    </row>
    <row r="5100" spans="1:4" x14ac:dyDescent="0.2">
      <c r="A5100" s="5">
        <v>5039</v>
      </c>
      <c r="B5100" s="1821">
        <f>'Revenues 9-14'!C80</f>
        <v>0</v>
      </c>
      <c r="D5100" s="2" t="str">
        <f t="shared" si="78"/>
        <v>Error?</v>
      </c>
    </row>
    <row r="5101" spans="1:4" x14ac:dyDescent="0.2">
      <c r="A5101" s="5">
        <v>5040</v>
      </c>
      <c r="B5101" s="1821">
        <f>'Revenues 9-14'!C81</f>
        <v>0</v>
      </c>
      <c r="D5101" s="2" t="str">
        <f t="shared" si="78"/>
        <v>Error?</v>
      </c>
    </row>
    <row r="5102" spans="1:4" x14ac:dyDescent="0.2">
      <c r="A5102" s="5">
        <v>5041</v>
      </c>
      <c r="B5102" s="1821">
        <f>'Revenues 9-14'!C82</f>
        <v>18528</v>
      </c>
      <c r="C5102" s="2" t="s">
        <v>569</v>
      </c>
      <c r="D5102" s="2" t="str">
        <f t="shared" si="78"/>
        <v>Error?</v>
      </c>
    </row>
    <row r="5103" spans="1:4" x14ac:dyDescent="0.2">
      <c r="A5103" s="5">
        <v>5042</v>
      </c>
      <c r="B5103" s="1821">
        <f>'Revenues 9-14'!C84</f>
        <v>80543</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80543</v>
      </c>
      <c r="C5112" s="2" t="s">
        <v>569</v>
      </c>
      <c r="D5112" s="2" t="str">
        <f t="shared" si="78"/>
        <v>Error?</v>
      </c>
    </row>
    <row r="5113" spans="1:4" x14ac:dyDescent="0.2">
      <c r="A5113" s="5">
        <v>5052</v>
      </c>
      <c r="B5113" s="1821">
        <f>'Revenues 9-14'!C95</f>
        <v>0</v>
      </c>
      <c r="D5113" s="2" t="str">
        <f t="shared" si="78"/>
        <v>Error?</v>
      </c>
    </row>
    <row r="5114" spans="1:4" x14ac:dyDescent="0.2">
      <c r="A5114" s="5">
        <v>5053</v>
      </c>
      <c r="B5114" s="1821">
        <f>'Revenues 9-14'!C96</f>
        <v>0</v>
      </c>
      <c r="D5114" s="2" t="str">
        <f t="shared" si="78"/>
        <v>Error?</v>
      </c>
    </row>
    <row r="5115" spans="1:4" x14ac:dyDescent="0.2">
      <c r="A5115" s="5">
        <v>5054</v>
      </c>
      <c r="B5115" s="1821">
        <f>'Revenues 9-14'!C98</f>
        <v>0</v>
      </c>
      <c r="D5115" s="2" t="str">
        <f t="shared" si="78"/>
        <v>Error?</v>
      </c>
    </row>
    <row r="5116" spans="1:4" x14ac:dyDescent="0.2">
      <c r="A5116" s="5">
        <v>5055</v>
      </c>
      <c r="B5116" s="1821">
        <f>'Revenues 9-14'!C99</f>
        <v>0</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0</v>
      </c>
      <c r="D5118" s="2" t="str">
        <f t="shared" si="78"/>
        <v>Error?</v>
      </c>
    </row>
    <row r="5119" spans="1:4" x14ac:dyDescent="0.2">
      <c r="A5119" s="5">
        <v>5058</v>
      </c>
      <c r="B5119" s="1821">
        <f>'Revenues 9-14'!C107</f>
        <v>100</v>
      </c>
      <c r="D5119" s="2" t="str">
        <f t="shared" ref="D5119:D5182" si="79">IF(ISBLANK(B5119),"OK",IF(A5119-B5119=0,"OK","Error?"))</f>
        <v>Error?</v>
      </c>
    </row>
    <row r="5120" spans="1:4" x14ac:dyDescent="0.2">
      <c r="A5120" s="5">
        <v>5059</v>
      </c>
      <c r="B5120" s="1821">
        <f>'Revenues 9-14'!C108</f>
        <v>56125</v>
      </c>
      <c r="C5120" s="2" t="s">
        <v>569</v>
      </c>
      <c r="D5120" s="2" t="str">
        <f t="shared" si="79"/>
        <v>Error?</v>
      </c>
    </row>
    <row r="5121" spans="1:4" x14ac:dyDescent="0.2">
      <c r="A5121" s="5">
        <v>5060</v>
      </c>
      <c r="B5121" s="1821">
        <f>'Revenues 9-14'!C109</f>
        <v>10017181</v>
      </c>
      <c r="C5121" s="2" t="s">
        <v>569</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569</v>
      </c>
      <c r="D5125" s="2" t="str">
        <f t="shared" si="79"/>
        <v>Error?</v>
      </c>
    </row>
    <row r="5126" spans="1:4" x14ac:dyDescent="0.2">
      <c r="A5126" s="5">
        <v>5065</v>
      </c>
      <c r="B5126" s="1821">
        <f>'Revenues 9-14'!C117</f>
        <v>1150713</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1150713</v>
      </c>
      <c r="C5132" s="2" t="s">
        <v>569</v>
      </c>
      <c r="D5132" s="2" t="str">
        <f t="shared" si="79"/>
        <v>Error?</v>
      </c>
    </row>
    <row r="5133" spans="1:4" x14ac:dyDescent="0.2">
      <c r="A5133" s="5">
        <v>5072</v>
      </c>
      <c r="B5133" s="1821">
        <f>'Revenues 9-14'!C125</f>
        <v>53631</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80264</v>
      </c>
      <c r="D5137" s="2" t="str">
        <f t="shared" si="79"/>
        <v>Error?</v>
      </c>
    </row>
    <row r="5138" spans="1:4" x14ac:dyDescent="0.2">
      <c r="A5138" s="10">
        <v>5077</v>
      </c>
      <c r="B5138" s="1821"/>
      <c r="D5138" s="2" t="str">
        <f t="shared" si="79"/>
        <v>OK</v>
      </c>
    </row>
    <row r="5139" spans="1:4" x14ac:dyDescent="0.2">
      <c r="A5139" s="5">
        <v>5078</v>
      </c>
      <c r="B5139" s="1821">
        <f>'Revenues 9-14'!C129</f>
        <v>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133895</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0</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0</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804</v>
      </c>
      <c r="D5167" s="2" t="str">
        <f t="shared" si="79"/>
        <v>Error?</v>
      </c>
    </row>
    <row r="5168" spans="1:4" x14ac:dyDescent="0.2">
      <c r="A5168" s="5">
        <v>5107</v>
      </c>
      <c r="B5168" s="1821">
        <f>'Revenues 9-14'!C148</f>
        <v>0</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1896</v>
      </c>
    </row>
    <row r="5200" spans="1:5" x14ac:dyDescent="0.2">
      <c r="A5200" s="10">
        <v>5139</v>
      </c>
      <c r="B5200" s="1821"/>
      <c r="D5200" s="2" t="str">
        <f t="shared" si="80"/>
        <v>OK</v>
      </c>
      <c r="E5200" s="4" t="s">
        <v>1896</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134699</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1285412</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70090</v>
      </c>
      <c r="D5239" s="2" t="str">
        <f t="shared" si="80"/>
        <v>Error?</v>
      </c>
    </row>
    <row r="5240" spans="1:4" x14ac:dyDescent="0.2">
      <c r="A5240" s="5">
        <v>5179</v>
      </c>
      <c r="B5240" s="1821">
        <f>'Revenues 9-14'!C192</f>
        <v>0</v>
      </c>
      <c r="D5240" s="2" t="str">
        <f t="shared" si="80"/>
        <v>Error?</v>
      </c>
    </row>
    <row r="5241" spans="1:4" x14ac:dyDescent="0.2">
      <c r="A5241" s="5">
        <v>5180</v>
      </c>
      <c r="B5241" s="1821">
        <f>'Revenues 9-14'!C193</f>
        <v>0</v>
      </c>
      <c r="D5241" s="2" t="str">
        <f t="shared" si="80"/>
        <v>Error?</v>
      </c>
    </row>
    <row r="5242" spans="1:4" x14ac:dyDescent="0.2">
      <c r="A5242" s="5">
        <v>5181</v>
      </c>
      <c r="B5242" s="1821">
        <f>'Revenues 9-14'!C194</f>
        <v>8168</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78258</v>
      </c>
      <c r="C5246" s="2" t="s">
        <v>569</v>
      </c>
      <c r="D5246" s="2" t="str">
        <f t="shared" si="80"/>
        <v>Error?</v>
      </c>
    </row>
    <row r="5247" spans="1:4" x14ac:dyDescent="0.2">
      <c r="A5247" s="5">
        <v>5186</v>
      </c>
      <c r="B5247" s="1821">
        <f>'Revenues 9-14'!C200</f>
        <v>69089</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1896</v>
      </c>
    </row>
    <row r="5255" spans="1:5" x14ac:dyDescent="0.2">
      <c r="A5255" s="5">
        <v>5194</v>
      </c>
      <c r="B5255" s="1821">
        <f>'Revenues 9-14'!C202</f>
        <v>0</v>
      </c>
      <c r="D5255" s="2" t="str">
        <f t="shared" si="81"/>
        <v>Error?</v>
      </c>
    </row>
    <row r="5256" spans="1:5" x14ac:dyDescent="0.2">
      <c r="A5256" s="5">
        <v>5195</v>
      </c>
      <c r="B5256" s="1821">
        <f>'Revenues 9-14'!C206</f>
        <v>10000</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69089</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9584</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240388</v>
      </c>
      <c r="D5278" s="2" t="str">
        <f t="shared" si="81"/>
        <v>Error?</v>
      </c>
    </row>
    <row r="5279" spans="1:4" x14ac:dyDescent="0.2">
      <c r="A5279" s="5">
        <v>5218</v>
      </c>
      <c r="B5279" s="1821">
        <f>'Revenues 9-14'!C214</f>
        <v>0</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249972</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0</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0</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1896</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435810</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435810</v>
      </c>
      <c r="C5326" s="2" t="s">
        <v>569</v>
      </c>
      <c r="D5326" s="2" t="str">
        <f t="shared" si="82"/>
        <v>Error?</v>
      </c>
    </row>
    <row r="5327" spans="1:5" x14ac:dyDescent="0.2">
      <c r="A5327" s="5">
        <v>5266</v>
      </c>
      <c r="B5327" s="1821">
        <f>'Revenues 9-14'!C268</f>
        <v>11738403</v>
      </c>
      <c r="C5327" s="2" t="s">
        <v>569</v>
      </c>
      <c r="D5327" s="2" t="str">
        <f t="shared" si="82"/>
        <v>Error?</v>
      </c>
    </row>
    <row r="5328" spans="1:5" x14ac:dyDescent="0.2">
      <c r="A5328" s="5">
        <v>5267</v>
      </c>
      <c r="B5328" s="1821">
        <f>'Revenues 9-14'!D5</f>
        <v>1613736</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1613736</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0</v>
      </c>
      <c r="C5339" s="2" t="s">
        <v>569</v>
      </c>
      <c r="D5339" s="2" t="str">
        <f t="shared" si="82"/>
        <v>Error?</v>
      </c>
    </row>
    <row r="5340" spans="1:4" x14ac:dyDescent="0.2">
      <c r="A5340" s="5">
        <v>5279</v>
      </c>
      <c r="B5340" s="1821">
        <f>'Revenues 9-14'!D65</f>
        <v>62885</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62885</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569</v>
      </c>
      <c r="D5348" s="2" t="str">
        <f t="shared" si="82"/>
        <v>Error?</v>
      </c>
    </row>
    <row r="5349" spans="1:4" x14ac:dyDescent="0.2">
      <c r="A5349" s="5">
        <v>5288</v>
      </c>
      <c r="B5349" s="1821">
        <f>'Revenues 9-14'!D95</f>
        <v>0</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0</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21473</v>
      </c>
      <c r="D5354" s="2" t="str">
        <f t="shared" si="82"/>
        <v>Error?</v>
      </c>
    </row>
    <row r="5355" spans="1:4" x14ac:dyDescent="0.2">
      <c r="A5355" s="5">
        <v>5294</v>
      </c>
      <c r="B5355" s="1821">
        <f>'Revenues 9-14'!D108</f>
        <v>21473</v>
      </c>
      <c r="C5355" s="2" t="s">
        <v>569</v>
      </c>
      <c r="D5355" s="2" t="str">
        <f t="shared" si="82"/>
        <v>Error?</v>
      </c>
    </row>
    <row r="5356" spans="1:4" x14ac:dyDescent="0.2">
      <c r="A5356" s="5">
        <v>5295</v>
      </c>
      <c r="B5356" s="1821">
        <f>'Revenues 9-14'!D109</f>
        <v>1698094</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1896</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1698094</v>
      </c>
      <c r="C5508" s="2" t="s">
        <v>569</v>
      </c>
      <c r="D5508" s="2" t="str">
        <f t="shared" si="85"/>
        <v>Error?</v>
      </c>
    </row>
    <row r="5509" spans="1:4" x14ac:dyDescent="0.2">
      <c r="A5509" s="5">
        <v>5448</v>
      </c>
      <c r="B5509" s="1821">
        <f>'Revenues 9-14'!E5</f>
        <v>0</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0</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0</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0</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0</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0</v>
      </c>
      <c r="C5552" s="2" t="s">
        <v>569</v>
      </c>
      <c r="D5552" s="2" t="str">
        <f t="shared" si="85"/>
        <v>Error?</v>
      </c>
    </row>
    <row r="5553" spans="1:4" x14ac:dyDescent="0.2">
      <c r="A5553" s="5">
        <v>5492</v>
      </c>
      <c r="B5553" s="1821">
        <f>'Revenues 9-14'!F5</f>
        <v>314309</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314309</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0</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0</v>
      </c>
      <c r="C5579" s="2" t="s">
        <v>569</v>
      </c>
      <c r="D5579" s="2" t="str">
        <f t="shared" si="86"/>
        <v>Error?</v>
      </c>
    </row>
    <row r="5580" spans="1:4" x14ac:dyDescent="0.2">
      <c r="A5580" s="5">
        <v>5519</v>
      </c>
      <c r="B5580" s="1821">
        <f>'Revenues 9-14'!F65</f>
        <v>66823</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66823</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466</v>
      </c>
      <c r="D5586" s="2" t="str">
        <f t="shared" si="86"/>
        <v>Error?</v>
      </c>
    </row>
    <row r="5587" spans="1:4" x14ac:dyDescent="0.2">
      <c r="A5587" s="5">
        <v>5526</v>
      </c>
      <c r="B5587" s="1821">
        <f>'Revenues 9-14'!F108</f>
        <v>466</v>
      </c>
      <c r="C5587" s="2" t="s">
        <v>569</v>
      </c>
      <c r="D5587" s="2" t="str">
        <f t="shared" si="86"/>
        <v>Error?</v>
      </c>
    </row>
    <row r="5588" spans="1:4" x14ac:dyDescent="0.2">
      <c r="A5588" s="5">
        <v>5527</v>
      </c>
      <c r="B5588" s="1821">
        <f>'Revenues 9-14'!F109</f>
        <v>381598</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44848</v>
      </c>
      <c r="D5615" s="2" t="str">
        <f t="shared" si="86"/>
        <v>Error?</v>
      </c>
    </row>
    <row r="5616" spans="1:4" x14ac:dyDescent="0.2">
      <c r="A5616" s="10">
        <v>5555</v>
      </c>
      <c r="B5616" s="1821"/>
      <c r="D5616" s="2" t="str">
        <f t="shared" si="86"/>
        <v>OK</v>
      </c>
    </row>
    <row r="5617" spans="1:5" x14ac:dyDescent="0.2">
      <c r="A5617" s="5">
        <v>5556</v>
      </c>
      <c r="B5617" s="1821">
        <f>'Revenues 9-14'!F153</f>
        <v>201577</v>
      </c>
      <c r="D5617" s="2" t="str">
        <f t="shared" si="86"/>
        <v>Error?</v>
      </c>
    </row>
    <row r="5618" spans="1:5" x14ac:dyDescent="0.2">
      <c r="A5618" s="5">
        <v>5557</v>
      </c>
      <c r="B5618" s="1821">
        <f>'Revenues 9-14'!F155</f>
        <v>246425</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1896</v>
      </c>
    </row>
    <row r="5631" spans="1:5" x14ac:dyDescent="0.2">
      <c r="A5631" s="10">
        <v>5570</v>
      </c>
      <c r="B5631" s="1821"/>
      <c r="D5631" s="2" t="str">
        <f t="shared" ref="D5631:D5694" si="87">IF(ISBLANK(B5631),"OK",IF(A5631-B5631=0,"OK","Error?"))</f>
        <v>OK</v>
      </c>
      <c r="E5631" s="4" t="s">
        <v>1896</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246425</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246425</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1896</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1896</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628023</v>
      </c>
      <c r="C5720" s="2" t="s">
        <v>569</v>
      </c>
      <c r="D5720" s="2" t="str">
        <f t="shared" si="88"/>
        <v>Error?</v>
      </c>
    </row>
    <row r="5721" spans="1:4" x14ac:dyDescent="0.2">
      <c r="A5721" s="5">
        <v>5660</v>
      </c>
      <c r="B5721" s="1821">
        <f>'Revenues 9-14'!G5</f>
        <v>264479</v>
      </c>
      <c r="D5721" s="2" t="str">
        <f t="shared" si="88"/>
        <v>Error?</v>
      </c>
    </row>
    <row r="5722" spans="1:4" x14ac:dyDescent="0.2">
      <c r="A5722" s="5">
        <v>5661</v>
      </c>
      <c r="B5722" s="1821">
        <f>'Revenues 9-14'!G7</f>
        <v>0</v>
      </c>
      <c r="D5722" s="2" t="str">
        <f t="shared" si="88"/>
        <v>Error?</v>
      </c>
    </row>
    <row r="5723" spans="1:4" x14ac:dyDescent="0.2">
      <c r="A5723" s="5">
        <v>5662</v>
      </c>
      <c r="B5723" s="1821">
        <f>'Revenues 9-14'!G8</f>
        <v>264475</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528954</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28948</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28948</v>
      </c>
      <c r="C5730" s="2" t="s">
        <v>569</v>
      </c>
      <c r="D5730" s="2" t="str">
        <f t="shared" si="88"/>
        <v>Error?</v>
      </c>
    </row>
    <row r="5731" spans="1:4" x14ac:dyDescent="0.2">
      <c r="A5731" s="5">
        <v>5670</v>
      </c>
      <c r="B5731" s="1821">
        <f>'Revenues 9-14'!G65</f>
        <v>17211</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17211</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1896</v>
      </c>
    </row>
    <row r="5768" spans="1:5" x14ac:dyDescent="0.2">
      <c r="A5768" s="10">
        <v>5707</v>
      </c>
      <c r="B5768" s="1821"/>
      <c r="D5768" s="2" t="str">
        <f t="shared" si="89"/>
        <v>OK</v>
      </c>
      <c r="E5768" s="4" t="s">
        <v>1896</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1896</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1896</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575113</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49550</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49550</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12375</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61925</v>
      </c>
      <c r="C5915" s="2" t="s">
        <v>569</v>
      </c>
      <c r="D5915" s="2" t="str">
        <f t="shared" si="91"/>
        <v>Error?</v>
      </c>
    </row>
    <row r="5916" spans="1:4" x14ac:dyDescent="0.2">
      <c r="A5916" s="5">
        <v>5855</v>
      </c>
      <c r="B5916" s="1821">
        <f>'Revenues 9-14'!I5</f>
        <v>25966</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25966</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25037</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25037</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51003</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1008</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1008</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3465</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3465</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4473</v>
      </c>
      <c r="C6023" s="2" t="s">
        <v>569</v>
      </c>
      <c r="D6023" s="2" t="str">
        <f t="shared" si="93"/>
        <v>Error?</v>
      </c>
    </row>
    <row r="6024" spans="1:5" x14ac:dyDescent="0.2">
      <c r="A6024" s="5">
        <v>5963</v>
      </c>
      <c r="B6024" s="1821">
        <f>'Revenues 9-14'!G109</f>
        <v>575113</v>
      </c>
      <c r="C6024" s="2" t="s">
        <v>569</v>
      </c>
      <c r="D6024" s="2" t="str">
        <f t="shared" si="93"/>
        <v>Error?</v>
      </c>
    </row>
    <row r="6025" spans="1:5" x14ac:dyDescent="0.2">
      <c r="A6025" s="5">
        <v>5964</v>
      </c>
      <c r="B6025" s="1821">
        <f>'Revenues 9-14'!H109</f>
        <v>61925</v>
      </c>
      <c r="C6025" s="2" t="s">
        <v>569</v>
      </c>
      <c r="D6025" s="2" t="str">
        <f t="shared" si="93"/>
        <v>Error?</v>
      </c>
    </row>
    <row r="6026" spans="1:5" x14ac:dyDescent="0.2">
      <c r="A6026" s="5">
        <v>5965</v>
      </c>
      <c r="B6026" s="1821">
        <f>'Revenues 9-14'!I109</f>
        <v>51003</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4473</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152763</v>
      </c>
      <c r="D6031" s="2" t="str">
        <f t="shared" si="93"/>
        <v>Error?</v>
      </c>
    </row>
    <row r="6032" spans="1:5" x14ac:dyDescent="0.2">
      <c r="A6032" s="5">
        <v>5971</v>
      </c>
      <c r="B6032" s="1821">
        <f>'Acct Summary 7-8'!G15</f>
        <v>0</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26824</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1095.2</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0</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0</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0</v>
      </c>
      <c r="D6099" s="2" t="str">
        <f t="shared" si="94"/>
        <v>Error?</v>
      </c>
      <c r="E6099" s="2" t="s">
        <v>189</v>
      </c>
    </row>
    <row r="6100" spans="1:5" x14ac:dyDescent="0.2">
      <c r="A6100">
        <v>6039</v>
      </c>
      <c r="B6100" s="1821">
        <f>'Assets-Liab 5-6'!D9</f>
        <v>480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0</v>
      </c>
      <c r="D6113" s="2" t="str">
        <f t="shared" si="94"/>
        <v>Error?</v>
      </c>
      <c r="E6113" s="2" t="s">
        <v>189</v>
      </c>
    </row>
    <row r="6114" spans="1:5" x14ac:dyDescent="0.2">
      <c r="A6114">
        <v>6053</v>
      </c>
      <c r="B6114" s="1821">
        <f>'Assets-Liab 5-6'!D11</f>
        <v>0</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581546</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1581</v>
      </c>
      <c r="D6142" s="2" t="str">
        <f t="shared" si="94"/>
        <v>Error?</v>
      </c>
      <c r="E6142" s="2" t="s">
        <v>189</v>
      </c>
    </row>
    <row r="6143" spans="1:5" x14ac:dyDescent="0.2">
      <c r="A6143">
        <v>6082</v>
      </c>
      <c r="B6143" s="1821">
        <f>'Assets-Liab 5-6'!D27</f>
        <v>38</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0</v>
      </c>
      <c r="D6145" s="2" t="str">
        <f t="shared" si="95"/>
        <v>Error?</v>
      </c>
      <c r="E6145" s="2" t="s">
        <v>189</v>
      </c>
    </row>
    <row r="6146" spans="1:5" x14ac:dyDescent="0.2">
      <c r="A6146">
        <v>6085</v>
      </c>
      <c r="B6146" s="1821">
        <f>'Assets-Liab 5-6'!G27</f>
        <v>1502</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0</v>
      </c>
      <c r="D6169" s="2" t="str">
        <f t="shared" si="95"/>
        <v>Error?</v>
      </c>
      <c r="E6169" s="2" t="s">
        <v>189</v>
      </c>
    </row>
    <row r="6170" spans="1:5" x14ac:dyDescent="0.2">
      <c r="A6170">
        <v>6109</v>
      </c>
      <c r="B6170" s="1821">
        <f>'Assets-Liab 5-6'!D30</f>
        <v>0</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581546</v>
      </c>
      <c r="D6215" s="2" t="str">
        <f t="shared" si="96"/>
        <v>Error?</v>
      </c>
      <c r="E6215" s="2" t="s">
        <v>189</v>
      </c>
    </row>
    <row r="6216" spans="1:5" x14ac:dyDescent="0.2">
      <c r="A6216">
        <v>6155</v>
      </c>
      <c r="B6216" s="1821">
        <f>'Assets-Liab 5-6'!J41</f>
        <v>581546</v>
      </c>
      <c r="D6216" s="2" t="str">
        <f t="shared" si="96"/>
        <v>Error?</v>
      </c>
      <c r="E6216" s="2" t="s">
        <v>189</v>
      </c>
    </row>
    <row r="6217" spans="1:5" x14ac:dyDescent="0.2">
      <c r="A6217">
        <v>6156</v>
      </c>
      <c r="B6217" s="1821">
        <f>'Assets-Liab 5-6'!J4</f>
        <v>483931</v>
      </c>
      <c r="D6217" s="2" t="str">
        <f t="shared" si="96"/>
        <v>Error?</v>
      </c>
      <c r="E6217" s="2" t="s">
        <v>189</v>
      </c>
    </row>
    <row r="6218" spans="1:5" x14ac:dyDescent="0.2">
      <c r="A6218">
        <v>6157</v>
      </c>
      <c r="B6218" s="1821">
        <f>'Assets-Liab 5-6'!J5</f>
        <v>97615</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190556</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190556</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190556</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116130</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116130</v>
      </c>
      <c r="D6229" s="2" t="str">
        <f t="shared" si="96"/>
        <v>Error?</v>
      </c>
      <c r="E6229" s="2" t="s">
        <v>189</v>
      </c>
    </row>
    <row r="6230" spans="1:5" x14ac:dyDescent="0.2">
      <c r="A6230">
        <v>6169</v>
      </c>
      <c r="B6230" s="1821">
        <f>'Acct Summary 7-8'!J20</f>
        <v>74426</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74426</v>
      </c>
      <c r="D6263" s="2" t="str">
        <f t="shared" si="96"/>
        <v>Error?</v>
      </c>
      <c r="E6263" s="2" t="s">
        <v>189</v>
      </c>
    </row>
    <row r="6264" spans="1:5" x14ac:dyDescent="0.2">
      <c r="A6264">
        <v>6203</v>
      </c>
      <c r="B6264" s="1821">
        <f>'Acct Summary 7-8'!J79</f>
        <v>412115</v>
      </c>
      <c r="D6264" s="2" t="str">
        <f t="shared" si="96"/>
        <v>Error?</v>
      </c>
      <c r="E6264" s="2" t="s">
        <v>189</v>
      </c>
    </row>
    <row r="6265" spans="1:5" x14ac:dyDescent="0.2">
      <c r="A6265">
        <v>6204</v>
      </c>
      <c r="B6265" s="1821">
        <f>'Acct Summary 7-8'!J80</f>
        <v>95005</v>
      </c>
      <c r="D6265" s="2" t="str">
        <f t="shared" si="96"/>
        <v>Error?</v>
      </c>
      <c r="E6265" s="2" t="s">
        <v>189</v>
      </c>
    </row>
    <row r="6266" spans="1:5" x14ac:dyDescent="0.2">
      <c r="A6266">
        <v>6205</v>
      </c>
      <c r="B6266" s="1821">
        <f>'Acct Summary 7-8'!J81</f>
        <v>581546</v>
      </c>
      <c r="D6266" s="2" t="str">
        <f t="shared" si="96"/>
        <v>Error?</v>
      </c>
      <c r="E6266" s="2" t="s">
        <v>189</v>
      </c>
    </row>
    <row r="6267" spans="1:5" x14ac:dyDescent="0.2">
      <c r="A6267">
        <v>6206</v>
      </c>
      <c r="B6267" s="1821">
        <f>'Acct Summary 7-8'!C82</f>
        <v>4777354</v>
      </c>
      <c r="D6267" s="2" t="str">
        <f t="shared" si="96"/>
        <v>Error?</v>
      </c>
      <c r="E6267" s="2" t="s">
        <v>189</v>
      </c>
    </row>
    <row r="6268" spans="1:5" x14ac:dyDescent="0.2">
      <c r="A6268">
        <v>6207</v>
      </c>
      <c r="B6268" s="1821">
        <f>'Acct Summary 7-8'!D82</f>
        <v>1257813</v>
      </c>
      <c r="D6268" s="2" t="str">
        <f t="shared" si="96"/>
        <v>Error?</v>
      </c>
      <c r="E6268" s="2" t="s">
        <v>189</v>
      </c>
    </row>
    <row r="6269" spans="1:5" x14ac:dyDescent="0.2">
      <c r="A6269">
        <v>6208</v>
      </c>
      <c r="B6269" s="1821">
        <f>'Acct Summary 7-8'!E82</f>
        <v>0</v>
      </c>
      <c r="D6269" s="2" t="str">
        <f t="shared" si="96"/>
        <v>Error?</v>
      </c>
      <c r="E6269" s="2" t="s">
        <v>189</v>
      </c>
    </row>
    <row r="6270" spans="1:5" x14ac:dyDescent="0.2">
      <c r="A6270">
        <v>6209</v>
      </c>
      <c r="B6270" s="1821">
        <f>'Acct Summary 7-8'!F82</f>
        <v>246614</v>
      </c>
      <c r="D6270" s="2" t="str">
        <f t="shared" si="96"/>
        <v>Error?</v>
      </c>
      <c r="E6270" s="2" t="s">
        <v>189</v>
      </c>
    </row>
    <row r="6271" spans="1:5" x14ac:dyDescent="0.2">
      <c r="A6271">
        <v>6210</v>
      </c>
      <c r="B6271" s="1821">
        <f>'Acct Summary 7-8'!G82</f>
        <v>422480</v>
      </c>
      <c r="D6271" s="2" t="str">
        <f t="shared" ref="D6271:D6334" si="97">IF(ISBLANK(B6271),"OK",IF(A6271-B6271=0,"OK","Error?"))</f>
        <v>Error?</v>
      </c>
      <c r="E6271" s="2" t="s">
        <v>189</v>
      </c>
    </row>
    <row r="6272" spans="1:5" x14ac:dyDescent="0.2">
      <c r="A6272">
        <v>6211</v>
      </c>
      <c r="B6272" s="1821">
        <f>'Acct Summary 7-8'!H82</f>
        <v>61143</v>
      </c>
      <c r="D6272" s="2" t="str">
        <f t="shared" si="97"/>
        <v>Error?</v>
      </c>
      <c r="E6272" s="2" t="s">
        <v>189</v>
      </c>
    </row>
    <row r="6273" spans="1:5" x14ac:dyDescent="0.2">
      <c r="A6273">
        <v>6212</v>
      </c>
      <c r="B6273" s="1821">
        <f>'Acct Summary 7-8'!I82</f>
        <v>63079</v>
      </c>
      <c r="D6273" s="2" t="str">
        <f t="shared" si="97"/>
        <v>Error?</v>
      </c>
      <c r="E6273" s="2" t="s">
        <v>189</v>
      </c>
    </row>
    <row r="6274" spans="1:5" x14ac:dyDescent="0.2">
      <c r="A6274">
        <v>6213</v>
      </c>
      <c r="B6274" s="1821">
        <f>'Acct Summary 7-8'!J82</f>
        <v>169431</v>
      </c>
      <c r="D6274" s="2" t="str">
        <f t="shared" si="97"/>
        <v>Error?</v>
      </c>
      <c r="E6274" s="2" t="s">
        <v>189</v>
      </c>
    </row>
    <row r="6275" spans="1:5" x14ac:dyDescent="0.2">
      <c r="A6275">
        <v>6214</v>
      </c>
      <c r="B6275" s="1821">
        <f>'Acct Summary 7-8'!K82</f>
        <v>5324</v>
      </c>
      <c r="D6275" s="2" t="str">
        <f t="shared" si="97"/>
        <v>Error?</v>
      </c>
      <c r="E6275" s="2" t="s">
        <v>189</v>
      </c>
    </row>
    <row r="6276" spans="1:5" x14ac:dyDescent="0.2">
      <c r="A6276">
        <v>6215</v>
      </c>
      <c r="B6276" s="1821">
        <f>'Acct Summary 7-8'!C83</f>
        <v>0.50190282402113617</v>
      </c>
      <c r="D6276" s="2" t="str">
        <f t="shared" si="97"/>
        <v>Error?</v>
      </c>
      <c r="E6276" s="2" t="s">
        <v>189</v>
      </c>
    </row>
    <row r="6277" spans="1:5" x14ac:dyDescent="0.2">
      <c r="A6277">
        <v>6216</v>
      </c>
      <c r="B6277" s="1821">
        <f>'Acct Summary 7-8'!D83</f>
        <v>0.32936120873109787</v>
      </c>
      <c r="D6277" s="2" t="str">
        <f t="shared" si="97"/>
        <v>Error?</v>
      </c>
      <c r="E6277" s="2" t="s">
        <v>189</v>
      </c>
    </row>
    <row r="6278" spans="1:5" x14ac:dyDescent="0.2">
      <c r="A6278">
        <v>6217</v>
      </c>
      <c r="B6278" s="1821" t="e">
        <f>'Acct Summary 7-8'!E83</f>
        <v>#DIV/0!</v>
      </c>
      <c r="D6278" s="2" t="e">
        <f t="shared" si="97"/>
        <v>#DIV/0!</v>
      </c>
      <c r="E6278" s="2" t="s">
        <v>189</v>
      </c>
    </row>
    <row r="6279" spans="1:5" x14ac:dyDescent="0.2">
      <c r="A6279">
        <v>6218</v>
      </c>
      <c r="B6279" s="1821">
        <f>'Acct Summary 7-8'!F83</f>
        <v>9.8038779172434296E-2</v>
      </c>
      <c r="D6279" s="2" t="str">
        <f t="shared" si="97"/>
        <v>Error?</v>
      </c>
      <c r="E6279" s="2" t="s">
        <v>189</v>
      </c>
    </row>
    <row r="6280" spans="1:5" x14ac:dyDescent="0.2">
      <c r="A6280">
        <v>6219</v>
      </c>
      <c r="B6280" s="1821">
        <f>'Acct Summary 7-8'!G83</f>
        <v>0.67481595420298468</v>
      </c>
      <c r="D6280" s="2" t="str">
        <f t="shared" si="97"/>
        <v>Error?</v>
      </c>
      <c r="E6280" s="2" t="s">
        <v>189</v>
      </c>
    </row>
    <row r="6281" spans="1:5" x14ac:dyDescent="0.2">
      <c r="A6281">
        <v>6220</v>
      </c>
      <c r="B6281" s="1821">
        <f>'Acct Summary 7-8'!H83</f>
        <v>2.6005206740606749E-2</v>
      </c>
      <c r="D6281" s="2" t="str">
        <f t="shared" si="97"/>
        <v>Error?</v>
      </c>
      <c r="E6281" s="2" t="s">
        <v>189</v>
      </c>
    </row>
    <row r="6282" spans="1:5" x14ac:dyDescent="0.2">
      <c r="A6282">
        <v>6221</v>
      </c>
      <c r="B6282" s="1821">
        <f>'Acct Summary 7-8'!I83</f>
        <v>5.5380841507141329E-2</v>
      </c>
      <c r="D6282" s="2" t="str">
        <f t="shared" si="97"/>
        <v>Error?</v>
      </c>
      <c r="E6282" s="2" t="s">
        <v>189</v>
      </c>
    </row>
    <row r="6283" spans="1:5" x14ac:dyDescent="0.2">
      <c r="A6283">
        <v>6222</v>
      </c>
      <c r="B6283" s="1821">
        <f>'Acct Summary 7-8'!J83</f>
        <v>0.29134582646944523</v>
      </c>
      <c r="D6283" s="2" t="str">
        <f t="shared" si="97"/>
        <v>Error?</v>
      </c>
      <c r="E6283" s="2" t="s">
        <v>189</v>
      </c>
    </row>
    <row r="6284" spans="1:5" x14ac:dyDescent="0.2">
      <c r="A6284">
        <v>6223</v>
      </c>
      <c r="B6284" s="1821">
        <f>'Acct Summary 7-8'!K83</f>
        <v>3.9883734867553637E-2</v>
      </c>
      <c r="D6284" s="2" t="str">
        <f t="shared" si="97"/>
        <v>Error?</v>
      </c>
      <c r="E6284" s="2" t="s">
        <v>189</v>
      </c>
    </row>
    <row r="6285" spans="1:5" x14ac:dyDescent="0.2">
      <c r="A6285">
        <v>6224</v>
      </c>
      <c r="B6285" s="1821">
        <f>'Acct Summary 7-8'!E37</f>
        <v>0</v>
      </c>
      <c r="D6285" s="2" t="str">
        <f t="shared" si="97"/>
        <v>Error?</v>
      </c>
      <c r="E6285" s="2" t="s">
        <v>189</v>
      </c>
    </row>
    <row r="6286" spans="1:5" x14ac:dyDescent="0.2">
      <c r="A6286">
        <v>6225</v>
      </c>
      <c r="B6286" s="1821">
        <f>'Acct Summary 7-8'!E38</f>
        <v>0</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179362</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179362</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11194</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11194</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12375</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0</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190556</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1895</v>
      </c>
    </row>
    <row r="6383" spans="1:6" x14ac:dyDescent="0.2">
      <c r="A6383" s="126">
        <v>6322</v>
      </c>
      <c r="B6383" s="1821"/>
      <c r="D6383" s="2" t="str">
        <f t="shared" si="98"/>
        <v>OK</v>
      </c>
      <c r="E6383" s="2" t="s">
        <v>189</v>
      </c>
      <c r="F6383" s="1" t="s">
        <v>1895</v>
      </c>
    </row>
    <row r="6384" spans="1:6" x14ac:dyDescent="0.2">
      <c r="A6384" s="126">
        <v>6323</v>
      </c>
      <c r="B6384" s="1821"/>
      <c r="D6384" s="2" t="str">
        <f t="shared" si="98"/>
        <v>OK</v>
      </c>
      <c r="E6384" s="2" t="s">
        <v>189</v>
      </c>
      <c r="F6384" s="1" t="s">
        <v>1895</v>
      </c>
    </row>
    <row r="6385" spans="1:6" x14ac:dyDescent="0.2">
      <c r="A6385" s="126">
        <v>6324</v>
      </c>
      <c r="B6385" s="1821"/>
      <c r="D6385" s="2" t="str">
        <f t="shared" si="98"/>
        <v>OK</v>
      </c>
      <c r="E6385" s="2" t="s">
        <v>189</v>
      </c>
      <c r="F6385" s="1" t="s">
        <v>1895</v>
      </c>
    </row>
    <row r="6386" spans="1:6" x14ac:dyDescent="0.2">
      <c r="A6386" s="126">
        <v>6325</v>
      </c>
      <c r="B6386" s="1821"/>
      <c r="D6386" s="2" t="str">
        <f t="shared" si="98"/>
        <v>OK</v>
      </c>
      <c r="E6386" s="2" t="s">
        <v>189</v>
      </c>
      <c r="F6386" s="1" t="s">
        <v>1895</v>
      </c>
    </row>
    <row r="6387" spans="1:6" x14ac:dyDescent="0.2">
      <c r="A6387" s="126">
        <v>6326</v>
      </c>
      <c r="B6387" s="1821"/>
      <c r="D6387" s="2" t="str">
        <f t="shared" si="98"/>
        <v>OK</v>
      </c>
      <c r="E6387" s="2" t="s">
        <v>189</v>
      </c>
      <c r="F6387" s="1" t="s">
        <v>1895</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1895</v>
      </c>
    </row>
    <row r="6411" spans="1:6" x14ac:dyDescent="0.2">
      <c r="A6411" s="126">
        <v>6350</v>
      </c>
      <c r="B6411" s="1821"/>
      <c r="D6411" s="2" t="str">
        <f t="shared" si="99"/>
        <v>OK</v>
      </c>
      <c r="E6411" s="2" t="s">
        <v>189</v>
      </c>
      <c r="F6411" s="1" t="s">
        <v>1895</v>
      </c>
    </row>
    <row r="6412" spans="1:6" x14ac:dyDescent="0.2">
      <c r="A6412" s="126">
        <v>6351</v>
      </c>
      <c r="B6412" s="1821"/>
      <c r="D6412" s="2" t="str">
        <f t="shared" si="99"/>
        <v>OK</v>
      </c>
      <c r="E6412" s="2" t="s">
        <v>189</v>
      </c>
      <c r="F6412" s="1" t="s">
        <v>1895</v>
      </c>
    </row>
    <row r="6413" spans="1:6" x14ac:dyDescent="0.2">
      <c r="A6413" s="126">
        <v>6352</v>
      </c>
      <c r="B6413" s="1821"/>
      <c r="D6413" s="2" t="str">
        <f t="shared" si="99"/>
        <v>OK</v>
      </c>
      <c r="E6413" s="2" t="s">
        <v>189</v>
      </c>
      <c r="F6413" s="1" t="s">
        <v>1895</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1991</v>
      </c>
    </row>
    <row r="6417" spans="1:5" x14ac:dyDescent="0.2">
      <c r="A6417" s="126">
        <v>6356</v>
      </c>
      <c r="B6417" s="1821"/>
      <c r="D6417" s="2" t="str">
        <f t="shared" si="99"/>
        <v>OK</v>
      </c>
      <c r="E6417" s="4" t="s">
        <v>1991</v>
      </c>
    </row>
    <row r="6418" spans="1:5" x14ac:dyDescent="0.2">
      <c r="A6418" s="126">
        <v>6357</v>
      </c>
      <c r="B6418" s="1821"/>
      <c r="D6418" s="2" t="str">
        <f t="shared" si="99"/>
        <v>OK</v>
      </c>
      <c r="E6418" s="4" t="s">
        <v>1991</v>
      </c>
    </row>
    <row r="6419" spans="1:5" x14ac:dyDescent="0.2">
      <c r="A6419" s="126">
        <v>6358</v>
      </c>
      <c r="B6419" s="1821"/>
      <c r="D6419" s="2" t="str">
        <f t="shared" si="99"/>
        <v>OK</v>
      </c>
      <c r="E6419" s="4" t="s">
        <v>1991</v>
      </c>
    </row>
    <row r="6420" spans="1:5" x14ac:dyDescent="0.2">
      <c r="A6420" s="126">
        <v>6359</v>
      </c>
      <c r="B6420" s="1821"/>
      <c r="D6420" s="2" t="str">
        <f t="shared" si="99"/>
        <v>OK</v>
      </c>
      <c r="E6420" s="4" t="s">
        <v>1991</v>
      </c>
    </row>
    <row r="6421" spans="1:5" x14ac:dyDescent="0.2">
      <c r="A6421" s="126">
        <v>6360</v>
      </c>
      <c r="B6421" s="1821"/>
      <c r="D6421" s="2" t="str">
        <f t="shared" si="99"/>
        <v>OK</v>
      </c>
      <c r="E6421" s="4" t="s">
        <v>1991</v>
      </c>
    </row>
    <row r="6422" spans="1:5" x14ac:dyDescent="0.2">
      <c r="A6422" s="126">
        <v>6361</v>
      </c>
      <c r="B6422" s="1821"/>
      <c r="D6422" s="2" t="str">
        <f t="shared" si="99"/>
        <v>OK</v>
      </c>
      <c r="E6422" s="4" t="s">
        <v>1991</v>
      </c>
    </row>
    <row r="6423" spans="1:5" x14ac:dyDescent="0.2">
      <c r="A6423" s="126">
        <v>6362</v>
      </c>
      <c r="B6423" s="1821"/>
      <c r="D6423" s="2" t="str">
        <f t="shared" si="99"/>
        <v>OK</v>
      </c>
      <c r="E6423" s="4" t="s">
        <v>1991</v>
      </c>
    </row>
    <row r="6424" spans="1:5" x14ac:dyDescent="0.2">
      <c r="A6424" s="126">
        <v>6363</v>
      </c>
      <c r="B6424" s="1821"/>
      <c r="D6424" s="2" t="str">
        <f t="shared" si="99"/>
        <v>OK</v>
      </c>
      <c r="E6424" s="4" t="s">
        <v>1991</v>
      </c>
    </row>
    <row r="6425" spans="1:5" x14ac:dyDescent="0.2">
      <c r="A6425" s="126">
        <v>6364</v>
      </c>
      <c r="B6425" s="1821"/>
      <c r="D6425" s="2" t="str">
        <f t="shared" si="99"/>
        <v>OK</v>
      </c>
      <c r="E6425" s="4" t="s">
        <v>1991</v>
      </c>
    </row>
    <row r="6426" spans="1:5" x14ac:dyDescent="0.2">
      <c r="A6426" s="126">
        <v>6365</v>
      </c>
      <c r="B6426" s="1821"/>
      <c r="D6426" s="2" t="str">
        <f t="shared" si="99"/>
        <v>OK</v>
      </c>
      <c r="E6426" s="4" t="s">
        <v>1991</v>
      </c>
    </row>
    <row r="6427" spans="1:5" x14ac:dyDescent="0.2">
      <c r="A6427" s="126">
        <v>6366</v>
      </c>
      <c r="B6427" s="1821"/>
      <c r="D6427" s="2" t="str">
        <f t="shared" si="99"/>
        <v>OK</v>
      </c>
      <c r="E6427" s="4" t="s">
        <v>1991</v>
      </c>
    </row>
    <row r="6428" spans="1:5" x14ac:dyDescent="0.2">
      <c r="A6428" s="126">
        <v>6367</v>
      </c>
      <c r="B6428" s="1821"/>
      <c r="D6428" s="2" t="str">
        <f t="shared" si="99"/>
        <v>OK</v>
      </c>
      <c r="E6428" s="4" t="s">
        <v>1991</v>
      </c>
    </row>
    <row r="6429" spans="1:5" x14ac:dyDescent="0.2">
      <c r="A6429" s="126">
        <v>6368</v>
      </c>
      <c r="B6429" s="1821"/>
      <c r="D6429" s="2" t="str">
        <f t="shared" si="99"/>
        <v>OK</v>
      </c>
      <c r="E6429" s="4" t="s">
        <v>1991</v>
      </c>
    </row>
    <row r="6430" spans="1:5" x14ac:dyDescent="0.2">
      <c r="A6430" s="126">
        <v>6369</v>
      </c>
      <c r="B6430" s="1821"/>
      <c r="D6430" s="2" t="str">
        <f t="shared" si="99"/>
        <v>OK</v>
      </c>
      <c r="E6430" s="4" t="s">
        <v>1991</v>
      </c>
    </row>
    <row r="6431" spans="1:5" x14ac:dyDescent="0.2">
      <c r="A6431" s="126">
        <v>6370</v>
      </c>
      <c r="B6431" s="1821"/>
      <c r="D6431" s="2" t="str">
        <f t="shared" si="99"/>
        <v>OK</v>
      </c>
      <c r="E6431" s="4" t="s">
        <v>1991</v>
      </c>
    </row>
    <row r="6432" spans="1:5" x14ac:dyDescent="0.2">
      <c r="A6432" s="126">
        <v>6371</v>
      </c>
      <c r="B6432" s="1821"/>
      <c r="D6432" s="2" t="str">
        <f t="shared" si="99"/>
        <v>OK</v>
      </c>
      <c r="E6432" s="4" t="s">
        <v>1991</v>
      </c>
    </row>
    <row r="6433" spans="1:5" x14ac:dyDescent="0.2">
      <c r="A6433" s="126">
        <v>6372</v>
      </c>
      <c r="B6433" s="1821"/>
      <c r="D6433" s="2" t="str">
        <f t="shared" si="99"/>
        <v>OK</v>
      </c>
      <c r="E6433" s="4" t="s">
        <v>1991</v>
      </c>
    </row>
    <row r="6434" spans="1:5" x14ac:dyDescent="0.2">
      <c r="A6434" s="126">
        <v>6373</v>
      </c>
      <c r="B6434" s="1821"/>
      <c r="D6434" s="2" t="str">
        <f t="shared" si="99"/>
        <v>OK</v>
      </c>
      <c r="E6434" s="4" t="s">
        <v>1991</v>
      </c>
    </row>
    <row r="6435" spans="1:5" x14ac:dyDescent="0.2">
      <c r="A6435" s="126">
        <v>6374</v>
      </c>
      <c r="B6435" s="1821"/>
      <c r="D6435" s="2" t="str">
        <f t="shared" si="99"/>
        <v>OK</v>
      </c>
      <c r="E6435" s="4" t="s">
        <v>1991</v>
      </c>
    </row>
    <row r="6436" spans="1:5" x14ac:dyDescent="0.2">
      <c r="A6436" s="126">
        <v>6375</v>
      </c>
      <c r="B6436" s="1821"/>
      <c r="D6436" s="2" t="str">
        <f t="shared" si="99"/>
        <v>OK</v>
      </c>
      <c r="E6436" s="4" t="s">
        <v>1991</v>
      </c>
    </row>
    <row r="6437" spans="1:5" x14ac:dyDescent="0.2">
      <c r="A6437" s="126">
        <v>6376</v>
      </c>
      <c r="B6437" s="1821"/>
      <c r="D6437" s="2" t="str">
        <f t="shared" si="99"/>
        <v>OK</v>
      </c>
      <c r="E6437" s="4" t="s">
        <v>1991</v>
      </c>
    </row>
    <row r="6438" spans="1:5" x14ac:dyDescent="0.2">
      <c r="A6438" s="126">
        <v>6377</v>
      </c>
      <c r="B6438" s="1821"/>
      <c r="D6438" s="2" t="str">
        <f t="shared" si="99"/>
        <v>OK</v>
      </c>
      <c r="E6438" s="4" t="s">
        <v>1991</v>
      </c>
    </row>
    <row r="6439" spans="1:5" x14ac:dyDescent="0.2">
      <c r="A6439" s="126">
        <v>6378</v>
      </c>
      <c r="B6439" s="1821"/>
      <c r="D6439" s="2" t="str">
        <f t="shared" si="99"/>
        <v>OK</v>
      </c>
      <c r="E6439" s="4" t="s">
        <v>1991</v>
      </c>
    </row>
    <row r="6440" spans="1:5" x14ac:dyDescent="0.2">
      <c r="A6440" s="126">
        <v>6379</v>
      </c>
      <c r="B6440" s="1821"/>
      <c r="D6440" s="2" t="str">
        <f t="shared" si="99"/>
        <v>OK</v>
      </c>
      <c r="E6440" s="4" t="s">
        <v>1991</v>
      </c>
    </row>
    <row r="6441" spans="1:5" x14ac:dyDescent="0.2">
      <c r="A6441" s="126">
        <v>6380</v>
      </c>
      <c r="B6441" s="1821"/>
      <c r="D6441" s="2" t="str">
        <f t="shared" si="99"/>
        <v>OK</v>
      </c>
      <c r="E6441" s="4" t="s">
        <v>1991</v>
      </c>
    </row>
    <row r="6442" spans="1:5" x14ac:dyDescent="0.2">
      <c r="A6442" s="126">
        <v>6381</v>
      </c>
      <c r="B6442" s="1821"/>
      <c r="D6442" s="2" t="str">
        <f t="shared" si="99"/>
        <v>OK</v>
      </c>
      <c r="E6442" s="4" t="s">
        <v>1991</v>
      </c>
    </row>
    <row r="6443" spans="1:5" x14ac:dyDescent="0.2">
      <c r="A6443" s="126">
        <v>6382</v>
      </c>
      <c r="B6443" s="1821"/>
      <c r="D6443" s="2" t="str">
        <f t="shared" si="99"/>
        <v>OK</v>
      </c>
      <c r="E6443" s="4" t="s">
        <v>1991</v>
      </c>
    </row>
    <row r="6444" spans="1:5" x14ac:dyDescent="0.2">
      <c r="A6444" s="126">
        <v>6383</v>
      </c>
      <c r="B6444" s="1821"/>
      <c r="D6444" s="2" t="str">
        <f t="shared" si="99"/>
        <v>OK</v>
      </c>
      <c r="E6444" s="4" t="s">
        <v>1991</v>
      </c>
    </row>
    <row r="6445" spans="1:5" x14ac:dyDescent="0.2">
      <c r="A6445" s="126">
        <v>6384</v>
      </c>
      <c r="B6445" s="1821"/>
      <c r="D6445" s="2" t="str">
        <f t="shared" si="99"/>
        <v>OK</v>
      </c>
      <c r="E6445" s="4" t="s">
        <v>1991</v>
      </c>
    </row>
    <row r="6446" spans="1:5" x14ac:dyDescent="0.2">
      <c r="A6446" s="126">
        <v>6385</v>
      </c>
      <c r="B6446" s="1821"/>
      <c r="D6446" s="2" t="str">
        <f t="shared" si="99"/>
        <v>OK</v>
      </c>
      <c r="E6446" s="4" t="s">
        <v>1991</v>
      </c>
    </row>
    <row r="6447" spans="1:5" x14ac:dyDescent="0.2">
      <c r="A6447" s="126">
        <v>6386</v>
      </c>
      <c r="B6447" s="1821"/>
      <c r="D6447" s="2" t="str">
        <f t="shared" si="99"/>
        <v>OK</v>
      </c>
      <c r="E6447" s="4" t="s">
        <v>1991</v>
      </c>
    </row>
    <row r="6448" spans="1:5" x14ac:dyDescent="0.2">
      <c r="A6448" s="126">
        <v>6387</v>
      </c>
      <c r="B6448" s="1821"/>
      <c r="D6448" s="2" t="str">
        <f t="shared" si="99"/>
        <v>OK</v>
      </c>
      <c r="E6448" s="4" t="s">
        <v>1991</v>
      </c>
    </row>
    <row r="6449" spans="1:5" x14ac:dyDescent="0.2">
      <c r="A6449" s="126">
        <v>6388</v>
      </c>
      <c r="B6449" s="1821"/>
      <c r="D6449" s="2" t="str">
        <f t="shared" si="99"/>
        <v>OK</v>
      </c>
      <c r="E6449" s="4" t="s">
        <v>1991</v>
      </c>
    </row>
    <row r="6450" spans="1:5" x14ac:dyDescent="0.2">
      <c r="A6450" s="126">
        <v>6389</v>
      </c>
      <c r="B6450" s="1821"/>
      <c r="D6450" s="2" t="str">
        <f t="shared" si="99"/>
        <v>OK</v>
      </c>
      <c r="E6450" s="4" t="s">
        <v>1991</v>
      </c>
    </row>
    <row r="6451" spans="1:5" x14ac:dyDescent="0.2">
      <c r="A6451" s="126">
        <v>6390</v>
      </c>
      <c r="B6451" s="1821"/>
      <c r="D6451" s="2" t="str">
        <f t="shared" si="99"/>
        <v>OK</v>
      </c>
      <c r="E6451" s="4" t="s">
        <v>1991</v>
      </c>
    </row>
    <row r="6452" spans="1:5" x14ac:dyDescent="0.2">
      <c r="A6452" s="126">
        <v>6391</v>
      </c>
      <c r="B6452" s="1821"/>
      <c r="D6452" s="2" t="str">
        <f t="shared" si="99"/>
        <v>OK</v>
      </c>
      <c r="E6452" s="4" t="s">
        <v>1991</v>
      </c>
    </row>
    <row r="6453" spans="1:5" x14ac:dyDescent="0.2">
      <c r="A6453" s="126">
        <v>6392</v>
      </c>
      <c r="B6453" s="1821"/>
      <c r="D6453" s="2" t="str">
        <f t="shared" si="99"/>
        <v>OK</v>
      </c>
      <c r="E6453" s="4" t="s">
        <v>1991</v>
      </c>
    </row>
    <row r="6454" spans="1:5" x14ac:dyDescent="0.2">
      <c r="A6454" s="126">
        <v>6393</v>
      </c>
      <c r="B6454" s="1821"/>
      <c r="D6454" s="2" t="str">
        <f t="shared" si="99"/>
        <v>OK</v>
      </c>
      <c r="E6454" s="4" t="s">
        <v>1991</v>
      </c>
    </row>
    <row r="6455" spans="1:5" x14ac:dyDescent="0.2">
      <c r="A6455" s="126">
        <v>6394</v>
      </c>
      <c r="B6455" s="1821"/>
      <c r="D6455" s="2" t="str">
        <f t="shared" si="99"/>
        <v>OK</v>
      </c>
      <c r="E6455" s="4" t="s">
        <v>1991</v>
      </c>
    </row>
    <row r="6456" spans="1:5" x14ac:dyDescent="0.2">
      <c r="A6456" s="126">
        <v>6395</v>
      </c>
      <c r="B6456" s="1821"/>
      <c r="D6456" s="2" t="str">
        <f t="shared" si="99"/>
        <v>OK</v>
      </c>
      <c r="E6456" s="4" t="s">
        <v>1991</v>
      </c>
    </row>
    <row r="6457" spans="1:5" x14ac:dyDescent="0.2">
      <c r="A6457" s="126">
        <v>6396</v>
      </c>
      <c r="B6457" s="1821"/>
      <c r="D6457" s="2" t="str">
        <f t="shared" si="99"/>
        <v>OK</v>
      </c>
      <c r="E6457" s="4" t="s">
        <v>1991</v>
      </c>
    </row>
    <row r="6458" spans="1:5" x14ac:dyDescent="0.2">
      <c r="A6458" s="126">
        <v>6397</v>
      </c>
      <c r="B6458" s="1821"/>
      <c r="D6458" s="2" t="str">
        <f t="shared" si="99"/>
        <v>OK</v>
      </c>
      <c r="E6458" s="4" t="s">
        <v>1991</v>
      </c>
    </row>
    <row r="6459" spans="1:5" x14ac:dyDescent="0.2">
      <c r="A6459" s="126">
        <v>6398</v>
      </c>
      <c r="B6459" s="1821"/>
      <c r="D6459" s="2" t="str">
        <f t="shared" si="99"/>
        <v>OK</v>
      </c>
      <c r="E6459" s="4" t="s">
        <v>1991</v>
      </c>
    </row>
    <row r="6460" spans="1:5" x14ac:dyDescent="0.2">
      <c r="A6460" s="126">
        <v>6399</v>
      </c>
      <c r="B6460" s="1821"/>
      <c r="D6460" s="2" t="str">
        <f t="shared" si="99"/>
        <v>OK</v>
      </c>
      <c r="E6460" s="4" t="s">
        <v>1991</v>
      </c>
    </row>
    <row r="6461" spans="1:5" x14ac:dyDescent="0.2">
      <c r="A6461" s="126">
        <v>6400</v>
      </c>
      <c r="B6461" s="1821"/>
      <c r="D6461" s="2" t="str">
        <f t="shared" si="99"/>
        <v>OK</v>
      </c>
      <c r="E6461" s="4" t="s">
        <v>1991</v>
      </c>
    </row>
    <row r="6462" spans="1:5" x14ac:dyDescent="0.2">
      <c r="A6462" s="126">
        <v>6401</v>
      </c>
      <c r="B6462" s="1821"/>
      <c r="D6462" s="2" t="str">
        <f t="shared" si="99"/>
        <v>OK</v>
      </c>
      <c r="E6462" s="4" t="s">
        <v>1991</v>
      </c>
    </row>
    <row r="6463" spans="1:5" x14ac:dyDescent="0.2">
      <c r="A6463" s="126">
        <v>6402</v>
      </c>
      <c r="B6463" s="1821"/>
      <c r="D6463" s="2" t="str">
        <f t="shared" ref="D6463:D6526" si="100">IF(ISBLANK(B6463),"OK",IF(A6463-B6463=0,"OK","Error?"))</f>
        <v>OK</v>
      </c>
      <c r="E6463" s="4" t="s">
        <v>1991</v>
      </c>
    </row>
    <row r="6464" spans="1:5" x14ac:dyDescent="0.2">
      <c r="A6464" s="126">
        <v>6403</v>
      </c>
      <c r="B6464" s="1821"/>
      <c r="D6464" s="2" t="str">
        <f t="shared" si="100"/>
        <v>OK</v>
      </c>
      <c r="E6464" s="4" t="s">
        <v>1991</v>
      </c>
    </row>
    <row r="6465" spans="1:5" x14ac:dyDescent="0.2">
      <c r="A6465" s="126">
        <v>6404</v>
      </c>
      <c r="B6465" s="1821"/>
      <c r="D6465" s="2" t="str">
        <f t="shared" si="100"/>
        <v>OK</v>
      </c>
      <c r="E6465" s="4" t="s">
        <v>1991</v>
      </c>
    </row>
    <row r="6466" spans="1:5" x14ac:dyDescent="0.2">
      <c r="A6466" s="126">
        <v>6405</v>
      </c>
      <c r="B6466" s="1821"/>
      <c r="D6466" s="2" t="str">
        <f t="shared" si="100"/>
        <v>OK</v>
      </c>
      <c r="E6466" s="4" t="s">
        <v>1991</v>
      </c>
    </row>
    <row r="6467" spans="1:5" x14ac:dyDescent="0.2">
      <c r="A6467" s="126">
        <v>6406</v>
      </c>
      <c r="B6467" s="1821"/>
      <c r="D6467" s="2" t="str">
        <f t="shared" si="100"/>
        <v>OK</v>
      </c>
      <c r="E6467" s="4" t="s">
        <v>1991</v>
      </c>
    </row>
    <row r="6468" spans="1:5" x14ac:dyDescent="0.2">
      <c r="A6468" s="126">
        <v>6407</v>
      </c>
      <c r="B6468" s="1821"/>
      <c r="D6468" s="2" t="str">
        <f t="shared" si="100"/>
        <v>OK</v>
      </c>
      <c r="E6468" s="4" t="s">
        <v>1991</v>
      </c>
    </row>
    <row r="6469" spans="1:5" x14ac:dyDescent="0.2">
      <c r="A6469" s="126">
        <v>6408</v>
      </c>
      <c r="B6469" s="1821"/>
      <c r="D6469" s="2" t="str">
        <f t="shared" si="100"/>
        <v>OK</v>
      </c>
      <c r="E6469" s="4" t="s">
        <v>1991</v>
      </c>
    </row>
    <row r="6470" spans="1:5" x14ac:dyDescent="0.2">
      <c r="A6470" s="126">
        <v>6409</v>
      </c>
      <c r="B6470" s="1821"/>
      <c r="D6470" s="2" t="str">
        <f t="shared" si="100"/>
        <v>OK</v>
      </c>
      <c r="E6470" s="4" t="s">
        <v>1991</v>
      </c>
    </row>
    <row r="6471" spans="1:5" x14ac:dyDescent="0.2">
      <c r="A6471" s="126">
        <v>6410</v>
      </c>
      <c r="B6471" s="1821"/>
      <c r="D6471" s="2" t="str">
        <f t="shared" si="100"/>
        <v>OK</v>
      </c>
      <c r="E6471" s="4" t="s">
        <v>1991</v>
      </c>
    </row>
    <row r="6472" spans="1:5" x14ac:dyDescent="0.2">
      <c r="A6472" s="126">
        <v>6411</v>
      </c>
      <c r="B6472" s="1821"/>
      <c r="D6472" s="2" t="str">
        <f t="shared" si="100"/>
        <v>OK</v>
      </c>
      <c r="E6472" s="4" t="s">
        <v>1991</v>
      </c>
    </row>
    <row r="6473" spans="1:5" x14ac:dyDescent="0.2">
      <c r="A6473" s="126">
        <v>6412</v>
      </c>
      <c r="B6473" s="1821"/>
      <c r="D6473" s="2" t="str">
        <f t="shared" si="100"/>
        <v>OK</v>
      </c>
      <c r="E6473" s="4" t="s">
        <v>1991</v>
      </c>
    </row>
    <row r="6474" spans="1:5" x14ac:dyDescent="0.2">
      <c r="A6474" s="126">
        <v>6413</v>
      </c>
      <c r="B6474" s="1821"/>
      <c r="D6474" s="2" t="str">
        <f t="shared" si="100"/>
        <v>OK</v>
      </c>
      <c r="E6474" s="4" t="s">
        <v>1991</v>
      </c>
    </row>
    <row r="6475" spans="1:5" x14ac:dyDescent="0.2">
      <c r="A6475" s="126">
        <v>6414</v>
      </c>
      <c r="B6475" s="1821"/>
      <c r="D6475" s="2" t="str">
        <f t="shared" si="100"/>
        <v>OK</v>
      </c>
      <c r="E6475" s="4" t="s">
        <v>1991</v>
      </c>
    </row>
    <row r="6476" spans="1:5" x14ac:dyDescent="0.2">
      <c r="A6476" s="126">
        <v>6415</v>
      </c>
      <c r="B6476" s="1821"/>
      <c r="D6476" s="2" t="str">
        <f t="shared" si="100"/>
        <v>OK</v>
      </c>
      <c r="E6476" s="4" t="s">
        <v>1991</v>
      </c>
    </row>
    <row r="6477" spans="1:5" x14ac:dyDescent="0.2">
      <c r="A6477" s="126">
        <v>6416</v>
      </c>
      <c r="B6477" s="1821"/>
      <c r="D6477" s="2" t="str">
        <f t="shared" si="100"/>
        <v>OK</v>
      </c>
      <c r="E6477" s="4" t="s">
        <v>1991</v>
      </c>
    </row>
    <row r="6478" spans="1:5" x14ac:dyDescent="0.2">
      <c r="A6478" s="126">
        <v>6417</v>
      </c>
      <c r="B6478" s="1821"/>
      <c r="D6478" s="2" t="str">
        <f t="shared" si="100"/>
        <v>OK</v>
      </c>
      <c r="E6478" s="4" t="s">
        <v>1991</v>
      </c>
    </row>
    <row r="6479" spans="1:5" x14ac:dyDescent="0.2">
      <c r="A6479" s="126">
        <v>6418</v>
      </c>
      <c r="B6479" s="1821"/>
      <c r="D6479" s="2" t="str">
        <f t="shared" si="100"/>
        <v>OK</v>
      </c>
      <c r="E6479" s="4" t="s">
        <v>1991</v>
      </c>
    </row>
    <row r="6480" spans="1:5" x14ac:dyDescent="0.2">
      <c r="A6480" s="126">
        <v>6419</v>
      </c>
      <c r="B6480" s="1821"/>
      <c r="D6480" s="2" t="str">
        <f t="shared" si="100"/>
        <v>OK</v>
      </c>
      <c r="E6480" s="4" t="s">
        <v>1991</v>
      </c>
    </row>
    <row r="6481" spans="1:5" x14ac:dyDescent="0.2">
      <c r="A6481" s="126">
        <v>6420</v>
      </c>
      <c r="B6481" s="1821"/>
      <c r="D6481" s="2" t="str">
        <f t="shared" si="100"/>
        <v>OK</v>
      </c>
      <c r="E6481" s="4" t="s">
        <v>1991</v>
      </c>
    </row>
    <row r="6482" spans="1:5" x14ac:dyDescent="0.2">
      <c r="A6482" s="126">
        <v>6421</v>
      </c>
      <c r="B6482" s="1821"/>
      <c r="D6482" s="2" t="str">
        <f t="shared" si="100"/>
        <v>OK</v>
      </c>
      <c r="E6482" s="4" t="s">
        <v>1991</v>
      </c>
    </row>
    <row r="6483" spans="1:5" x14ac:dyDescent="0.2">
      <c r="A6483" s="126">
        <v>6422</v>
      </c>
      <c r="B6483" s="1821"/>
      <c r="D6483" s="2" t="str">
        <f t="shared" si="100"/>
        <v>OK</v>
      </c>
      <c r="E6483" s="4" t="s">
        <v>1991</v>
      </c>
    </row>
    <row r="6484" spans="1:5" x14ac:dyDescent="0.2">
      <c r="A6484" s="126">
        <v>6423</v>
      </c>
      <c r="B6484" s="1821"/>
      <c r="D6484" s="2" t="str">
        <f t="shared" si="100"/>
        <v>OK</v>
      </c>
      <c r="E6484" s="4" t="s">
        <v>1991</v>
      </c>
    </row>
    <row r="6485" spans="1:5" x14ac:dyDescent="0.2">
      <c r="A6485" s="126">
        <v>6424</v>
      </c>
      <c r="B6485" s="1821"/>
      <c r="D6485" s="2" t="str">
        <f t="shared" si="100"/>
        <v>OK</v>
      </c>
      <c r="E6485" s="4" t="s">
        <v>1991</v>
      </c>
    </row>
    <row r="6486" spans="1:5" x14ac:dyDescent="0.2">
      <c r="A6486" s="126">
        <v>6425</v>
      </c>
      <c r="B6486" s="1821"/>
      <c r="D6486" s="2" t="str">
        <f t="shared" si="100"/>
        <v>OK</v>
      </c>
      <c r="E6486" s="4" t="s">
        <v>1991</v>
      </c>
    </row>
    <row r="6487" spans="1:5" x14ac:dyDescent="0.2">
      <c r="A6487" s="126">
        <v>6426</v>
      </c>
      <c r="B6487" s="1821"/>
      <c r="D6487" s="2" t="str">
        <f t="shared" si="100"/>
        <v>OK</v>
      </c>
      <c r="E6487" s="4" t="s">
        <v>1991</v>
      </c>
    </row>
    <row r="6488" spans="1:5" x14ac:dyDescent="0.2">
      <c r="A6488" s="126">
        <v>6427</v>
      </c>
      <c r="B6488" s="1821"/>
      <c r="D6488" s="2" t="str">
        <f t="shared" si="100"/>
        <v>OK</v>
      </c>
      <c r="E6488" s="4" t="s">
        <v>1991</v>
      </c>
    </row>
    <row r="6489" spans="1:5" x14ac:dyDescent="0.2">
      <c r="A6489" s="126">
        <v>6428</v>
      </c>
      <c r="B6489" s="1821"/>
      <c r="D6489" s="2" t="str">
        <f t="shared" si="100"/>
        <v>OK</v>
      </c>
      <c r="E6489" s="4" t="s">
        <v>1991</v>
      </c>
    </row>
    <row r="6490" spans="1:5" x14ac:dyDescent="0.2">
      <c r="A6490" s="126">
        <v>6429</v>
      </c>
      <c r="B6490" s="1821"/>
      <c r="D6490" s="2" t="str">
        <f t="shared" si="100"/>
        <v>OK</v>
      </c>
      <c r="E6490" s="4" t="s">
        <v>1991</v>
      </c>
    </row>
    <row r="6491" spans="1:5" x14ac:dyDescent="0.2">
      <c r="A6491" s="126">
        <v>6430</v>
      </c>
      <c r="B6491" s="1821"/>
      <c r="D6491" s="2" t="str">
        <f t="shared" si="100"/>
        <v>OK</v>
      </c>
      <c r="E6491" s="4" t="s">
        <v>1991</v>
      </c>
    </row>
    <row r="6492" spans="1:5" x14ac:dyDescent="0.2">
      <c r="A6492" s="126">
        <v>6431</v>
      </c>
      <c r="B6492" s="1821"/>
      <c r="D6492" s="2" t="str">
        <f t="shared" si="100"/>
        <v>OK</v>
      </c>
      <c r="E6492" s="4" t="s">
        <v>1991</v>
      </c>
    </row>
    <row r="6493" spans="1:5" x14ac:dyDescent="0.2">
      <c r="A6493" s="126">
        <v>6432</v>
      </c>
      <c r="B6493" s="1821"/>
      <c r="D6493" s="2" t="str">
        <f t="shared" si="100"/>
        <v>OK</v>
      </c>
      <c r="E6493" s="4" t="s">
        <v>1991</v>
      </c>
    </row>
    <row r="6494" spans="1:5" x14ac:dyDescent="0.2">
      <c r="A6494" s="126">
        <v>6433</v>
      </c>
      <c r="B6494" s="1821"/>
      <c r="D6494" s="2" t="str">
        <f t="shared" si="100"/>
        <v>OK</v>
      </c>
      <c r="E6494" s="4" t="s">
        <v>1991</v>
      </c>
    </row>
    <row r="6495" spans="1:5" x14ac:dyDescent="0.2">
      <c r="A6495" s="126">
        <v>6434</v>
      </c>
      <c r="B6495" s="1821"/>
      <c r="D6495" s="2" t="str">
        <f t="shared" si="100"/>
        <v>OK</v>
      </c>
      <c r="E6495" s="4" t="s">
        <v>1991</v>
      </c>
    </row>
    <row r="6496" spans="1:5" x14ac:dyDescent="0.2">
      <c r="A6496" s="126">
        <v>6435</v>
      </c>
      <c r="B6496" s="1821"/>
      <c r="D6496" s="2" t="str">
        <f t="shared" si="100"/>
        <v>OK</v>
      </c>
      <c r="E6496" s="4" t="s">
        <v>1991</v>
      </c>
    </row>
    <row r="6497" spans="1:5" x14ac:dyDescent="0.2">
      <c r="A6497" s="126">
        <v>6436</v>
      </c>
      <c r="B6497" s="1821"/>
      <c r="D6497" s="2" t="str">
        <f t="shared" si="100"/>
        <v>OK</v>
      </c>
      <c r="E6497" s="4" t="s">
        <v>1991</v>
      </c>
    </row>
    <row r="6498" spans="1:5" x14ac:dyDescent="0.2">
      <c r="A6498" s="126">
        <v>6437</v>
      </c>
      <c r="B6498" s="1821"/>
      <c r="D6498" s="2" t="str">
        <f t="shared" si="100"/>
        <v>OK</v>
      </c>
      <c r="E6498" s="4" t="s">
        <v>1991</v>
      </c>
    </row>
    <row r="6499" spans="1:5" x14ac:dyDescent="0.2">
      <c r="A6499" s="126">
        <v>6438</v>
      </c>
      <c r="B6499" s="1821"/>
      <c r="D6499" s="2" t="str">
        <f t="shared" si="100"/>
        <v>OK</v>
      </c>
      <c r="E6499" s="4" t="s">
        <v>1991</v>
      </c>
    </row>
    <row r="6500" spans="1:5" x14ac:dyDescent="0.2">
      <c r="A6500" s="126">
        <v>6439</v>
      </c>
      <c r="B6500" s="1821"/>
      <c r="D6500" s="2" t="str">
        <f t="shared" si="100"/>
        <v>OK</v>
      </c>
      <c r="E6500" s="4" t="s">
        <v>1991</v>
      </c>
    </row>
    <row r="6501" spans="1:5" x14ac:dyDescent="0.2">
      <c r="A6501" s="126">
        <v>6440</v>
      </c>
      <c r="B6501" s="1821"/>
      <c r="D6501" s="2" t="str">
        <f t="shared" si="100"/>
        <v>OK</v>
      </c>
      <c r="E6501" s="4" t="s">
        <v>1991</v>
      </c>
    </row>
    <row r="6502" spans="1:5" x14ac:dyDescent="0.2">
      <c r="A6502" s="126">
        <v>6441</v>
      </c>
      <c r="B6502" s="1821"/>
      <c r="D6502" s="2" t="str">
        <f t="shared" si="100"/>
        <v>OK</v>
      </c>
      <c r="E6502" s="4" t="s">
        <v>1991</v>
      </c>
    </row>
    <row r="6503" spans="1:5" x14ac:dyDescent="0.2">
      <c r="A6503" s="126">
        <v>6442</v>
      </c>
      <c r="B6503" s="1821"/>
      <c r="D6503" s="2" t="str">
        <f t="shared" si="100"/>
        <v>OK</v>
      </c>
      <c r="E6503" s="4" t="s">
        <v>1991</v>
      </c>
    </row>
    <row r="6504" spans="1:5" x14ac:dyDescent="0.2">
      <c r="A6504" s="126">
        <v>6443</v>
      </c>
      <c r="B6504" s="1821"/>
      <c r="D6504" s="2" t="str">
        <f t="shared" si="100"/>
        <v>OK</v>
      </c>
      <c r="E6504" s="4" t="s">
        <v>1991</v>
      </c>
    </row>
    <row r="6505" spans="1:5" x14ac:dyDescent="0.2">
      <c r="A6505" s="126">
        <v>6444</v>
      </c>
      <c r="B6505" s="1821"/>
      <c r="D6505" s="2" t="str">
        <f t="shared" si="100"/>
        <v>OK</v>
      </c>
      <c r="E6505" s="4" t="s">
        <v>1991</v>
      </c>
    </row>
    <row r="6506" spans="1:5" x14ac:dyDescent="0.2">
      <c r="A6506" s="126">
        <v>6445</v>
      </c>
      <c r="B6506" s="1821"/>
      <c r="D6506" s="2" t="str">
        <f t="shared" si="100"/>
        <v>OK</v>
      </c>
      <c r="E6506" s="4" t="s">
        <v>1991</v>
      </c>
    </row>
    <row r="6507" spans="1:5" x14ac:dyDescent="0.2">
      <c r="A6507" s="126">
        <v>6446</v>
      </c>
      <c r="B6507" s="1821"/>
      <c r="D6507" s="2" t="str">
        <f t="shared" si="100"/>
        <v>OK</v>
      </c>
      <c r="E6507" s="4" t="s">
        <v>1991</v>
      </c>
    </row>
    <row r="6508" spans="1:5" x14ac:dyDescent="0.2">
      <c r="A6508" s="126">
        <v>6447</v>
      </c>
      <c r="B6508" s="1821"/>
      <c r="D6508" s="2" t="str">
        <f t="shared" si="100"/>
        <v>OK</v>
      </c>
      <c r="E6508" s="4" t="s">
        <v>1991</v>
      </c>
    </row>
    <row r="6509" spans="1:5" x14ac:dyDescent="0.2">
      <c r="A6509" s="126">
        <v>6448</v>
      </c>
      <c r="B6509" s="1821"/>
      <c r="D6509" s="2" t="str">
        <f t="shared" si="100"/>
        <v>OK</v>
      </c>
      <c r="E6509" s="4" t="s">
        <v>1991</v>
      </c>
    </row>
    <row r="6510" spans="1:5" x14ac:dyDescent="0.2">
      <c r="A6510" s="126">
        <v>6449</v>
      </c>
      <c r="B6510" s="1821"/>
      <c r="D6510" s="2" t="str">
        <f t="shared" si="100"/>
        <v>OK</v>
      </c>
      <c r="E6510" s="4" t="s">
        <v>1991</v>
      </c>
    </row>
    <row r="6511" spans="1:5" x14ac:dyDescent="0.2">
      <c r="A6511" s="126">
        <v>6450</v>
      </c>
      <c r="B6511" s="1821"/>
      <c r="D6511" s="2" t="str">
        <f t="shared" si="100"/>
        <v>OK</v>
      </c>
      <c r="E6511" s="4" t="s">
        <v>1991</v>
      </c>
    </row>
    <row r="6512" spans="1:5" x14ac:dyDescent="0.2">
      <c r="A6512" s="126">
        <v>6451</v>
      </c>
      <c r="B6512" s="1821"/>
      <c r="D6512" s="2" t="str">
        <f t="shared" si="100"/>
        <v>OK</v>
      </c>
      <c r="E6512" s="4" t="s">
        <v>1991</v>
      </c>
    </row>
    <row r="6513" spans="1:5" x14ac:dyDescent="0.2">
      <c r="A6513" s="126">
        <v>6452</v>
      </c>
      <c r="B6513" s="1821"/>
      <c r="D6513" s="2" t="str">
        <f t="shared" si="100"/>
        <v>OK</v>
      </c>
      <c r="E6513" s="4" t="s">
        <v>1991</v>
      </c>
    </row>
    <row r="6514" spans="1:5" x14ac:dyDescent="0.2">
      <c r="A6514" s="126">
        <v>6453</v>
      </c>
      <c r="B6514" s="1821"/>
      <c r="D6514" s="2" t="str">
        <f t="shared" si="100"/>
        <v>OK</v>
      </c>
      <c r="E6514" s="4" t="s">
        <v>1991</v>
      </c>
    </row>
    <row r="6515" spans="1:5" x14ac:dyDescent="0.2">
      <c r="A6515" s="126">
        <v>6454</v>
      </c>
      <c r="B6515" s="1821"/>
      <c r="D6515" s="2" t="str">
        <f t="shared" si="100"/>
        <v>OK</v>
      </c>
      <c r="E6515" s="4" t="s">
        <v>1991</v>
      </c>
    </row>
    <row r="6516" spans="1:5" x14ac:dyDescent="0.2">
      <c r="A6516" s="126">
        <v>6455</v>
      </c>
      <c r="B6516" s="1821"/>
      <c r="D6516" s="2" t="str">
        <f t="shared" si="100"/>
        <v>OK</v>
      </c>
      <c r="E6516" s="4" t="s">
        <v>1991</v>
      </c>
    </row>
    <row r="6517" spans="1:5" x14ac:dyDescent="0.2">
      <c r="A6517" s="126">
        <v>6456</v>
      </c>
      <c r="B6517" s="1821"/>
      <c r="D6517" s="2" t="str">
        <f t="shared" si="100"/>
        <v>OK</v>
      </c>
      <c r="E6517" s="4" t="s">
        <v>1991</v>
      </c>
    </row>
    <row r="6518" spans="1:5" x14ac:dyDescent="0.2">
      <c r="A6518" s="126">
        <v>6457</v>
      </c>
      <c r="B6518" s="1821"/>
      <c r="D6518" s="2" t="str">
        <f t="shared" si="100"/>
        <v>OK</v>
      </c>
      <c r="E6518" s="4" t="s">
        <v>1991</v>
      </c>
    </row>
    <row r="6519" spans="1:5" x14ac:dyDescent="0.2">
      <c r="A6519" s="126">
        <v>6458</v>
      </c>
      <c r="B6519" s="1821"/>
      <c r="D6519" s="2" t="str">
        <f t="shared" si="100"/>
        <v>OK</v>
      </c>
      <c r="E6519" s="4" t="s">
        <v>1991</v>
      </c>
    </row>
    <row r="6520" spans="1:5" x14ac:dyDescent="0.2">
      <c r="A6520" s="126">
        <v>6459</v>
      </c>
      <c r="B6520" s="1821"/>
      <c r="D6520" s="2" t="str">
        <f t="shared" si="100"/>
        <v>OK</v>
      </c>
      <c r="E6520" s="4" t="s">
        <v>1991</v>
      </c>
    </row>
    <row r="6521" spans="1:5" x14ac:dyDescent="0.2">
      <c r="A6521" s="126">
        <v>6460</v>
      </c>
      <c r="B6521" s="1821"/>
      <c r="D6521" s="2" t="str">
        <f t="shared" si="100"/>
        <v>OK</v>
      </c>
      <c r="E6521" s="4" t="s">
        <v>1991</v>
      </c>
    </row>
    <row r="6522" spans="1:5" x14ac:dyDescent="0.2">
      <c r="A6522" s="126">
        <v>6461</v>
      </c>
      <c r="B6522" s="1821"/>
      <c r="D6522" s="2" t="str">
        <f t="shared" si="100"/>
        <v>OK</v>
      </c>
      <c r="E6522" s="4" t="s">
        <v>1991</v>
      </c>
    </row>
    <row r="6523" spans="1:5" x14ac:dyDescent="0.2">
      <c r="A6523" s="126">
        <v>6462</v>
      </c>
      <c r="B6523" s="1821"/>
      <c r="D6523" s="2" t="str">
        <f t="shared" si="100"/>
        <v>OK</v>
      </c>
      <c r="E6523" s="4" t="s">
        <v>1991</v>
      </c>
    </row>
    <row r="6524" spans="1:5" x14ac:dyDescent="0.2">
      <c r="A6524" s="126">
        <v>6463</v>
      </c>
      <c r="B6524" s="1821"/>
      <c r="D6524" s="2" t="str">
        <f t="shared" si="100"/>
        <v>OK</v>
      </c>
      <c r="E6524" s="4" t="s">
        <v>1991</v>
      </c>
    </row>
    <row r="6525" spans="1:5" x14ac:dyDescent="0.2">
      <c r="A6525" s="126">
        <v>6464</v>
      </c>
      <c r="B6525" s="1821"/>
      <c r="D6525" s="2" t="str">
        <f t="shared" si="100"/>
        <v>OK</v>
      </c>
      <c r="E6525" s="4" t="s">
        <v>1991</v>
      </c>
    </row>
    <row r="6526" spans="1:5" x14ac:dyDescent="0.2">
      <c r="A6526" s="126">
        <v>6465</v>
      </c>
      <c r="B6526" s="1821"/>
      <c r="D6526" s="2" t="str">
        <f t="shared" si="100"/>
        <v>OK</v>
      </c>
      <c r="E6526" s="4" t="s">
        <v>1991</v>
      </c>
    </row>
    <row r="6527" spans="1:5" x14ac:dyDescent="0.2">
      <c r="A6527" s="126">
        <v>6466</v>
      </c>
      <c r="B6527" s="1821"/>
      <c r="D6527" s="2" t="str">
        <f t="shared" ref="D6527:D6590" si="101">IF(ISBLANK(B6527),"OK",IF(A6527-B6527=0,"OK","Error?"))</f>
        <v>OK</v>
      </c>
      <c r="E6527" s="4" t="s">
        <v>1991</v>
      </c>
    </row>
    <row r="6528" spans="1:5" x14ac:dyDescent="0.2">
      <c r="A6528" s="126">
        <v>6467</v>
      </c>
      <c r="B6528" s="1821"/>
      <c r="D6528" s="2" t="str">
        <f t="shared" si="101"/>
        <v>OK</v>
      </c>
      <c r="E6528" s="4" t="s">
        <v>1991</v>
      </c>
    </row>
    <row r="6529" spans="1:5" x14ac:dyDescent="0.2">
      <c r="A6529" s="126">
        <v>6468</v>
      </c>
      <c r="B6529" s="1821"/>
      <c r="D6529" s="2" t="str">
        <f t="shared" si="101"/>
        <v>OK</v>
      </c>
      <c r="E6529" s="4" t="s">
        <v>1991</v>
      </c>
    </row>
    <row r="6530" spans="1:5" x14ac:dyDescent="0.2">
      <c r="A6530" s="126">
        <v>6469</v>
      </c>
      <c r="B6530" s="1821"/>
      <c r="D6530" s="2" t="str">
        <f t="shared" si="101"/>
        <v>OK</v>
      </c>
      <c r="E6530" s="4" t="s">
        <v>1991</v>
      </c>
    </row>
    <row r="6531" spans="1:5" x14ac:dyDescent="0.2">
      <c r="A6531" s="126">
        <v>6470</v>
      </c>
      <c r="B6531" s="1821"/>
      <c r="D6531" s="2" t="str">
        <f t="shared" si="101"/>
        <v>OK</v>
      </c>
      <c r="E6531" s="4" t="s">
        <v>1991</v>
      </c>
    </row>
    <row r="6532" spans="1:5" x14ac:dyDescent="0.2">
      <c r="A6532" s="126">
        <v>6471</v>
      </c>
      <c r="B6532" s="1821"/>
      <c r="D6532" s="2" t="str">
        <f t="shared" si="101"/>
        <v>OK</v>
      </c>
      <c r="E6532" s="4" t="s">
        <v>1991</v>
      </c>
    </row>
    <row r="6533" spans="1:5" x14ac:dyDescent="0.2">
      <c r="A6533" s="126">
        <v>6472</v>
      </c>
      <c r="B6533" s="1821"/>
      <c r="D6533" s="2" t="str">
        <f t="shared" si="101"/>
        <v>OK</v>
      </c>
      <c r="E6533" s="4" t="s">
        <v>1991</v>
      </c>
    </row>
    <row r="6534" spans="1:5" x14ac:dyDescent="0.2">
      <c r="A6534" s="126">
        <v>6473</v>
      </c>
      <c r="B6534" s="1821"/>
      <c r="D6534" s="2" t="str">
        <f t="shared" si="101"/>
        <v>OK</v>
      </c>
      <c r="E6534" s="4" t="s">
        <v>1991</v>
      </c>
    </row>
    <row r="6535" spans="1:5" x14ac:dyDescent="0.2">
      <c r="A6535" s="126">
        <v>6474</v>
      </c>
      <c r="B6535" s="1821"/>
      <c r="D6535" s="2" t="str">
        <f t="shared" si="101"/>
        <v>OK</v>
      </c>
      <c r="E6535" s="4" t="s">
        <v>1991</v>
      </c>
    </row>
    <row r="6536" spans="1:5" x14ac:dyDescent="0.2">
      <c r="A6536" s="126">
        <v>6475</v>
      </c>
      <c r="B6536" s="1821"/>
      <c r="D6536" s="2" t="str">
        <f t="shared" si="101"/>
        <v>OK</v>
      </c>
      <c r="E6536" s="4" t="s">
        <v>1991</v>
      </c>
    </row>
    <row r="6537" spans="1:5" x14ac:dyDescent="0.2">
      <c r="A6537" s="126">
        <v>6476</v>
      </c>
      <c r="B6537" s="1821"/>
      <c r="D6537" s="2" t="str">
        <f t="shared" si="101"/>
        <v>OK</v>
      </c>
      <c r="E6537" s="4" t="s">
        <v>1991</v>
      </c>
    </row>
    <row r="6538" spans="1:5" x14ac:dyDescent="0.2">
      <c r="A6538" s="126">
        <v>6477</v>
      </c>
      <c r="B6538" s="1821"/>
      <c r="D6538" s="2" t="str">
        <f t="shared" si="101"/>
        <v>OK</v>
      </c>
      <c r="E6538" s="4" t="s">
        <v>1991</v>
      </c>
    </row>
    <row r="6539" spans="1:5" x14ac:dyDescent="0.2">
      <c r="A6539" s="126">
        <v>6478</v>
      </c>
      <c r="B6539" s="1821"/>
      <c r="D6539" s="2" t="str">
        <f t="shared" si="101"/>
        <v>OK</v>
      </c>
      <c r="E6539" s="4" t="s">
        <v>1991</v>
      </c>
    </row>
    <row r="6540" spans="1:5" x14ac:dyDescent="0.2">
      <c r="A6540" s="126">
        <v>6479</v>
      </c>
      <c r="B6540" s="1821"/>
      <c r="D6540" s="2" t="str">
        <f t="shared" si="101"/>
        <v>OK</v>
      </c>
      <c r="E6540" s="4" t="s">
        <v>1991</v>
      </c>
    </row>
    <row r="6541" spans="1:5" x14ac:dyDescent="0.2">
      <c r="A6541" s="126">
        <v>6480</v>
      </c>
      <c r="B6541" s="1821"/>
      <c r="D6541" s="2" t="str">
        <f t="shared" si="101"/>
        <v>OK</v>
      </c>
      <c r="E6541" s="4" t="s">
        <v>1991</v>
      </c>
    </row>
    <row r="6542" spans="1:5" x14ac:dyDescent="0.2">
      <c r="A6542" s="126">
        <v>6481</v>
      </c>
      <c r="B6542" s="1821"/>
      <c r="D6542" s="2" t="str">
        <f t="shared" si="101"/>
        <v>OK</v>
      </c>
      <c r="E6542" s="4" t="s">
        <v>1991</v>
      </c>
    </row>
    <row r="6543" spans="1:5" x14ac:dyDescent="0.2">
      <c r="A6543" s="126">
        <v>6482</v>
      </c>
      <c r="B6543" s="1821"/>
      <c r="D6543" s="2" t="str">
        <f t="shared" si="101"/>
        <v>OK</v>
      </c>
      <c r="E6543" s="4" t="s">
        <v>1991</v>
      </c>
    </row>
    <row r="6544" spans="1:5" x14ac:dyDescent="0.2">
      <c r="A6544" s="126">
        <v>6483</v>
      </c>
      <c r="B6544" s="1821"/>
      <c r="D6544" s="2" t="str">
        <f t="shared" si="101"/>
        <v>OK</v>
      </c>
      <c r="E6544" s="4" t="s">
        <v>1991</v>
      </c>
    </row>
    <row r="6545" spans="1:5" x14ac:dyDescent="0.2">
      <c r="A6545" s="126">
        <v>6484</v>
      </c>
      <c r="B6545" s="1821"/>
      <c r="D6545" s="2" t="str">
        <f t="shared" si="101"/>
        <v>OK</v>
      </c>
      <c r="E6545" s="4" t="s">
        <v>1991</v>
      </c>
    </row>
    <row r="6546" spans="1:5" x14ac:dyDescent="0.2">
      <c r="A6546" s="126">
        <v>6485</v>
      </c>
      <c r="B6546" s="1821"/>
      <c r="D6546" s="2" t="str">
        <f t="shared" si="101"/>
        <v>OK</v>
      </c>
      <c r="E6546" s="4" t="s">
        <v>1991</v>
      </c>
    </row>
    <row r="6547" spans="1:5" x14ac:dyDescent="0.2">
      <c r="A6547" s="126">
        <v>6486</v>
      </c>
      <c r="B6547" s="1821"/>
      <c r="D6547" s="2" t="str">
        <f t="shared" si="101"/>
        <v>OK</v>
      </c>
      <c r="E6547" s="4" t="s">
        <v>1991</v>
      </c>
    </row>
    <row r="6548" spans="1:5" x14ac:dyDescent="0.2">
      <c r="A6548" s="126">
        <v>6487</v>
      </c>
      <c r="B6548" s="1821"/>
      <c r="D6548" s="2" t="str">
        <f t="shared" si="101"/>
        <v>OK</v>
      </c>
      <c r="E6548" s="4" t="s">
        <v>1991</v>
      </c>
    </row>
    <row r="6549" spans="1:5" x14ac:dyDescent="0.2">
      <c r="A6549" s="126">
        <v>6488</v>
      </c>
      <c r="B6549" s="1821"/>
      <c r="D6549" s="2" t="str">
        <f t="shared" si="101"/>
        <v>OK</v>
      </c>
      <c r="E6549" s="4" t="s">
        <v>1991</v>
      </c>
    </row>
    <row r="6550" spans="1:5" x14ac:dyDescent="0.2">
      <c r="A6550" s="126">
        <v>6489</v>
      </c>
      <c r="B6550" s="1821"/>
      <c r="D6550" s="2" t="str">
        <f t="shared" si="101"/>
        <v>OK</v>
      </c>
      <c r="E6550" s="4" t="s">
        <v>1991</v>
      </c>
    </row>
    <row r="6551" spans="1:5" x14ac:dyDescent="0.2">
      <c r="A6551" s="126">
        <v>6490</v>
      </c>
      <c r="B6551" s="1821"/>
      <c r="D6551" s="2" t="str">
        <f t="shared" si="101"/>
        <v>OK</v>
      </c>
      <c r="E6551" s="4" t="s">
        <v>1991</v>
      </c>
    </row>
    <row r="6552" spans="1:5" x14ac:dyDescent="0.2">
      <c r="A6552" s="126">
        <v>6491</v>
      </c>
      <c r="B6552" s="1821"/>
      <c r="D6552" s="2" t="str">
        <f t="shared" si="101"/>
        <v>OK</v>
      </c>
      <c r="E6552" s="4" t="s">
        <v>1991</v>
      </c>
    </row>
    <row r="6553" spans="1:5" x14ac:dyDescent="0.2">
      <c r="A6553" s="126">
        <v>6492</v>
      </c>
      <c r="B6553" s="1821"/>
      <c r="D6553" s="2" t="str">
        <f t="shared" si="101"/>
        <v>OK</v>
      </c>
      <c r="E6553" s="4" t="s">
        <v>1991</v>
      </c>
    </row>
    <row r="6554" spans="1:5" x14ac:dyDescent="0.2">
      <c r="A6554" s="126">
        <v>6493</v>
      </c>
      <c r="B6554" s="1821"/>
      <c r="D6554" s="2" t="str">
        <f t="shared" si="101"/>
        <v>OK</v>
      </c>
      <c r="E6554" s="4" t="s">
        <v>1991</v>
      </c>
    </row>
    <row r="6555" spans="1:5" x14ac:dyDescent="0.2">
      <c r="A6555" s="126">
        <v>6494</v>
      </c>
      <c r="B6555" s="1821"/>
      <c r="D6555" s="2" t="str">
        <f t="shared" si="101"/>
        <v>OK</v>
      </c>
      <c r="E6555" s="4" t="s">
        <v>1991</v>
      </c>
    </row>
    <row r="6556" spans="1:5" x14ac:dyDescent="0.2">
      <c r="A6556" s="126">
        <v>6495</v>
      </c>
      <c r="B6556" s="1821"/>
      <c r="D6556" s="2" t="str">
        <f t="shared" si="101"/>
        <v>OK</v>
      </c>
      <c r="E6556" s="4" t="s">
        <v>1991</v>
      </c>
    </row>
    <row r="6557" spans="1:5" x14ac:dyDescent="0.2">
      <c r="A6557" s="126">
        <v>6496</v>
      </c>
      <c r="B6557" s="1821"/>
      <c r="D6557" s="2" t="str">
        <f t="shared" si="101"/>
        <v>OK</v>
      </c>
      <c r="E6557" s="4" t="s">
        <v>1991</v>
      </c>
    </row>
    <row r="6558" spans="1:5" x14ac:dyDescent="0.2">
      <c r="A6558" s="126">
        <v>6497</v>
      </c>
      <c r="B6558" s="1821"/>
      <c r="D6558" s="2" t="str">
        <f t="shared" si="101"/>
        <v>OK</v>
      </c>
      <c r="E6558" s="4" t="s">
        <v>1991</v>
      </c>
    </row>
    <row r="6559" spans="1:5" x14ac:dyDescent="0.2">
      <c r="A6559" s="126">
        <v>6498</v>
      </c>
      <c r="B6559" s="1821"/>
      <c r="D6559" s="2" t="str">
        <f t="shared" si="101"/>
        <v>OK</v>
      </c>
      <c r="E6559" s="4" t="s">
        <v>1991</v>
      </c>
    </row>
    <row r="6560" spans="1:5" x14ac:dyDescent="0.2">
      <c r="A6560" s="126">
        <v>6499</v>
      </c>
      <c r="B6560" s="1821"/>
      <c r="D6560" s="2" t="str">
        <f t="shared" si="101"/>
        <v>OK</v>
      </c>
      <c r="E6560" s="4" t="s">
        <v>1991</v>
      </c>
    </row>
    <row r="6561" spans="1:5" x14ac:dyDescent="0.2">
      <c r="A6561" s="126">
        <v>6500</v>
      </c>
      <c r="B6561" s="1821"/>
      <c r="D6561" s="2" t="str">
        <f t="shared" si="101"/>
        <v>OK</v>
      </c>
      <c r="E6561" s="4" t="s">
        <v>1991</v>
      </c>
    </row>
    <row r="6562" spans="1:5" x14ac:dyDescent="0.2">
      <c r="A6562" s="126">
        <v>6501</v>
      </c>
      <c r="B6562" s="1821"/>
      <c r="D6562" s="2" t="str">
        <f t="shared" si="101"/>
        <v>OK</v>
      </c>
      <c r="E6562" s="4" t="s">
        <v>1991</v>
      </c>
    </row>
    <row r="6563" spans="1:5" x14ac:dyDescent="0.2">
      <c r="A6563" s="126">
        <v>6502</v>
      </c>
      <c r="B6563" s="1821"/>
      <c r="D6563" s="2" t="str">
        <f t="shared" si="101"/>
        <v>OK</v>
      </c>
      <c r="E6563" s="4" t="s">
        <v>1991</v>
      </c>
    </row>
    <row r="6564" spans="1:5" x14ac:dyDescent="0.2">
      <c r="A6564" s="126">
        <v>6503</v>
      </c>
      <c r="B6564" s="1821"/>
      <c r="D6564" s="2" t="str">
        <f t="shared" si="101"/>
        <v>OK</v>
      </c>
      <c r="E6564" s="4" t="s">
        <v>1991</v>
      </c>
    </row>
    <row r="6565" spans="1:5" x14ac:dyDescent="0.2">
      <c r="A6565" s="126">
        <v>6504</v>
      </c>
      <c r="B6565" s="1821"/>
      <c r="D6565" s="2" t="str">
        <f t="shared" si="101"/>
        <v>OK</v>
      </c>
      <c r="E6565" s="4" t="s">
        <v>1991</v>
      </c>
    </row>
    <row r="6566" spans="1:5" x14ac:dyDescent="0.2">
      <c r="A6566" s="126">
        <v>6505</v>
      </c>
      <c r="B6566" s="1821"/>
      <c r="D6566" s="2" t="str">
        <f t="shared" si="101"/>
        <v>OK</v>
      </c>
      <c r="E6566" s="4" t="s">
        <v>1991</v>
      </c>
    </row>
    <row r="6567" spans="1:5" x14ac:dyDescent="0.2">
      <c r="A6567" s="126">
        <v>6506</v>
      </c>
      <c r="B6567" s="1821"/>
      <c r="D6567" s="2" t="str">
        <f t="shared" si="101"/>
        <v>OK</v>
      </c>
      <c r="E6567" s="4" t="s">
        <v>1991</v>
      </c>
    </row>
    <row r="6568" spans="1:5" x14ac:dyDescent="0.2">
      <c r="A6568" s="126">
        <v>6507</v>
      </c>
      <c r="B6568" s="1821"/>
      <c r="D6568" s="2" t="str">
        <f t="shared" si="101"/>
        <v>OK</v>
      </c>
      <c r="E6568" s="4" t="s">
        <v>1991</v>
      </c>
    </row>
    <row r="6569" spans="1:5" x14ac:dyDescent="0.2">
      <c r="A6569" s="126">
        <v>6508</v>
      </c>
      <c r="B6569" s="1821"/>
      <c r="D6569" s="2" t="str">
        <f t="shared" si="101"/>
        <v>OK</v>
      </c>
      <c r="E6569" s="4" t="s">
        <v>1991</v>
      </c>
    </row>
    <row r="6570" spans="1:5" x14ac:dyDescent="0.2">
      <c r="A6570" s="126">
        <v>6509</v>
      </c>
      <c r="B6570" s="1821"/>
      <c r="D6570" s="2" t="str">
        <f t="shared" si="101"/>
        <v>OK</v>
      </c>
      <c r="E6570" s="4" t="s">
        <v>1991</v>
      </c>
    </row>
    <row r="6571" spans="1:5" x14ac:dyDescent="0.2">
      <c r="A6571" s="126">
        <v>6510</v>
      </c>
      <c r="B6571" s="1821"/>
      <c r="D6571" s="2" t="str">
        <f t="shared" si="101"/>
        <v>OK</v>
      </c>
      <c r="E6571" s="4" t="s">
        <v>1991</v>
      </c>
    </row>
    <row r="6572" spans="1:5" x14ac:dyDescent="0.2">
      <c r="A6572" s="126">
        <v>6511</v>
      </c>
      <c r="B6572" s="1821"/>
      <c r="D6572" s="2" t="str">
        <f t="shared" si="101"/>
        <v>OK</v>
      </c>
      <c r="E6572" s="4" t="s">
        <v>1991</v>
      </c>
    </row>
    <row r="6573" spans="1:5" x14ac:dyDescent="0.2">
      <c r="A6573" s="126">
        <v>6512</v>
      </c>
      <c r="B6573" s="1821"/>
      <c r="D6573" s="2" t="str">
        <f t="shared" si="101"/>
        <v>OK</v>
      </c>
      <c r="E6573" s="4" t="s">
        <v>1991</v>
      </c>
    </row>
    <row r="6574" spans="1:5" x14ac:dyDescent="0.2">
      <c r="A6574" s="126">
        <v>6513</v>
      </c>
      <c r="B6574" s="1821"/>
      <c r="D6574" s="2" t="str">
        <f t="shared" si="101"/>
        <v>OK</v>
      </c>
      <c r="E6574" s="4" t="s">
        <v>1991</v>
      </c>
    </row>
    <row r="6575" spans="1:5" x14ac:dyDescent="0.2">
      <c r="A6575" s="126">
        <v>6514</v>
      </c>
      <c r="B6575" s="1821"/>
      <c r="D6575" s="2" t="str">
        <f t="shared" si="101"/>
        <v>OK</v>
      </c>
      <c r="E6575" s="4" t="s">
        <v>1991</v>
      </c>
    </row>
    <row r="6576" spans="1:5" x14ac:dyDescent="0.2">
      <c r="A6576" s="126">
        <v>6515</v>
      </c>
      <c r="B6576" s="1821"/>
      <c r="D6576" s="2" t="str">
        <f t="shared" si="101"/>
        <v>OK</v>
      </c>
      <c r="E6576" s="4" t="s">
        <v>1991</v>
      </c>
    </row>
    <row r="6577" spans="1:5" x14ac:dyDescent="0.2">
      <c r="A6577" s="126">
        <v>6516</v>
      </c>
      <c r="B6577" s="1821"/>
      <c r="D6577" s="2" t="str">
        <f t="shared" si="101"/>
        <v>OK</v>
      </c>
      <c r="E6577" s="4" t="s">
        <v>1991</v>
      </c>
    </row>
    <row r="6578" spans="1:5" x14ac:dyDescent="0.2">
      <c r="A6578" s="126">
        <v>6517</v>
      </c>
      <c r="B6578" s="1821"/>
      <c r="D6578" s="2" t="str">
        <f t="shared" si="101"/>
        <v>OK</v>
      </c>
      <c r="E6578" s="4" t="s">
        <v>1991</v>
      </c>
    </row>
    <row r="6579" spans="1:5" x14ac:dyDescent="0.2">
      <c r="A6579" s="126">
        <v>6518</v>
      </c>
      <c r="B6579" s="1821"/>
      <c r="D6579" s="2" t="str">
        <f t="shared" si="101"/>
        <v>OK</v>
      </c>
      <c r="E6579" s="4" t="s">
        <v>1991</v>
      </c>
    </row>
    <row r="6580" spans="1:5" x14ac:dyDescent="0.2">
      <c r="A6580" s="126">
        <v>6519</v>
      </c>
      <c r="B6580" s="1821"/>
      <c r="D6580" s="2" t="str">
        <f t="shared" si="101"/>
        <v>OK</v>
      </c>
      <c r="E6580" s="4" t="s">
        <v>1991</v>
      </c>
    </row>
    <row r="6581" spans="1:5" x14ac:dyDescent="0.2">
      <c r="A6581" s="126">
        <v>6520</v>
      </c>
      <c r="B6581" s="1821"/>
      <c r="D6581" s="2" t="str">
        <f t="shared" si="101"/>
        <v>OK</v>
      </c>
      <c r="E6581" s="4" t="s">
        <v>1991</v>
      </c>
    </row>
    <row r="6582" spans="1:5" x14ac:dyDescent="0.2">
      <c r="A6582" s="126">
        <v>6521</v>
      </c>
      <c r="B6582" s="1821"/>
      <c r="D6582" s="2" t="str">
        <f t="shared" si="101"/>
        <v>OK</v>
      </c>
      <c r="E6582" s="4" t="s">
        <v>1991</v>
      </c>
    </row>
    <row r="6583" spans="1:5" x14ac:dyDescent="0.2">
      <c r="A6583" s="126">
        <v>6522</v>
      </c>
      <c r="B6583" s="1821"/>
      <c r="D6583" s="2" t="str">
        <f t="shared" si="101"/>
        <v>OK</v>
      </c>
      <c r="E6583" s="4" t="s">
        <v>1991</v>
      </c>
    </row>
    <row r="6584" spans="1:5" x14ac:dyDescent="0.2">
      <c r="A6584" s="126">
        <v>6523</v>
      </c>
      <c r="B6584" s="1821"/>
      <c r="D6584" s="2" t="str">
        <f t="shared" si="101"/>
        <v>OK</v>
      </c>
      <c r="E6584" s="4" t="s">
        <v>1991</v>
      </c>
    </row>
    <row r="6585" spans="1:5" x14ac:dyDescent="0.2">
      <c r="A6585" s="126">
        <v>6524</v>
      </c>
      <c r="B6585" s="1821"/>
      <c r="D6585" s="2" t="str">
        <f t="shared" si="101"/>
        <v>OK</v>
      </c>
      <c r="E6585" s="4" t="s">
        <v>1991</v>
      </c>
    </row>
    <row r="6586" spans="1:5" x14ac:dyDescent="0.2">
      <c r="A6586" s="126">
        <v>6525</v>
      </c>
      <c r="B6586" s="1821"/>
      <c r="D6586" s="2" t="str">
        <f t="shared" si="101"/>
        <v>OK</v>
      </c>
      <c r="E6586" s="4" t="s">
        <v>1991</v>
      </c>
    </row>
    <row r="6587" spans="1:5" x14ac:dyDescent="0.2">
      <c r="A6587" s="126">
        <v>6526</v>
      </c>
      <c r="B6587" s="1821"/>
      <c r="D6587" s="2" t="str">
        <f t="shared" si="101"/>
        <v>OK</v>
      </c>
      <c r="E6587" s="4" t="s">
        <v>1991</v>
      </c>
    </row>
    <row r="6588" spans="1:5" x14ac:dyDescent="0.2">
      <c r="A6588" s="126">
        <v>6527</v>
      </c>
      <c r="B6588" s="1821"/>
      <c r="D6588" s="2" t="str">
        <f t="shared" si="101"/>
        <v>OK</v>
      </c>
      <c r="E6588" s="4" t="s">
        <v>1991</v>
      </c>
    </row>
    <row r="6589" spans="1:5" x14ac:dyDescent="0.2">
      <c r="A6589" s="126">
        <v>6528</v>
      </c>
      <c r="B6589" s="1821"/>
      <c r="D6589" s="2" t="str">
        <f t="shared" si="101"/>
        <v>OK</v>
      </c>
      <c r="E6589" s="4" t="s">
        <v>1991</v>
      </c>
    </row>
    <row r="6590" spans="1:5" x14ac:dyDescent="0.2">
      <c r="A6590" s="126">
        <v>6529</v>
      </c>
      <c r="B6590" s="1821"/>
      <c r="D6590" s="2" t="str">
        <f t="shared" si="101"/>
        <v>OK</v>
      </c>
      <c r="E6590" s="4" t="s">
        <v>1991</v>
      </c>
    </row>
    <row r="6591" spans="1:5" x14ac:dyDescent="0.2">
      <c r="A6591" s="126">
        <v>6530</v>
      </c>
      <c r="B6591" s="1821"/>
      <c r="D6591" s="2" t="str">
        <f t="shared" ref="D6591:D6654" si="102">IF(ISBLANK(B6591),"OK",IF(A6591-B6591=0,"OK","Error?"))</f>
        <v>OK</v>
      </c>
      <c r="E6591" s="4" t="s">
        <v>1991</v>
      </c>
    </row>
    <row r="6592" spans="1:5" x14ac:dyDescent="0.2">
      <c r="A6592" s="126">
        <v>6531</v>
      </c>
      <c r="B6592" s="1821"/>
      <c r="D6592" s="2" t="str">
        <f t="shared" si="102"/>
        <v>OK</v>
      </c>
      <c r="E6592" s="4" t="s">
        <v>1991</v>
      </c>
    </row>
    <row r="6593" spans="1:5" x14ac:dyDescent="0.2">
      <c r="A6593" s="126">
        <v>6532</v>
      </c>
      <c r="B6593" s="1821"/>
      <c r="D6593" s="2" t="str">
        <f t="shared" si="102"/>
        <v>OK</v>
      </c>
      <c r="E6593" s="4" t="s">
        <v>1991</v>
      </c>
    </row>
    <row r="6594" spans="1:5" x14ac:dyDescent="0.2">
      <c r="A6594" s="126">
        <v>6533</v>
      </c>
      <c r="B6594" s="1821"/>
      <c r="D6594" s="2" t="str">
        <f t="shared" si="102"/>
        <v>OK</v>
      </c>
      <c r="E6594" s="4" t="s">
        <v>1991</v>
      </c>
    </row>
    <row r="6595" spans="1:5" x14ac:dyDescent="0.2">
      <c r="A6595" s="126">
        <v>6534</v>
      </c>
      <c r="B6595" s="1821"/>
      <c r="D6595" s="2" t="str">
        <f t="shared" si="102"/>
        <v>OK</v>
      </c>
      <c r="E6595" s="4" t="s">
        <v>1991</v>
      </c>
    </row>
    <row r="6596" spans="1:5" x14ac:dyDescent="0.2">
      <c r="A6596" s="126">
        <v>6535</v>
      </c>
      <c r="B6596" s="1821"/>
      <c r="D6596" s="2" t="str">
        <f t="shared" si="102"/>
        <v>OK</v>
      </c>
      <c r="E6596" s="4" t="s">
        <v>1991</v>
      </c>
    </row>
    <row r="6597" spans="1:5" x14ac:dyDescent="0.2">
      <c r="A6597" s="126">
        <v>6536</v>
      </c>
      <c r="B6597" s="1821"/>
      <c r="D6597" s="2" t="str">
        <f t="shared" si="102"/>
        <v>OK</v>
      </c>
      <c r="E6597" s="4" t="s">
        <v>1991</v>
      </c>
    </row>
    <row r="6598" spans="1:5" x14ac:dyDescent="0.2">
      <c r="A6598" s="126">
        <v>6537</v>
      </c>
      <c r="B6598" s="1821"/>
      <c r="D6598" s="2" t="str">
        <f t="shared" si="102"/>
        <v>OK</v>
      </c>
      <c r="E6598" s="4" t="s">
        <v>1991</v>
      </c>
    </row>
    <row r="6599" spans="1:5" x14ac:dyDescent="0.2">
      <c r="A6599" s="126">
        <v>6538</v>
      </c>
      <c r="B6599" s="1821"/>
      <c r="D6599" s="2" t="str">
        <f t="shared" si="102"/>
        <v>OK</v>
      </c>
      <c r="E6599" s="4" t="s">
        <v>1991</v>
      </c>
    </row>
    <row r="6600" spans="1:5" x14ac:dyDescent="0.2">
      <c r="A6600" s="126">
        <v>6539</v>
      </c>
      <c r="B6600" s="1821"/>
      <c r="D6600" s="2" t="str">
        <f t="shared" si="102"/>
        <v>OK</v>
      </c>
      <c r="E6600" s="4" t="s">
        <v>1991</v>
      </c>
    </row>
    <row r="6601" spans="1:5" x14ac:dyDescent="0.2">
      <c r="A6601" s="126">
        <v>6540</v>
      </c>
      <c r="B6601" s="1821"/>
      <c r="D6601" s="2" t="str">
        <f t="shared" si="102"/>
        <v>OK</v>
      </c>
      <c r="E6601" s="4" t="s">
        <v>1991</v>
      </c>
    </row>
    <row r="6602" spans="1:5" x14ac:dyDescent="0.2">
      <c r="A6602" s="126">
        <v>6541</v>
      </c>
      <c r="B6602" s="1821"/>
      <c r="D6602" s="2" t="str">
        <f t="shared" si="102"/>
        <v>OK</v>
      </c>
      <c r="E6602" s="4" t="s">
        <v>1991</v>
      </c>
    </row>
    <row r="6603" spans="1:5" x14ac:dyDescent="0.2">
      <c r="A6603" s="126">
        <v>6542</v>
      </c>
      <c r="B6603" s="1821"/>
      <c r="D6603" s="2" t="str">
        <f t="shared" si="102"/>
        <v>OK</v>
      </c>
      <c r="E6603" s="4" t="s">
        <v>1991</v>
      </c>
    </row>
    <row r="6604" spans="1:5" x14ac:dyDescent="0.2">
      <c r="A6604" s="126">
        <v>6543</v>
      </c>
      <c r="B6604" s="1821"/>
      <c r="D6604" s="2" t="str">
        <f t="shared" si="102"/>
        <v>OK</v>
      </c>
      <c r="E6604" s="4" t="s">
        <v>1991</v>
      </c>
    </row>
    <row r="6605" spans="1:5" x14ac:dyDescent="0.2">
      <c r="A6605" s="126">
        <v>6544</v>
      </c>
      <c r="B6605" s="1821"/>
      <c r="D6605" s="2" t="str">
        <f t="shared" si="102"/>
        <v>OK</v>
      </c>
      <c r="E6605" s="4" t="s">
        <v>1991</v>
      </c>
    </row>
    <row r="6606" spans="1:5" x14ac:dyDescent="0.2">
      <c r="A6606" s="126">
        <v>6545</v>
      </c>
      <c r="B6606" s="1821"/>
      <c r="D6606" s="2" t="str">
        <f t="shared" si="102"/>
        <v>OK</v>
      </c>
      <c r="E6606" s="4" t="s">
        <v>1991</v>
      </c>
    </row>
    <row r="6607" spans="1:5" x14ac:dyDescent="0.2">
      <c r="A6607" s="126">
        <v>6546</v>
      </c>
      <c r="B6607" s="1821"/>
      <c r="D6607" s="2" t="str">
        <f t="shared" si="102"/>
        <v>OK</v>
      </c>
      <c r="E6607" s="4" t="s">
        <v>1991</v>
      </c>
    </row>
    <row r="6608" spans="1:5" x14ac:dyDescent="0.2">
      <c r="A6608" s="126">
        <v>6547</v>
      </c>
      <c r="B6608" s="1821"/>
      <c r="D6608" s="2" t="str">
        <f t="shared" si="102"/>
        <v>OK</v>
      </c>
      <c r="E6608" s="4" t="s">
        <v>1991</v>
      </c>
    </row>
    <row r="6609" spans="1:5" x14ac:dyDescent="0.2">
      <c r="A6609" s="126">
        <v>6548</v>
      </c>
      <c r="B6609" s="1821"/>
      <c r="D6609" s="2" t="str">
        <f t="shared" si="102"/>
        <v>OK</v>
      </c>
      <c r="E6609" s="4" t="s">
        <v>1991</v>
      </c>
    </row>
    <row r="6610" spans="1:5" x14ac:dyDescent="0.2">
      <c r="A6610" s="126">
        <v>6549</v>
      </c>
      <c r="B6610" s="1821"/>
      <c r="D6610" s="2" t="str">
        <f t="shared" si="102"/>
        <v>OK</v>
      </c>
      <c r="E6610" s="4" t="s">
        <v>1991</v>
      </c>
    </row>
    <row r="6611" spans="1:5" x14ac:dyDescent="0.2">
      <c r="A6611" s="126">
        <v>6550</v>
      </c>
      <c r="B6611" s="1821"/>
      <c r="D6611" s="2" t="str">
        <f t="shared" si="102"/>
        <v>OK</v>
      </c>
      <c r="E6611" s="4" t="s">
        <v>1991</v>
      </c>
    </row>
    <row r="6612" spans="1:5" x14ac:dyDescent="0.2">
      <c r="A6612" s="126">
        <v>6551</v>
      </c>
      <c r="B6612" s="1821"/>
      <c r="D6612" s="2" t="str">
        <f t="shared" si="102"/>
        <v>OK</v>
      </c>
      <c r="E6612" s="4" t="s">
        <v>1991</v>
      </c>
    </row>
    <row r="6613" spans="1:5" x14ac:dyDescent="0.2">
      <c r="A6613" s="126">
        <v>6552</v>
      </c>
      <c r="B6613" s="1821"/>
      <c r="D6613" s="2" t="str">
        <f t="shared" si="102"/>
        <v>OK</v>
      </c>
      <c r="E6613" s="4" t="s">
        <v>1991</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0</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1895</v>
      </c>
    </row>
    <row r="6842" spans="1:5" x14ac:dyDescent="0.2">
      <c r="A6842" s="126">
        <v>6781</v>
      </c>
      <c r="B6842" s="1821"/>
      <c r="D6842" s="2" t="str">
        <f t="shared" si="105"/>
        <v>OK</v>
      </c>
      <c r="E6842" s="1" t="s">
        <v>1895</v>
      </c>
    </row>
    <row r="6843" spans="1:5" x14ac:dyDescent="0.2">
      <c r="A6843" s="126">
        <v>6782</v>
      </c>
      <c r="B6843" s="1821"/>
      <c r="D6843" s="2" t="str">
        <f t="shared" si="105"/>
        <v>OK</v>
      </c>
      <c r="E6843" s="1" t="s">
        <v>1895</v>
      </c>
    </row>
    <row r="6844" spans="1:5" x14ac:dyDescent="0.2">
      <c r="A6844">
        <v>6783</v>
      </c>
      <c r="B6844" s="1821">
        <f>'Expenditures 15-22'!I5</f>
        <v>7138</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0</v>
      </c>
      <c r="D6848" s="2" t="str">
        <f t="shared" si="106"/>
        <v>Error?</v>
      </c>
    </row>
    <row r="6849" spans="1:4" x14ac:dyDescent="0.2">
      <c r="A6849">
        <v>6788</v>
      </c>
      <c r="B6849" s="1821">
        <f>'Expenditures 15-22'!I8</f>
        <v>0</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0</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0</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0</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0</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0</v>
      </c>
      <c r="D6880" s="2" t="str">
        <f t="shared" si="106"/>
        <v>Error?</v>
      </c>
    </row>
    <row r="6881" spans="1:4" x14ac:dyDescent="0.2">
      <c r="A6881">
        <v>6820</v>
      </c>
      <c r="B6881" s="1821">
        <f>'Expenditures 15-22'!K22</f>
        <v>0</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7138</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0</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0</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790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790</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0</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0</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0</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0</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0</v>
      </c>
      <c r="D6983" s="2" t="str">
        <f t="shared" si="108"/>
        <v>Error?</v>
      </c>
    </row>
    <row r="6984" spans="1:4" x14ac:dyDescent="0.2">
      <c r="A6984">
        <v>6923</v>
      </c>
      <c r="B6984" s="1821">
        <f>'Expenditures 15-22'!K86</f>
        <v>0</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0</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7138</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0</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0</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0</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116130</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0</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190556</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0</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0</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0</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0</v>
      </c>
      <c r="D7073" s="2" t="str">
        <f t="shared" si="109"/>
        <v>Error?</v>
      </c>
    </row>
    <row r="7074" spans="1:4" x14ac:dyDescent="0.2">
      <c r="A7074">
        <v>7013</v>
      </c>
      <c r="B7074" s="1821">
        <f>'Expenditures 15-22'!K216</f>
        <v>0</v>
      </c>
      <c r="D7074" s="2" t="str">
        <f t="shared" si="109"/>
        <v>Error?</v>
      </c>
    </row>
    <row r="7075" spans="1:4" x14ac:dyDescent="0.2">
      <c r="A7075">
        <v>7014</v>
      </c>
      <c r="B7075" s="1821">
        <f>'Expenditures 15-22'!D218</f>
        <v>0</v>
      </c>
      <c r="D7075" s="2" t="str">
        <f t="shared" si="109"/>
        <v>Error?</v>
      </c>
    </row>
    <row r="7076" spans="1:4" x14ac:dyDescent="0.2">
      <c r="A7076">
        <v>7015</v>
      </c>
      <c r="B7076" s="1821">
        <f>'Expenditures 15-22'!K218</f>
        <v>0</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0</v>
      </c>
      <c r="D7079" s="2" t="str">
        <f t="shared" si="109"/>
        <v>Error?</v>
      </c>
    </row>
    <row r="7080" spans="1:4" x14ac:dyDescent="0.2">
      <c r="A7080">
        <v>7019</v>
      </c>
      <c r="B7080" s="1821">
        <f>'Expenditures 15-22'!K226</f>
        <v>0</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116130</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116130</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0</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0</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116130</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116130</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116130</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116130</v>
      </c>
      <c r="D7224" s="2" t="str">
        <f t="shared" si="111"/>
        <v>Error?</v>
      </c>
    </row>
    <row r="7225" spans="1:4" x14ac:dyDescent="0.2">
      <c r="A7225">
        <v>7164</v>
      </c>
      <c r="B7225" s="1821">
        <f>'Expenditures 15-22'!K343</f>
        <v>74426</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0</v>
      </c>
      <c r="D7246" s="2" t="str">
        <f t="shared" si="112"/>
        <v>Error?</v>
      </c>
    </row>
    <row r="7247" spans="1:4" x14ac:dyDescent="0.2">
      <c r="A7247">
        <f t="shared" si="113"/>
        <v>7186</v>
      </c>
      <c r="B7247" s="1821">
        <f>'Expenditures 15-22'!E7</f>
        <v>0</v>
      </c>
      <c r="D7247" s="2" t="str">
        <f t="shared" si="112"/>
        <v>Error?</v>
      </c>
    </row>
    <row r="7248" spans="1:4" x14ac:dyDescent="0.2">
      <c r="A7248">
        <f t="shared" si="113"/>
        <v>7187</v>
      </c>
      <c r="B7248" s="1821">
        <f>'Expenditures 15-22'!F7</f>
        <v>0</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0</v>
      </c>
      <c r="D7251" s="2" t="str">
        <f t="shared" si="112"/>
        <v>Error?</v>
      </c>
    </row>
    <row r="7252" spans="1:4" x14ac:dyDescent="0.2">
      <c r="A7252">
        <f t="shared" si="113"/>
        <v>7191</v>
      </c>
      <c r="B7252" s="1821">
        <f>'Expenditures 15-22'!D9</f>
        <v>0</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0</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0</v>
      </c>
      <c r="D7263" s="2" t="str">
        <f t="shared" si="112"/>
        <v>Error?</v>
      </c>
    </row>
    <row r="7264" spans="1:4" x14ac:dyDescent="0.2">
      <c r="A7264">
        <f t="shared" si="113"/>
        <v>7203</v>
      </c>
      <c r="B7264" s="1821">
        <f>'Expenditures 15-22'!D17</f>
        <v>0</v>
      </c>
      <c r="D7264" s="2" t="str">
        <f t="shared" si="112"/>
        <v>Error?</v>
      </c>
    </row>
    <row r="7265" spans="1:5" x14ac:dyDescent="0.2">
      <c r="A7265">
        <f t="shared" si="113"/>
        <v>7204</v>
      </c>
      <c r="B7265" s="1821">
        <f>'Expenditures 15-22'!E17</f>
        <v>0</v>
      </c>
      <c r="D7265" s="2" t="str">
        <f t="shared" si="112"/>
        <v>Error?</v>
      </c>
    </row>
    <row r="7266" spans="1:5" x14ac:dyDescent="0.2">
      <c r="A7266">
        <f t="shared" si="113"/>
        <v>7205</v>
      </c>
      <c r="B7266" s="1821">
        <f>'Expenditures 15-22'!F17</f>
        <v>0</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7138</v>
      </c>
      <c r="D7624" s="2" t="str">
        <f t="shared" si="124"/>
        <v>Error?</v>
      </c>
      <c r="E7624" s="2" t="s">
        <v>19</v>
      </c>
    </row>
    <row r="7625" spans="1:5" x14ac:dyDescent="0.2">
      <c r="A7625">
        <f t="shared" si="123"/>
        <v>7564</v>
      </c>
      <c r="B7625" s="1821">
        <f>'Cap Outlay Deprec 26'!I17</f>
        <v>713.8</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863975.8</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1992</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1992</v>
      </c>
    </row>
    <row r="7641" spans="1:6" x14ac:dyDescent="0.2">
      <c r="A7641" s="126">
        <f t="shared" si="125"/>
        <v>7580</v>
      </c>
      <c r="B7641" s="1822"/>
      <c r="D7641" s="2" t="str">
        <f t="shared" si="124"/>
        <v>OK</v>
      </c>
      <c r="E7641" s="4" t="s">
        <v>1992</v>
      </c>
    </row>
    <row r="7642" spans="1:6" x14ac:dyDescent="0.2">
      <c r="A7642" s="126">
        <f t="shared" si="125"/>
        <v>7581</v>
      </c>
      <c r="B7642" s="1822"/>
      <c r="D7642" s="2" t="str">
        <f t="shared" si="124"/>
        <v>OK</v>
      </c>
      <c r="E7642" s="4" t="s">
        <v>1992</v>
      </c>
    </row>
    <row r="7643" spans="1:6" x14ac:dyDescent="0.2">
      <c r="A7643" s="126">
        <f t="shared" si="125"/>
        <v>7582</v>
      </c>
      <c r="B7643" s="1822"/>
      <c r="D7643" s="2" t="str">
        <f t="shared" si="124"/>
        <v>OK</v>
      </c>
      <c r="E7643" s="4" t="s">
        <v>1992</v>
      </c>
    </row>
    <row r="7644" spans="1:6" x14ac:dyDescent="0.2">
      <c r="A7644" s="126">
        <f t="shared" si="125"/>
        <v>7583</v>
      </c>
      <c r="B7644" s="1822"/>
      <c r="D7644" s="2" t="str">
        <f t="shared" si="124"/>
        <v>OK</v>
      </c>
      <c r="E7644" s="4" t="s">
        <v>1992</v>
      </c>
    </row>
    <row r="7645" spans="1:6" x14ac:dyDescent="0.2">
      <c r="A7645" s="126">
        <f t="shared" si="125"/>
        <v>7584</v>
      </c>
      <c r="B7645" s="1822"/>
      <c r="D7645" s="2" t="str">
        <f t="shared" si="124"/>
        <v>OK</v>
      </c>
      <c r="E7645" s="4" t="s">
        <v>1992</v>
      </c>
    </row>
    <row r="7646" spans="1:6" x14ac:dyDescent="0.2">
      <c r="A7646" s="126">
        <f t="shared" si="125"/>
        <v>7585</v>
      </c>
      <c r="B7646" s="1822"/>
      <c r="D7646" s="2" t="str">
        <f t="shared" si="124"/>
        <v>OK</v>
      </c>
      <c r="E7646" s="4" t="s">
        <v>1992</v>
      </c>
    </row>
    <row r="7647" spans="1:6" x14ac:dyDescent="0.2">
      <c r="A7647" s="126">
        <f t="shared" si="125"/>
        <v>7586</v>
      </c>
      <c r="B7647" s="1822"/>
      <c r="D7647" s="2" t="str">
        <f t="shared" si="124"/>
        <v>OK</v>
      </c>
      <c r="E7647" s="4" t="s">
        <v>1992</v>
      </c>
    </row>
    <row r="7648" spans="1:6" x14ac:dyDescent="0.2">
      <c r="A7648" s="126">
        <f t="shared" si="125"/>
        <v>7587</v>
      </c>
      <c r="B7648" s="1822"/>
      <c r="D7648" s="2" t="str">
        <f t="shared" si="124"/>
        <v>OK</v>
      </c>
      <c r="E7648" s="4" t="s">
        <v>1992</v>
      </c>
    </row>
    <row r="7649" spans="1:5" x14ac:dyDescent="0.2">
      <c r="A7649" s="126">
        <f t="shared" si="125"/>
        <v>7588</v>
      </c>
      <c r="B7649" s="1822"/>
      <c r="D7649" s="2" t="str">
        <f t="shared" si="124"/>
        <v>OK</v>
      </c>
      <c r="E7649" s="4" t="s">
        <v>1992</v>
      </c>
    </row>
    <row r="7650" spans="1:5" x14ac:dyDescent="0.2">
      <c r="A7650" s="126">
        <f t="shared" si="125"/>
        <v>7589</v>
      </c>
      <c r="B7650" s="1822"/>
      <c r="D7650" s="2" t="str">
        <f t="shared" si="124"/>
        <v>OK</v>
      </c>
      <c r="E7650" s="4" t="s">
        <v>1992</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0</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0</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0</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0</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0</v>
      </c>
      <c r="D7685" s="2" t="str">
        <f t="shared" si="126"/>
        <v>Error?</v>
      </c>
      <c r="E7685" s="2" t="s">
        <v>821</v>
      </c>
    </row>
    <row r="7686" spans="1:5" x14ac:dyDescent="0.2">
      <c r="A7686">
        <v>7625</v>
      </c>
      <c r="B7686" s="1821">
        <f>'Acct Summary 7-8'!D73</f>
        <v>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0</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0</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0</v>
      </c>
      <c r="D7706" s="2" t="str">
        <f t="shared" si="126"/>
        <v>Error?</v>
      </c>
      <c r="E7706" s="2" t="s">
        <v>821</v>
      </c>
    </row>
    <row r="7707" spans="1:5" x14ac:dyDescent="0.2">
      <c r="A7707">
        <v>7646</v>
      </c>
      <c r="B7707" s="1821">
        <f>'Expenditures 15-22'!I64</f>
        <v>0</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0</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0</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0</v>
      </c>
      <c r="D7719" s="2" t="str">
        <f t="shared" si="126"/>
        <v>Error?</v>
      </c>
      <c r="E7719" s="2" t="s">
        <v>821</v>
      </c>
    </row>
    <row r="7720" spans="1:6" x14ac:dyDescent="0.2">
      <c r="A7720">
        <v>7659</v>
      </c>
      <c r="B7720" s="1821">
        <f>'Rest Tax Levies-Tort Im 25'!H14</f>
        <v>179362</v>
      </c>
      <c r="D7720" s="2" t="str">
        <f t="shared" si="126"/>
        <v>Error?</v>
      </c>
      <c r="E7720" s="2" t="s">
        <v>821</v>
      </c>
    </row>
    <row r="7721" spans="1:6" x14ac:dyDescent="0.2">
      <c r="A7721">
        <v>7660</v>
      </c>
      <c r="B7721" s="1821">
        <f>'Rest Tax Levies-Tort Im 25'!K14</f>
        <v>0</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0</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0</v>
      </c>
      <c r="D7759" s="2" t="str">
        <f t="shared" si="127"/>
        <v>Error?</v>
      </c>
      <c r="E7759" s="4" t="s">
        <v>1321</v>
      </c>
    </row>
    <row r="7760" spans="1:6" x14ac:dyDescent="0.2">
      <c r="A7760">
        <v>7699</v>
      </c>
      <c r="B7760" s="1821">
        <f>'Aud Quest 2'!J90</f>
        <v>0</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1994</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1823</v>
      </c>
    </row>
    <row r="7775" spans="1:5" x14ac:dyDescent="0.2">
      <c r="A7775">
        <v>7714</v>
      </c>
      <c r="B7775" s="1821">
        <f>'Expenditures 15-22'!H133</f>
        <v>0</v>
      </c>
      <c r="D7775" s="2" t="str">
        <f t="shared" si="127"/>
        <v>Error?</v>
      </c>
      <c r="E7775" s="4" t="s">
        <v>1823</v>
      </c>
    </row>
    <row r="7776" spans="1:5" x14ac:dyDescent="0.2">
      <c r="A7776">
        <v>7715</v>
      </c>
      <c r="B7776" s="1821">
        <f>'Expenditures 15-22'!K133</f>
        <v>0</v>
      </c>
      <c r="D7776" s="2" t="str">
        <f t="shared" si="127"/>
        <v>Error?</v>
      </c>
      <c r="E7776" s="4" t="s">
        <v>1823</v>
      </c>
    </row>
    <row r="7777" spans="1:5" x14ac:dyDescent="0.2">
      <c r="A7777">
        <v>7716</v>
      </c>
      <c r="B7777" s="1821">
        <f>'Expenditures 15-22'!H157</f>
        <v>0</v>
      </c>
      <c r="D7777" s="2" t="str">
        <f t="shared" si="127"/>
        <v>Error?</v>
      </c>
      <c r="E7777" s="4" t="s">
        <v>1823</v>
      </c>
    </row>
    <row r="7778" spans="1:5" x14ac:dyDescent="0.2">
      <c r="A7778">
        <v>7717</v>
      </c>
      <c r="B7778" s="1821">
        <f>'Expenditures 15-22'!K157</f>
        <v>0</v>
      </c>
      <c r="D7778" s="2" t="str">
        <f t="shared" si="127"/>
        <v>Error?</v>
      </c>
      <c r="E7778" s="4" t="s">
        <v>1823</v>
      </c>
    </row>
    <row r="7779" spans="1:5" x14ac:dyDescent="0.2">
      <c r="A7779">
        <v>7718</v>
      </c>
      <c r="B7779" s="1821">
        <f>'Expenditures 15-22'!H158</f>
        <v>0</v>
      </c>
      <c r="D7779" s="2" t="str">
        <f t="shared" si="127"/>
        <v>Error?</v>
      </c>
      <c r="E7779" s="4" t="s">
        <v>1823</v>
      </c>
    </row>
    <row r="7780" spans="1:5" x14ac:dyDescent="0.2">
      <c r="A7780">
        <v>7719</v>
      </c>
      <c r="B7780" s="1821">
        <f>'Expenditures 15-22'!K158</f>
        <v>0</v>
      </c>
      <c r="D7780" s="2" t="str">
        <f t="shared" si="127"/>
        <v>Error?</v>
      </c>
      <c r="E7780" s="4" t="s">
        <v>1823</v>
      </c>
    </row>
    <row r="7781" spans="1:5" x14ac:dyDescent="0.2">
      <c r="A7781">
        <v>7720</v>
      </c>
      <c r="B7781" s="1821">
        <f>'Expenditures 15-22'!H159</f>
        <v>0</v>
      </c>
      <c r="D7781" s="2" t="str">
        <f t="shared" si="127"/>
        <v>Error?</v>
      </c>
      <c r="E7781" s="4" t="s">
        <v>1823</v>
      </c>
    </row>
    <row r="7782" spans="1:5" x14ac:dyDescent="0.2">
      <c r="A7782">
        <v>7721</v>
      </c>
      <c r="B7782" s="1821">
        <f>'Expenditures 15-22'!K159</f>
        <v>0</v>
      </c>
      <c r="D7782" s="2" t="str">
        <f t="shared" si="127"/>
        <v>Error?</v>
      </c>
      <c r="E7782" s="4" t="s">
        <v>1823</v>
      </c>
    </row>
    <row r="7783" spans="1:5" x14ac:dyDescent="0.2">
      <c r="A7783">
        <v>7722</v>
      </c>
      <c r="B7783" s="1821">
        <f>'Expenditures 15-22'!D282</f>
        <v>0</v>
      </c>
      <c r="D7783" s="2" t="str">
        <f t="shared" si="127"/>
        <v>Error?</v>
      </c>
      <c r="E7783" s="4" t="s">
        <v>1823</v>
      </c>
    </row>
    <row r="7784" spans="1:5" x14ac:dyDescent="0.2">
      <c r="A7784">
        <v>7723</v>
      </c>
      <c r="B7784" s="1821">
        <f>'Expenditures 15-22'!K282</f>
        <v>0</v>
      </c>
      <c r="D7784" s="2" t="str">
        <f t="shared" si="127"/>
        <v>Error?</v>
      </c>
      <c r="E7784" s="4" t="s">
        <v>1823</v>
      </c>
    </row>
    <row r="7785" spans="1:5" x14ac:dyDescent="0.2">
      <c r="A7785">
        <v>7724</v>
      </c>
      <c r="B7785" s="1821">
        <f>'Expenditures 15-22'!H332</f>
        <v>0</v>
      </c>
      <c r="D7785" s="2" t="str">
        <f t="shared" si="127"/>
        <v>Error?</v>
      </c>
      <c r="E7785" s="4" t="s">
        <v>1823</v>
      </c>
    </row>
    <row r="7786" spans="1:5" x14ac:dyDescent="0.2">
      <c r="A7786">
        <v>7725</v>
      </c>
      <c r="B7786" s="1821">
        <f>'Expenditures 15-22'!K332</f>
        <v>0</v>
      </c>
      <c r="D7786" s="2" t="str">
        <f t="shared" si="127"/>
        <v>Error?</v>
      </c>
      <c r="E7786" s="4" t="s">
        <v>1823</v>
      </c>
    </row>
    <row r="7787" spans="1:5" x14ac:dyDescent="0.2">
      <c r="A7787">
        <v>7726</v>
      </c>
      <c r="B7787" s="1821">
        <f>'Expenditures 15-22'!H333</f>
        <v>0</v>
      </c>
      <c r="D7787" s="2" t="str">
        <f t="shared" si="127"/>
        <v>Error?</v>
      </c>
      <c r="E7787" s="4" t="s">
        <v>1823</v>
      </c>
    </row>
    <row r="7788" spans="1:5" x14ac:dyDescent="0.2">
      <c r="A7788">
        <v>7727</v>
      </c>
      <c r="B7788" s="1821">
        <f>'Expenditures 15-22'!K333</f>
        <v>0</v>
      </c>
      <c r="D7788" s="2" t="str">
        <f t="shared" si="127"/>
        <v>Error?</v>
      </c>
      <c r="E7788" s="4" t="s">
        <v>1823</v>
      </c>
    </row>
    <row r="7789" spans="1:5" x14ac:dyDescent="0.2">
      <c r="A7789">
        <v>7728</v>
      </c>
      <c r="B7789" s="1821">
        <f>'Expenditures 15-22'!H334</f>
        <v>0</v>
      </c>
      <c r="D7789" s="2" t="str">
        <f t="shared" si="127"/>
        <v>Error?</v>
      </c>
      <c r="E7789" s="4" t="s">
        <v>1823</v>
      </c>
    </row>
    <row r="7790" spans="1:5" x14ac:dyDescent="0.2">
      <c r="A7790">
        <v>7729</v>
      </c>
      <c r="B7790" s="1821">
        <f>'Expenditures 15-22'!K334</f>
        <v>0</v>
      </c>
      <c r="D7790" s="2" t="str">
        <f t="shared" si="127"/>
        <v>Error?</v>
      </c>
      <c r="E7790" s="4" t="s">
        <v>1823</v>
      </c>
    </row>
    <row r="7791" spans="1:5" x14ac:dyDescent="0.2">
      <c r="A7791">
        <v>7730</v>
      </c>
      <c r="B7791" s="1821">
        <f>'Expenditures 15-22'!H354</f>
        <v>0</v>
      </c>
      <c r="D7791" s="2" t="str">
        <f t="shared" si="127"/>
        <v>Error?</v>
      </c>
      <c r="E7791" s="4" t="s">
        <v>1823</v>
      </c>
    </row>
    <row r="7792" spans="1:5" x14ac:dyDescent="0.2">
      <c r="A7792">
        <v>7731</v>
      </c>
      <c r="B7792" s="1821">
        <f>'Expenditures 15-22'!K354</f>
        <v>0</v>
      </c>
      <c r="D7792" s="2" t="str">
        <f t="shared" si="127"/>
        <v>Error?</v>
      </c>
      <c r="E7792" s="4" t="s">
        <v>1823</v>
      </c>
    </row>
    <row r="7793" spans="1:5" x14ac:dyDescent="0.2">
      <c r="A7793">
        <v>7732</v>
      </c>
      <c r="B7793" s="1821">
        <f>'Expenditures 15-22'!H355</f>
        <v>0</v>
      </c>
      <c r="D7793" s="2" t="str">
        <f t="shared" si="127"/>
        <v>Error?</v>
      </c>
      <c r="E7793" s="4" t="s">
        <v>1823</v>
      </c>
    </row>
    <row r="7794" spans="1:5" x14ac:dyDescent="0.2">
      <c r="A7794">
        <v>7733</v>
      </c>
      <c r="B7794" s="1821">
        <f>'Expenditures 15-22'!K355</f>
        <v>0</v>
      </c>
      <c r="D7794" s="2" t="str">
        <f t="shared" si="127"/>
        <v>Error?</v>
      </c>
      <c r="E7794" s="4" t="s">
        <v>1823</v>
      </c>
    </row>
    <row r="7795" spans="1:5" x14ac:dyDescent="0.2">
      <c r="A7795">
        <v>7734</v>
      </c>
      <c r="B7795" s="1821">
        <f>'Expenditures 15-22'!E138</f>
        <v>0</v>
      </c>
      <c r="D7795" s="2" t="str">
        <f t="shared" si="127"/>
        <v>Error?</v>
      </c>
      <c r="E7795" s="4" t="s">
        <v>1823</v>
      </c>
    </row>
    <row r="7796" spans="1:5" x14ac:dyDescent="0.2">
      <c r="A7796">
        <v>7735</v>
      </c>
      <c r="B7796" s="1821">
        <f>'Acct Summary 7-8'!J15</f>
        <v>0</v>
      </c>
      <c r="D7796" s="2" t="str">
        <f t="shared" si="127"/>
        <v>Error?</v>
      </c>
      <c r="E7796" s="4" t="s">
        <v>1823</v>
      </c>
    </row>
    <row r="7797" spans="1:5" x14ac:dyDescent="0.2">
      <c r="A7797" s="126">
        <v>7736</v>
      </c>
      <c r="B7797" s="1821"/>
      <c r="D7797" s="2" t="str">
        <f t="shared" si="127"/>
        <v>OK</v>
      </c>
      <c r="E7797" s="4" t="s">
        <v>1976</v>
      </c>
    </row>
    <row r="7798" spans="1:5" x14ac:dyDescent="0.2">
      <c r="A7798" s="126">
        <v>7737</v>
      </c>
      <c r="B7798" s="1821"/>
      <c r="D7798" s="2" t="str">
        <f t="shared" si="127"/>
        <v>OK</v>
      </c>
      <c r="E7798" s="4" t="s">
        <v>1976</v>
      </c>
    </row>
    <row r="7799" spans="1:5" x14ac:dyDescent="0.2">
      <c r="A7799" s="126">
        <v>7738</v>
      </c>
      <c r="B7799" s="1821"/>
      <c r="D7799" s="2" t="str">
        <f t="shared" si="127"/>
        <v>OK</v>
      </c>
      <c r="E7799" s="4" t="s">
        <v>1976</v>
      </c>
    </row>
    <row r="7800" spans="1:5" x14ac:dyDescent="0.2">
      <c r="A7800">
        <v>7739</v>
      </c>
      <c r="B7800" s="1821">
        <f>'Rest Tax Levies-Tort Im 25'!K23</f>
        <v>0</v>
      </c>
      <c r="D7800" s="2" t="str">
        <f t="shared" si="127"/>
        <v>Error?</v>
      </c>
      <c r="E7800" s="4" t="s">
        <v>1963</v>
      </c>
    </row>
    <row r="7801" spans="1:5" x14ac:dyDescent="0.2">
      <c r="A7801">
        <v>7740</v>
      </c>
      <c r="B7801" s="1821">
        <f>'Revenues 9-14'!C120</f>
        <v>0</v>
      </c>
      <c r="D7801" s="2" t="str">
        <f t="shared" si="127"/>
        <v>Error?</v>
      </c>
      <c r="E7801" s="4" t="s">
        <v>1897</v>
      </c>
    </row>
    <row r="7802" spans="1:5" x14ac:dyDescent="0.2">
      <c r="A7802">
        <v>7741</v>
      </c>
      <c r="B7802" s="1821">
        <f>'Revenues 9-14'!D120</f>
        <v>0</v>
      </c>
      <c r="D7802" s="2" t="str">
        <f t="shared" si="127"/>
        <v>Error?</v>
      </c>
      <c r="E7802" s="4" t="s">
        <v>1897</v>
      </c>
    </row>
    <row r="7803" spans="1:5" x14ac:dyDescent="0.2">
      <c r="A7803">
        <v>7742</v>
      </c>
      <c r="B7803" s="1821">
        <f>'Revenues 9-14'!E120</f>
        <v>0</v>
      </c>
      <c r="D7803" s="2" t="str">
        <f t="shared" si="127"/>
        <v>Error?</v>
      </c>
      <c r="E7803" s="4" t="s">
        <v>1897</v>
      </c>
    </row>
    <row r="7804" spans="1:5" x14ac:dyDescent="0.2">
      <c r="A7804">
        <v>7743</v>
      </c>
      <c r="B7804" s="1821">
        <f>'Revenues 9-14'!F120</f>
        <v>0</v>
      </c>
      <c r="D7804" s="2" t="str">
        <f t="shared" si="127"/>
        <v>Error?</v>
      </c>
      <c r="E7804" s="4" t="s">
        <v>1897</v>
      </c>
    </row>
    <row r="7805" spans="1:5" x14ac:dyDescent="0.2">
      <c r="A7805">
        <v>7744</v>
      </c>
      <c r="B7805" s="1821">
        <f>'Revenues 9-14'!G120</f>
        <v>0</v>
      </c>
      <c r="D7805" s="2" t="str">
        <f t="shared" si="127"/>
        <v>Error?</v>
      </c>
      <c r="E7805" s="4" t="s">
        <v>1897</v>
      </c>
    </row>
    <row r="7806" spans="1:5" x14ac:dyDescent="0.2">
      <c r="A7806">
        <v>7745</v>
      </c>
      <c r="B7806" s="1821">
        <f>'Revenues 9-14'!H120</f>
        <v>0</v>
      </c>
      <c r="D7806" s="2" t="str">
        <f t="shared" si="127"/>
        <v>Error?</v>
      </c>
      <c r="E7806" s="4" t="s">
        <v>1897</v>
      </c>
    </row>
    <row r="7807" spans="1:5" x14ac:dyDescent="0.2">
      <c r="A7807">
        <v>7746</v>
      </c>
      <c r="B7807" s="1821">
        <f>'Revenues 9-14'!J120</f>
        <v>0</v>
      </c>
      <c r="D7807" s="2" t="str">
        <f t="shared" ref="D7807:D7821" si="128">IF(ISBLANK(B7807),"OK",IF(A7807-B7807=0,"OK","Error?"))</f>
        <v>Error?</v>
      </c>
      <c r="E7807" s="4" t="s">
        <v>1897</v>
      </c>
    </row>
    <row r="7808" spans="1:5" x14ac:dyDescent="0.2">
      <c r="A7808">
        <v>7747</v>
      </c>
      <c r="B7808" s="1821">
        <f>'Revenues 9-14'!K120</f>
        <v>0</v>
      </c>
      <c r="D7808" s="2" t="str">
        <f t="shared" si="128"/>
        <v>Error?</v>
      </c>
      <c r="E7808" s="4" t="s">
        <v>1897</v>
      </c>
    </row>
    <row r="7809" spans="1:5" x14ac:dyDescent="0.2">
      <c r="A7809">
        <v>7748</v>
      </c>
      <c r="B7809" s="1821">
        <f>'Revenues 9-14'!C261</f>
        <v>0</v>
      </c>
      <c r="D7809" s="2" t="str">
        <f t="shared" si="128"/>
        <v>Error?</v>
      </c>
      <c r="E7809" s="4" t="s">
        <v>1898</v>
      </c>
    </row>
    <row r="7810" spans="1:5" x14ac:dyDescent="0.2">
      <c r="A7810">
        <v>7749</v>
      </c>
      <c r="B7810" s="1821">
        <f>'Revenues 9-14'!D261</f>
        <v>0</v>
      </c>
      <c r="D7810" s="2" t="str">
        <f t="shared" si="128"/>
        <v>Error?</v>
      </c>
      <c r="E7810" s="4" t="s">
        <v>1898</v>
      </c>
    </row>
    <row r="7811" spans="1:5" x14ac:dyDescent="0.2">
      <c r="A7811">
        <v>7750</v>
      </c>
      <c r="B7811" s="1821">
        <f>'Revenues 9-14'!F261</f>
        <v>0</v>
      </c>
      <c r="D7811" s="2" t="str">
        <f t="shared" si="128"/>
        <v>Error?</v>
      </c>
      <c r="E7811" s="4" t="s">
        <v>1898</v>
      </c>
    </row>
    <row r="7812" spans="1:5" x14ac:dyDescent="0.2">
      <c r="A7812">
        <v>7751</v>
      </c>
      <c r="B7812" s="1821">
        <f>'Revenues 9-14'!G261</f>
        <v>0</v>
      </c>
      <c r="D7812" s="2" t="str">
        <f t="shared" si="128"/>
        <v>Error?</v>
      </c>
      <c r="E7812" s="4" t="s">
        <v>1898</v>
      </c>
    </row>
    <row r="7813" spans="1:5" x14ac:dyDescent="0.2">
      <c r="A7813">
        <v>7752</v>
      </c>
      <c r="B7813" s="1821">
        <f>'Revenues 9-14'!C262</f>
        <v>0</v>
      </c>
      <c r="D7813" s="2" t="str">
        <f t="shared" si="128"/>
        <v>Error?</v>
      </c>
      <c r="E7813" s="4" t="s">
        <v>1899</v>
      </c>
    </row>
    <row r="7814" spans="1:5" x14ac:dyDescent="0.2">
      <c r="A7814">
        <v>7753</v>
      </c>
      <c r="B7814" s="1821">
        <f>'Revenues 9-14'!D262</f>
        <v>0</v>
      </c>
      <c r="D7814" s="2" t="str">
        <f t="shared" si="128"/>
        <v>Error?</v>
      </c>
      <c r="E7814" s="4" t="s">
        <v>1899</v>
      </c>
    </row>
    <row r="7815" spans="1:5" x14ac:dyDescent="0.2">
      <c r="A7815">
        <v>7754</v>
      </c>
      <c r="B7815" s="1821">
        <f>'Revenues 9-14'!F262</f>
        <v>0</v>
      </c>
      <c r="D7815" s="2" t="str">
        <f t="shared" si="128"/>
        <v>Error?</v>
      </c>
      <c r="E7815" s="4" t="s">
        <v>1899</v>
      </c>
    </row>
    <row r="7816" spans="1:5" x14ac:dyDescent="0.2">
      <c r="A7816">
        <v>7755</v>
      </c>
      <c r="B7816" s="1821">
        <f>'Revenues 9-14'!G262</f>
        <v>0</v>
      </c>
      <c r="D7816" s="2" t="str">
        <f t="shared" si="128"/>
        <v>Error?</v>
      </c>
      <c r="E7816" s="4" t="s">
        <v>1899</v>
      </c>
    </row>
    <row r="7817" spans="1:5" x14ac:dyDescent="0.2">
      <c r="A7817">
        <v>7756</v>
      </c>
      <c r="B7817" s="1821">
        <f>'Short-Term Long-Term Debt 24'!C49</f>
        <v>416935</v>
      </c>
      <c r="D7817" s="2" t="str">
        <f t="shared" si="128"/>
        <v>Error?</v>
      </c>
      <c r="E7817" s="4" t="s">
        <v>1963</v>
      </c>
    </row>
    <row r="7818" spans="1:5" x14ac:dyDescent="0.2">
      <c r="A7818">
        <v>7757</v>
      </c>
      <c r="B7818" s="1821">
        <f>'PCTC-OEPP 27-28'!F172</f>
        <v>469268.69</v>
      </c>
      <c r="D7818" s="2" t="str">
        <f t="shared" si="128"/>
        <v>Error?</v>
      </c>
      <c r="E7818" s="4" t="s">
        <v>1977</v>
      </c>
    </row>
    <row r="7819" spans="1:5" x14ac:dyDescent="0.2">
      <c r="A7819">
        <v>7758</v>
      </c>
      <c r="B7819" s="1821">
        <f>'PCTC-OEPP 27-28'!F173</f>
        <v>199.21</v>
      </c>
      <c r="D7819" s="2" t="str">
        <f t="shared" si="128"/>
        <v>Error?</v>
      </c>
      <c r="E7819" s="4" t="s">
        <v>1977</v>
      </c>
    </row>
    <row r="7820" spans="1:5" x14ac:dyDescent="0.2">
      <c r="A7820">
        <v>7759</v>
      </c>
      <c r="B7820" s="1821">
        <f>'ICR Computation 30'!E40</f>
        <v>0</v>
      </c>
      <c r="D7820" s="2" t="str">
        <f t="shared" si="128"/>
        <v>Error?</v>
      </c>
    </row>
    <row r="7821" spans="1:5" x14ac:dyDescent="0.2">
      <c r="A7821">
        <v>7760</v>
      </c>
      <c r="B7821" s="1821">
        <f>'ICR Computation 30'!G40</f>
        <v>0</v>
      </c>
      <c r="D7821" s="2" t="str">
        <f t="shared" si="128"/>
        <v>Error?</v>
      </c>
    </row>
    <row r="7822" spans="1:5" x14ac:dyDescent="0.2">
      <c r="A7822" s="1">
        <v>7761</v>
      </c>
      <c r="B7822" s="1821">
        <f>'PCTC-OEPP 27-28'!F14</f>
        <v>16080864</v>
      </c>
      <c r="D7822" s="4" t="s">
        <v>1994</v>
      </c>
      <c r="E7822" s="4" t="s">
        <v>1995</v>
      </c>
    </row>
    <row r="7823" spans="1:5" x14ac:dyDescent="0.2">
      <c r="A7823" s="1">
        <v>7762</v>
      </c>
      <c r="B7823" s="1821">
        <f>'PCTC-OEPP 27-28'!F30</f>
        <v>0</v>
      </c>
      <c r="D7823" s="4" t="s">
        <v>1994</v>
      </c>
      <c r="E7823" s="4" t="s">
        <v>1995</v>
      </c>
    </row>
    <row r="7824" spans="1:5" x14ac:dyDescent="0.2">
      <c r="A7824" s="1">
        <v>7763</v>
      </c>
      <c r="B7824" s="1821">
        <f>'PCTC-OEPP 27-28'!F31</f>
        <v>0</v>
      </c>
      <c r="D7824" s="4" t="s">
        <v>1994</v>
      </c>
      <c r="E7824" s="4" t="s">
        <v>1995</v>
      </c>
    </row>
    <row r="7825" spans="1:5" x14ac:dyDescent="0.2">
      <c r="A7825" s="1">
        <v>7764</v>
      </c>
      <c r="B7825" s="1821">
        <f>'PCTC-OEPP 27-28'!F32</f>
        <v>0</v>
      </c>
      <c r="D7825" s="2" t="str">
        <f t="shared" ref="D7825:D7887" si="129">IF(ISBLANK(B7825),"OK",IF(A7825-B7825=0,"OK","Error?"))</f>
        <v>Error?</v>
      </c>
      <c r="E7825" s="4" t="s">
        <v>1995</v>
      </c>
    </row>
    <row r="7826" spans="1:5" x14ac:dyDescent="0.2">
      <c r="A7826">
        <v>7765</v>
      </c>
      <c r="B7826" s="1821">
        <f>'PCTC-OEPP 27-28'!F34</f>
        <v>0</v>
      </c>
      <c r="D7826" s="2" t="str">
        <f t="shared" si="129"/>
        <v>Error?</v>
      </c>
      <c r="E7826" s="4" t="s">
        <v>1995</v>
      </c>
    </row>
    <row r="7827" spans="1:5" x14ac:dyDescent="0.2">
      <c r="A7827">
        <v>7766</v>
      </c>
      <c r="B7827" s="1821">
        <f>'PCTC-OEPP 27-28'!F35</f>
        <v>0</v>
      </c>
      <c r="D7827" s="2" t="str">
        <f t="shared" si="129"/>
        <v>Error?</v>
      </c>
      <c r="E7827" s="4" t="s">
        <v>1995</v>
      </c>
    </row>
    <row r="7828" spans="1:5" x14ac:dyDescent="0.2">
      <c r="A7828">
        <v>7767</v>
      </c>
      <c r="B7828" s="1821">
        <f>'PCTC-OEPP 27-28'!F36</f>
        <v>0</v>
      </c>
      <c r="D7828" s="2" t="str">
        <f t="shared" si="129"/>
        <v>Error?</v>
      </c>
      <c r="E7828" s="4" t="s">
        <v>1995</v>
      </c>
    </row>
    <row r="7829" spans="1:5" x14ac:dyDescent="0.2">
      <c r="A7829">
        <v>7768</v>
      </c>
      <c r="B7829" s="1821">
        <f>'PCTC-OEPP 27-28'!F37</f>
        <v>0</v>
      </c>
      <c r="D7829" s="2" t="str">
        <f t="shared" si="129"/>
        <v>Error?</v>
      </c>
      <c r="E7829" s="4" t="s">
        <v>1995</v>
      </c>
    </row>
    <row r="7830" spans="1:5" x14ac:dyDescent="0.2">
      <c r="A7830">
        <v>7769</v>
      </c>
      <c r="B7830" s="1821">
        <f>'PCTC-OEPP 27-28'!F38</f>
        <v>48850</v>
      </c>
      <c r="D7830" s="2" t="str">
        <f t="shared" si="129"/>
        <v>Error?</v>
      </c>
      <c r="E7830" s="4" t="s">
        <v>1995</v>
      </c>
    </row>
    <row r="7831" spans="1:5" x14ac:dyDescent="0.2">
      <c r="A7831">
        <v>7770</v>
      </c>
      <c r="B7831" s="1821">
        <f>'PCTC-OEPP 27-28'!F52</f>
        <v>0</v>
      </c>
      <c r="D7831" s="2" t="str">
        <f t="shared" si="129"/>
        <v>Error?</v>
      </c>
      <c r="E7831" s="4" t="s">
        <v>1995</v>
      </c>
    </row>
    <row r="7832" spans="1:5" x14ac:dyDescent="0.2">
      <c r="A7832">
        <v>7771</v>
      </c>
      <c r="B7832" s="1821">
        <f>'PCTC-OEPP 27-28'!F56</f>
        <v>0</v>
      </c>
      <c r="D7832" s="2" t="str">
        <f t="shared" si="129"/>
        <v>Error?</v>
      </c>
      <c r="E7832" s="4" t="s">
        <v>1995</v>
      </c>
    </row>
    <row r="7833" spans="1:5" x14ac:dyDescent="0.2">
      <c r="A7833">
        <v>7772</v>
      </c>
      <c r="B7833" s="1821">
        <f>'PCTC-OEPP 27-28'!F62</f>
        <v>0</v>
      </c>
      <c r="D7833" s="2" t="str">
        <f t="shared" si="129"/>
        <v>Error?</v>
      </c>
      <c r="E7833" s="4" t="s">
        <v>1995</v>
      </c>
    </row>
    <row r="7834" spans="1:5" x14ac:dyDescent="0.2">
      <c r="A7834">
        <v>7773</v>
      </c>
      <c r="B7834" s="1821">
        <f>'PCTC-OEPP 27-28'!F77</f>
        <v>544118</v>
      </c>
      <c r="D7834" s="2" t="str">
        <f t="shared" si="129"/>
        <v>Error?</v>
      </c>
      <c r="E7834" s="4" t="s">
        <v>1995</v>
      </c>
    </row>
    <row r="7835" spans="1:5" x14ac:dyDescent="0.2">
      <c r="A7835">
        <v>7774</v>
      </c>
      <c r="B7835" s="1821">
        <f>'PCTC-OEPP 27-28'!F78</f>
        <v>15536746</v>
      </c>
      <c r="D7835" s="2" t="str">
        <f t="shared" si="129"/>
        <v>Error?</v>
      </c>
      <c r="E7835" s="4" t="s">
        <v>1995</v>
      </c>
    </row>
    <row r="7836" spans="1:5" x14ac:dyDescent="0.2">
      <c r="A7836" s="126">
        <v>7775</v>
      </c>
      <c r="B7836" s="1821"/>
      <c r="D7836" s="2" t="str">
        <f t="shared" si="129"/>
        <v>OK</v>
      </c>
      <c r="E7836" s="4" t="s">
        <v>1997</v>
      </c>
    </row>
    <row r="7837" spans="1:5" x14ac:dyDescent="0.2">
      <c r="A7837">
        <v>7776</v>
      </c>
      <c r="B7837" s="1821">
        <f>'PCTC-OEPP 27-28'!F80</f>
        <v>14186.21804236669</v>
      </c>
      <c r="D7837" s="2" t="str">
        <f t="shared" si="129"/>
        <v>Error?</v>
      </c>
      <c r="E7837" s="4" t="s">
        <v>1995</v>
      </c>
    </row>
    <row r="7838" spans="1:5" x14ac:dyDescent="0.2">
      <c r="A7838">
        <v>7777</v>
      </c>
      <c r="B7838" s="1821">
        <f>'PCTC-OEPP 27-28'!F96</f>
        <v>18528</v>
      </c>
      <c r="D7838" s="2" t="str">
        <f t="shared" si="129"/>
        <v>Error?</v>
      </c>
      <c r="E7838" s="4" t="s">
        <v>1995</v>
      </c>
    </row>
    <row r="7839" spans="1:5" x14ac:dyDescent="0.2">
      <c r="A7839">
        <v>7778</v>
      </c>
      <c r="B7839" s="1821">
        <f>'PCTC-OEPP 27-28'!F102</f>
        <v>0</v>
      </c>
      <c r="D7839" s="2" t="str">
        <f t="shared" si="129"/>
        <v>Error?</v>
      </c>
      <c r="E7839" s="4" t="s">
        <v>1995</v>
      </c>
    </row>
    <row r="7840" spans="1:5" x14ac:dyDescent="0.2">
      <c r="A7840">
        <v>7779</v>
      </c>
      <c r="B7840" s="1821">
        <f>'PCTC-OEPP 27-28'!F103</f>
        <v>0</v>
      </c>
      <c r="D7840" s="2" t="str">
        <f t="shared" si="129"/>
        <v>Error?</v>
      </c>
      <c r="E7840" s="4" t="s">
        <v>1995</v>
      </c>
    </row>
    <row r="7841" spans="1:5" x14ac:dyDescent="0.2">
      <c r="A7841">
        <v>7780</v>
      </c>
      <c r="B7841" s="1821">
        <f>'PCTC-OEPP 27-28'!F104</f>
        <v>56025</v>
      </c>
      <c r="D7841" s="2" t="str">
        <f t="shared" si="129"/>
        <v>Error?</v>
      </c>
      <c r="E7841" s="4" t="s">
        <v>1995</v>
      </c>
    </row>
    <row r="7842" spans="1:5" x14ac:dyDescent="0.2">
      <c r="A7842">
        <v>7781</v>
      </c>
      <c r="B7842" s="1821">
        <f>'PCTC-OEPP 27-28'!F106</f>
        <v>133895</v>
      </c>
      <c r="D7842" s="2" t="str">
        <f t="shared" si="129"/>
        <v>Error?</v>
      </c>
      <c r="E7842" s="4" t="s">
        <v>1995</v>
      </c>
    </row>
    <row r="7843" spans="1:5" x14ac:dyDescent="0.2">
      <c r="A7843">
        <v>7782</v>
      </c>
      <c r="B7843" s="1821">
        <f>'PCTC-OEPP 27-28'!F107</f>
        <v>0</v>
      </c>
      <c r="D7843" s="2" t="str">
        <f t="shared" si="129"/>
        <v>Error?</v>
      </c>
      <c r="E7843" s="4" t="s">
        <v>1995</v>
      </c>
    </row>
    <row r="7844" spans="1:5" x14ac:dyDescent="0.2">
      <c r="A7844">
        <v>7783</v>
      </c>
      <c r="B7844" s="1821">
        <f>'PCTC-OEPP 27-28'!F108</f>
        <v>0</v>
      </c>
      <c r="D7844" s="2" t="str">
        <f t="shared" si="129"/>
        <v>Error?</v>
      </c>
      <c r="E7844" s="4" t="s">
        <v>1995</v>
      </c>
    </row>
    <row r="7845" spans="1:5" x14ac:dyDescent="0.2">
      <c r="A7845">
        <v>7784</v>
      </c>
      <c r="B7845" s="1821">
        <f>'PCTC-OEPP 27-28'!F110</f>
        <v>0</v>
      </c>
      <c r="D7845" s="2" t="str">
        <f t="shared" si="129"/>
        <v>Error?</v>
      </c>
      <c r="E7845" s="4" t="s">
        <v>1995</v>
      </c>
    </row>
    <row r="7846" spans="1:5" x14ac:dyDescent="0.2">
      <c r="A7846">
        <v>7785</v>
      </c>
      <c r="B7846" s="1821">
        <f>'PCTC-OEPP 27-28'!F111</f>
        <v>0</v>
      </c>
      <c r="D7846" s="2" t="str">
        <f t="shared" si="129"/>
        <v>Error?</v>
      </c>
      <c r="E7846" s="4" t="s">
        <v>1995</v>
      </c>
    </row>
    <row r="7847" spans="1:5" x14ac:dyDescent="0.2">
      <c r="A7847">
        <v>7786</v>
      </c>
      <c r="B7847" s="1821">
        <f>'PCTC-OEPP 27-28'!F112</f>
        <v>246425</v>
      </c>
      <c r="D7847" s="2" t="str">
        <f t="shared" si="129"/>
        <v>Error?</v>
      </c>
      <c r="E7847" s="4" t="s">
        <v>1995</v>
      </c>
    </row>
    <row r="7848" spans="1:5" x14ac:dyDescent="0.2">
      <c r="A7848">
        <v>7787</v>
      </c>
      <c r="B7848" s="1821">
        <f>'PCTC-OEPP 27-28'!F114</f>
        <v>0</v>
      </c>
      <c r="D7848" s="2" t="str">
        <f t="shared" si="129"/>
        <v>Error?</v>
      </c>
      <c r="E7848" s="4" t="s">
        <v>1995</v>
      </c>
    </row>
    <row r="7849" spans="1:5" x14ac:dyDescent="0.2">
      <c r="A7849">
        <v>7788</v>
      </c>
      <c r="B7849" s="1821">
        <f>'PCTC-OEPP 27-28'!F115</f>
        <v>0</v>
      </c>
      <c r="D7849" s="2" t="str">
        <f t="shared" si="129"/>
        <v>Error?</v>
      </c>
      <c r="E7849" s="4" t="s">
        <v>1995</v>
      </c>
    </row>
    <row r="7850" spans="1:5" x14ac:dyDescent="0.2">
      <c r="A7850">
        <v>7789</v>
      </c>
      <c r="B7850" s="1821">
        <f>'PCTC-OEPP 27-28'!F116</f>
        <v>0</v>
      </c>
      <c r="D7850" s="2" t="str">
        <f t="shared" si="129"/>
        <v>Error?</v>
      </c>
      <c r="E7850" s="4" t="s">
        <v>1995</v>
      </c>
    </row>
    <row r="7851" spans="1:5" x14ac:dyDescent="0.2">
      <c r="A7851">
        <v>7790</v>
      </c>
      <c r="B7851" s="1821">
        <f>'PCTC-OEPP 27-28'!F117</f>
        <v>0</v>
      </c>
      <c r="D7851" s="2" t="str">
        <f t="shared" si="129"/>
        <v>Error?</v>
      </c>
      <c r="E7851" s="4" t="s">
        <v>1995</v>
      </c>
    </row>
    <row r="7852" spans="1:5" x14ac:dyDescent="0.2">
      <c r="A7852">
        <v>7791</v>
      </c>
      <c r="B7852" s="1821">
        <f>'PCTC-OEPP 27-28'!F118</f>
        <v>0</v>
      </c>
      <c r="D7852" s="2" t="str">
        <f t="shared" si="129"/>
        <v>Error?</v>
      </c>
      <c r="E7852" s="4" t="s">
        <v>1995</v>
      </c>
    </row>
    <row r="7853" spans="1:5" x14ac:dyDescent="0.2">
      <c r="A7853">
        <v>7792</v>
      </c>
      <c r="B7853" s="1821">
        <f>'PCTC-OEPP 27-28'!F119</f>
        <v>0</v>
      </c>
      <c r="D7853" s="2" t="str">
        <f t="shared" si="129"/>
        <v>Error?</v>
      </c>
      <c r="E7853" s="4" t="s">
        <v>1995</v>
      </c>
    </row>
    <row r="7854" spans="1:5" x14ac:dyDescent="0.2">
      <c r="A7854">
        <v>7793</v>
      </c>
      <c r="B7854" s="1821">
        <f>'PCTC-OEPP 27-28'!F120</f>
        <v>0</v>
      </c>
      <c r="D7854" s="2" t="str">
        <f t="shared" si="129"/>
        <v>Error?</v>
      </c>
      <c r="E7854" s="4" t="s">
        <v>1995</v>
      </c>
    </row>
    <row r="7855" spans="1:5" x14ac:dyDescent="0.2">
      <c r="A7855">
        <v>7794</v>
      </c>
      <c r="B7855" s="1821">
        <f>'PCTC-OEPP 27-28'!F122</f>
        <v>0</v>
      </c>
      <c r="D7855" s="2" t="str">
        <f t="shared" si="129"/>
        <v>Error?</v>
      </c>
      <c r="E7855" s="4" t="s">
        <v>1995</v>
      </c>
    </row>
    <row r="7856" spans="1:5" x14ac:dyDescent="0.2">
      <c r="A7856">
        <v>7795</v>
      </c>
      <c r="B7856" s="1821">
        <f>'PCTC-OEPP 27-28'!F124</f>
        <v>0</v>
      </c>
      <c r="D7856" s="2" t="str">
        <f t="shared" si="129"/>
        <v>Error?</v>
      </c>
      <c r="E7856" s="4" t="s">
        <v>1995</v>
      </c>
    </row>
    <row r="7857" spans="1:5" x14ac:dyDescent="0.2">
      <c r="A7857">
        <v>7796</v>
      </c>
      <c r="B7857" s="1821">
        <f>'PCTC-OEPP 27-28'!F125</f>
        <v>0</v>
      </c>
      <c r="D7857" s="2" t="str">
        <f t="shared" si="129"/>
        <v>Error?</v>
      </c>
      <c r="E7857" s="4" t="s">
        <v>1995</v>
      </c>
    </row>
    <row r="7858" spans="1:5" x14ac:dyDescent="0.2">
      <c r="A7858">
        <v>7797</v>
      </c>
      <c r="B7858" s="1821">
        <f>'PCTC-OEPP 27-28'!F126</f>
        <v>78258</v>
      </c>
      <c r="D7858" s="2" t="str">
        <f t="shared" si="129"/>
        <v>Error?</v>
      </c>
      <c r="E7858" s="4" t="s">
        <v>1995</v>
      </c>
    </row>
    <row r="7859" spans="1:5" x14ac:dyDescent="0.2">
      <c r="A7859">
        <v>7798</v>
      </c>
      <c r="B7859" s="1821">
        <f>'PCTC-OEPP 27-28'!F127</f>
        <v>69089</v>
      </c>
      <c r="D7859" s="2" t="str">
        <f t="shared" si="129"/>
        <v>Error?</v>
      </c>
      <c r="E7859" s="4" t="s">
        <v>1995</v>
      </c>
    </row>
    <row r="7860" spans="1:5" x14ac:dyDescent="0.2">
      <c r="A7860">
        <v>7799</v>
      </c>
      <c r="B7860" s="1821">
        <f>'PCTC-OEPP 27-28'!F128</f>
        <v>10000</v>
      </c>
      <c r="D7860" s="2" t="str">
        <f t="shared" si="129"/>
        <v>Error?</v>
      </c>
      <c r="E7860" s="4" t="s">
        <v>1995</v>
      </c>
    </row>
    <row r="7861" spans="1:5" x14ac:dyDescent="0.2">
      <c r="A7861">
        <v>7800</v>
      </c>
      <c r="B7861" s="1821">
        <f>'PCTC-OEPP 27-28'!F129</f>
        <v>240388</v>
      </c>
      <c r="D7861" s="2" t="str">
        <f t="shared" si="129"/>
        <v>Error?</v>
      </c>
      <c r="E7861" s="4" t="s">
        <v>1995</v>
      </c>
    </row>
    <row r="7862" spans="1:5" x14ac:dyDescent="0.2">
      <c r="A7862">
        <v>7801</v>
      </c>
      <c r="B7862" s="1821">
        <f>'PCTC-OEPP 27-28'!F130</f>
        <v>0</v>
      </c>
      <c r="D7862" s="2" t="str">
        <f t="shared" si="129"/>
        <v>Error?</v>
      </c>
      <c r="E7862" s="4" t="s">
        <v>1995</v>
      </c>
    </row>
    <row r="7863" spans="1:5" x14ac:dyDescent="0.2">
      <c r="A7863">
        <v>7802</v>
      </c>
      <c r="B7863" s="1821">
        <f>'PCTC-OEPP 27-28'!F131</f>
        <v>0</v>
      </c>
      <c r="D7863" s="2" t="str">
        <f t="shared" si="129"/>
        <v>Error?</v>
      </c>
      <c r="E7863" s="4" t="s">
        <v>1995</v>
      </c>
    </row>
    <row r="7864" spans="1:5" x14ac:dyDescent="0.2">
      <c r="A7864">
        <v>7803</v>
      </c>
      <c r="B7864" s="1821">
        <f>'PCTC-OEPP 27-28'!F132</f>
        <v>0</v>
      </c>
      <c r="D7864" s="2" t="str">
        <f t="shared" si="129"/>
        <v>Error?</v>
      </c>
      <c r="E7864" s="4" t="s">
        <v>1995</v>
      </c>
    </row>
    <row r="7865" spans="1:5" x14ac:dyDescent="0.2">
      <c r="A7865">
        <v>7804</v>
      </c>
      <c r="B7865" s="1821">
        <f>'PCTC-OEPP 27-28'!F133</f>
        <v>0</v>
      </c>
      <c r="D7865" s="2" t="str">
        <f t="shared" si="129"/>
        <v>Error?</v>
      </c>
      <c r="E7865" s="4" t="s">
        <v>1995</v>
      </c>
    </row>
    <row r="7866" spans="1:5" x14ac:dyDescent="0.2">
      <c r="A7866">
        <v>7805</v>
      </c>
      <c r="B7866" s="1821">
        <f>'PCTC-OEPP 27-28'!F158</f>
        <v>0</v>
      </c>
      <c r="D7866" s="2" t="str">
        <f t="shared" si="129"/>
        <v>Error?</v>
      </c>
      <c r="E7866" s="4" t="s">
        <v>1995</v>
      </c>
    </row>
    <row r="7867" spans="1:5" x14ac:dyDescent="0.2">
      <c r="A7867">
        <v>7806</v>
      </c>
      <c r="B7867" s="1821">
        <f>'PCTC-OEPP 27-28'!F160</f>
        <v>0</v>
      </c>
      <c r="D7867" s="2" t="str">
        <f t="shared" si="129"/>
        <v>Error?</v>
      </c>
      <c r="E7867" s="4" t="s">
        <v>1995</v>
      </c>
    </row>
    <row r="7868" spans="1:5" x14ac:dyDescent="0.2">
      <c r="A7868">
        <v>7807</v>
      </c>
      <c r="B7868" s="1821">
        <f>'PCTC-OEPP 27-28'!F161</f>
        <v>0</v>
      </c>
      <c r="D7868" s="2" t="str">
        <f t="shared" si="129"/>
        <v>Error?</v>
      </c>
      <c r="E7868" s="4" t="s">
        <v>1995</v>
      </c>
    </row>
    <row r="7869" spans="1:5" x14ac:dyDescent="0.2">
      <c r="A7869">
        <v>7808</v>
      </c>
      <c r="B7869" s="1821">
        <f>'PCTC-OEPP 27-28'!F162</f>
        <v>0</v>
      </c>
      <c r="D7869" s="2" t="str">
        <f t="shared" si="129"/>
        <v>Error?</v>
      </c>
      <c r="E7869" s="4" t="s">
        <v>1995</v>
      </c>
    </row>
    <row r="7870" spans="1:5" x14ac:dyDescent="0.2">
      <c r="A7870">
        <v>7809</v>
      </c>
      <c r="B7870" s="1821">
        <f>'PCTC-OEPP 27-28'!F163</f>
        <v>0</v>
      </c>
      <c r="D7870" s="2" t="str">
        <f t="shared" si="129"/>
        <v>Error?</v>
      </c>
      <c r="E7870" s="4" t="s">
        <v>1995</v>
      </c>
    </row>
    <row r="7871" spans="1:5" x14ac:dyDescent="0.2">
      <c r="A7871">
        <v>7810</v>
      </c>
      <c r="B7871" s="1821">
        <f>'PCTC-OEPP 27-28'!F164</f>
        <v>0</v>
      </c>
      <c r="D7871" s="2" t="str">
        <f t="shared" si="129"/>
        <v>Error?</v>
      </c>
      <c r="E7871" s="4" t="s">
        <v>1995</v>
      </c>
    </row>
    <row r="7872" spans="1:5" x14ac:dyDescent="0.2">
      <c r="A7872">
        <v>7811</v>
      </c>
      <c r="B7872" s="1821">
        <f>'PCTC-OEPP 27-28'!F165</f>
        <v>15476</v>
      </c>
      <c r="D7872" s="2" t="str">
        <f t="shared" si="129"/>
        <v>Error?</v>
      </c>
      <c r="E7872" s="4" t="s">
        <v>1995</v>
      </c>
    </row>
    <row r="7873" spans="1:5" x14ac:dyDescent="0.2">
      <c r="A7873">
        <v>7812</v>
      </c>
      <c r="B7873" s="1821">
        <f>'PCTC-OEPP 27-28'!F166</f>
        <v>0</v>
      </c>
      <c r="D7873" s="2" t="str">
        <f t="shared" si="129"/>
        <v>Error?</v>
      </c>
      <c r="E7873" s="4" t="s">
        <v>1995</v>
      </c>
    </row>
    <row r="7874" spans="1:5" x14ac:dyDescent="0.2">
      <c r="A7874">
        <v>7813</v>
      </c>
      <c r="B7874" s="1821">
        <f>'PCTC-OEPP 27-28'!F169</f>
        <v>13015</v>
      </c>
      <c r="D7874" s="2" t="str">
        <f t="shared" si="129"/>
        <v>Error?</v>
      </c>
      <c r="E7874" s="4" t="s">
        <v>1995</v>
      </c>
    </row>
    <row r="7875" spans="1:5" x14ac:dyDescent="0.2">
      <c r="A7875">
        <v>7814</v>
      </c>
      <c r="B7875" s="1821">
        <f>'PCTC-OEPP 27-28'!F170</f>
        <v>0</v>
      </c>
      <c r="D7875" s="2" t="str">
        <f t="shared" si="129"/>
        <v>Error?</v>
      </c>
      <c r="E7875" s="4" t="s">
        <v>1995</v>
      </c>
    </row>
    <row r="7876" spans="1:5" x14ac:dyDescent="0.2">
      <c r="A7876">
        <v>7815</v>
      </c>
      <c r="B7876" s="1821">
        <f>'PCTC-OEPP 27-28'!F171</f>
        <v>0</v>
      </c>
      <c r="D7876" s="2" t="str">
        <f t="shared" si="129"/>
        <v>Error?</v>
      </c>
      <c r="E7876" s="4" t="s">
        <v>1995</v>
      </c>
    </row>
    <row r="7877" spans="1:5" x14ac:dyDescent="0.2">
      <c r="A7877">
        <v>7816</v>
      </c>
      <c r="B7877" s="1821">
        <f>'PCTC-OEPP 27-28'!F175</f>
        <v>1585175.9</v>
      </c>
      <c r="D7877" s="2" t="str">
        <f t="shared" si="129"/>
        <v>Error?</v>
      </c>
      <c r="E7877" s="4" t="s">
        <v>1995</v>
      </c>
    </row>
    <row r="7878" spans="1:5" x14ac:dyDescent="0.2">
      <c r="A7878">
        <v>7817</v>
      </c>
      <c r="B7878" s="1821">
        <f>'PCTC-OEPP 27-28'!F176</f>
        <v>13951570.1</v>
      </c>
      <c r="D7878" s="2" t="str">
        <f t="shared" si="129"/>
        <v>Error?</v>
      </c>
      <c r="E7878" s="4" t="s">
        <v>1995</v>
      </c>
    </row>
    <row r="7879" spans="1:5" x14ac:dyDescent="0.2">
      <c r="A7879">
        <v>7818</v>
      </c>
      <c r="B7879" s="1821">
        <f>'PCTC-OEPP 27-28'!F178</f>
        <v>14815545.9</v>
      </c>
      <c r="D7879" s="2" t="str">
        <f t="shared" si="129"/>
        <v>Error?</v>
      </c>
      <c r="E7879" s="4" t="s">
        <v>1995</v>
      </c>
    </row>
    <row r="7880" spans="1:5" x14ac:dyDescent="0.2">
      <c r="A7880">
        <v>7819</v>
      </c>
      <c r="B7880" s="1821">
        <f>'PCTC-OEPP 27-28'!F180</f>
        <v>13527.708089846603</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23" t="s">
        <v>1180</v>
      </c>
      <c r="B2" s="2523"/>
      <c r="C2" s="2523"/>
      <c r="D2" s="2523"/>
      <c r="E2" s="2523"/>
      <c r="F2" s="2523"/>
      <c r="G2" s="2523"/>
      <c r="H2" s="2523"/>
      <c r="I2" s="2523"/>
      <c r="J2" s="2523"/>
      <c r="K2" s="2523"/>
      <c r="L2" s="2523"/>
    </row>
    <row r="3" spans="1:29" ht="13.5" customHeight="1" x14ac:dyDescent="0.2">
      <c r="A3" s="2555" t="s">
        <v>1179</v>
      </c>
      <c r="B3" s="2555"/>
      <c r="C3" s="2555"/>
      <c r="D3" s="2555"/>
      <c r="E3" s="2555"/>
      <c r="F3" s="2555"/>
      <c r="G3" s="2555"/>
      <c r="H3" s="2555"/>
      <c r="I3" s="2555"/>
      <c r="J3" s="2555"/>
      <c r="K3" s="2555"/>
      <c r="L3" s="2555"/>
    </row>
    <row r="4" spans="1:29" ht="13.5" customHeight="1" x14ac:dyDescent="0.2">
      <c r="A4" s="2544" t="str">
        <f>"Year Ending June 30, "&amp;'AFR20'!E2</f>
        <v>Year Ending June 30, 2020</v>
      </c>
      <c r="B4" s="2545"/>
      <c r="C4" s="2545"/>
      <c r="D4" s="2545"/>
      <c r="E4" s="2545"/>
      <c r="F4" s="2545"/>
      <c r="G4" s="2545"/>
      <c r="H4" s="2545"/>
      <c r="I4" s="2545"/>
      <c r="J4" s="2545"/>
      <c r="K4" s="2545"/>
      <c r="L4" s="2545"/>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46" t="str">
        <f>COVER!A17</f>
        <v xml:space="preserve"> Nippersink SD 2</v>
      </c>
      <c r="B7" s="2547"/>
      <c r="C7" s="2547"/>
      <c r="D7" s="2548"/>
      <c r="E7" s="2549">
        <f>COVER!A13</f>
        <v>44063002003</v>
      </c>
      <c r="F7" s="2550"/>
      <c r="G7" s="2556" t="str">
        <f>COVER!T23</f>
        <v>066-005142</v>
      </c>
      <c r="H7" s="2557"/>
      <c r="I7" s="2557"/>
      <c r="J7" s="2557"/>
      <c r="K7" s="2557"/>
      <c r="L7" s="2558"/>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59"/>
      <c r="B9" s="2560"/>
      <c r="C9" s="2560"/>
      <c r="D9" s="2560"/>
      <c r="E9" s="2560"/>
      <c r="F9" s="2561"/>
      <c r="G9" s="2529" t="str">
        <f>COVER!T13</f>
        <v>EDER, CASELLA &amp; CO.</v>
      </c>
      <c r="H9" s="2562"/>
      <c r="I9" s="2562"/>
      <c r="J9" s="2562"/>
      <c r="K9" s="2562"/>
      <c r="L9" s="2563"/>
    </row>
    <row r="10" spans="1:29" ht="13.5" customHeight="1" x14ac:dyDescent="0.2">
      <c r="A10" s="2535">
        <f>COVER!A38</f>
        <v>0</v>
      </c>
      <c r="B10" s="2536"/>
      <c r="C10" s="2536"/>
      <c r="D10" s="2536"/>
      <c r="E10" s="2536"/>
      <c r="F10" s="2537"/>
      <c r="G10" s="2529" t="str">
        <f>COVER!T17</f>
        <v>5400 WEST ELM STREET, SUITE 203</v>
      </c>
      <c r="H10" s="2530"/>
      <c r="I10" s="2530"/>
      <c r="J10" s="2530"/>
      <c r="K10" s="2530"/>
      <c r="L10" s="2531"/>
    </row>
    <row r="11" spans="1:29" ht="13.5" customHeight="1" x14ac:dyDescent="0.2">
      <c r="A11" s="956" t="s">
        <v>1499</v>
      </c>
      <c r="B11" s="957"/>
      <c r="C11" s="958"/>
      <c r="D11" s="963"/>
      <c r="E11" s="958"/>
      <c r="F11" s="962"/>
      <c r="G11" s="2529" t="str">
        <f>COVER!T19</f>
        <v>MCHENRY</v>
      </c>
      <c r="H11" s="2530"/>
      <c r="I11" s="2530"/>
      <c r="J11" s="2530"/>
      <c r="K11" s="2530"/>
      <c r="L11" s="2531"/>
    </row>
    <row r="12" spans="1:29" ht="13.5" customHeight="1" x14ac:dyDescent="0.2">
      <c r="A12" s="2538" t="s">
        <v>1498</v>
      </c>
      <c r="B12" s="2539"/>
      <c r="C12" s="2539"/>
      <c r="D12" s="2539"/>
      <c r="E12" s="2539"/>
      <c r="F12" s="2540"/>
      <c r="G12" s="2532"/>
      <c r="H12" s="2533"/>
      <c r="I12" s="2533"/>
      <c r="J12" s="2533"/>
      <c r="K12" s="2533"/>
      <c r="L12" s="2534"/>
    </row>
    <row r="13" spans="1:29" ht="13.5" customHeight="1" x14ac:dyDescent="0.2">
      <c r="A13" s="2529"/>
      <c r="B13" s="2530"/>
      <c r="C13" s="2530"/>
      <c r="D13" s="2530"/>
      <c r="E13" s="2530"/>
      <c r="F13" s="2531"/>
      <c r="G13" s="2524" t="s">
        <v>1500</v>
      </c>
      <c r="H13" s="2525"/>
      <c r="I13" s="2541" t="str">
        <f>COVER!T25</f>
        <v>CPAS@EDERCASELLA.COM</v>
      </c>
      <c r="J13" s="2542"/>
      <c r="K13" s="2542"/>
      <c r="L13" s="2543"/>
    </row>
    <row r="14" spans="1:29" ht="13.5" customHeight="1" x14ac:dyDescent="0.2">
      <c r="A14" s="2529" t="str">
        <f>COVER!A19</f>
        <v>4213 HIGHWAY 12</v>
      </c>
      <c r="B14" s="2530"/>
      <c r="C14" s="2530"/>
      <c r="D14" s="2530"/>
      <c r="E14" s="2530"/>
      <c r="F14" s="2531"/>
      <c r="G14" s="967" t="s">
        <v>1174</v>
      </c>
      <c r="H14" s="965"/>
      <c r="I14" s="965"/>
      <c r="J14" s="965"/>
      <c r="K14" s="965"/>
      <c r="L14" s="966"/>
    </row>
    <row r="15" spans="1:29" ht="13.5" customHeight="1" x14ac:dyDescent="0.2">
      <c r="A15" s="2529" t="str">
        <f>COVER!A21</f>
        <v>RICHMOND</v>
      </c>
      <c r="B15" s="2530"/>
      <c r="C15" s="2530"/>
      <c r="D15" s="2530"/>
      <c r="E15" s="2530"/>
      <c r="F15" s="2531"/>
      <c r="G15" s="2526" t="str">
        <f>COVER!T15</f>
        <v>KEVIN SMITH</v>
      </c>
      <c r="H15" s="2527"/>
      <c r="I15" s="2527"/>
      <c r="J15" s="2527"/>
      <c r="K15" s="2527"/>
      <c r="L15" s="2528"/>
    </row>
    <row r="16" spans="1:29" ht="12.2" customHeight="1" x14ac:dyDescent="0.2">
      <c r="A16" s="2552">
        <f>COVER!A25</f>
        <v>60071</v>
      </c>
      <c r="B16" s="2553"/>
      <c r="C16" s="2553"/>
      <c r="D16" s="2553"/>
      <c r="E16" s="2553"/>
      <c r="F16" s="2554"/>
      <c r="G16" s="2564"/>
      <c r="H16" s="2565"/>
      <c r="I16" s="2565"/>
      <c r="J16" s="2565"/>
      <c r="K16" s="2565"/>
      <c r="L16" s="2566"/>
    </row>
    <row r="17" spans="1:13" ht="12.2" customHeight="1" x14ac:dyDescent="0.2">
      <c r="A17" s="2567"/>
      <c r="B17" s="2553"/>
      <c r="C17" s="2553"/>
      <c r="D17" s="2553"/>
      <c r="E17" s="2553"/>
      <c r="F17" s="2554"/>
      <c r="G17" s="967" t="s">
        <v>1173</v>
      </c>
      <c r="H17" s="965"/>
      <c r="I17" s="965"/>
      <c r="J17" s="965"/>
      <c r="K17" s="969" t="s">
        <v>1172</v>
      </c>
      <c r="L17" s="962"/>
      <c r="M17" s="955"/>
    </row>
    <row r="18" spans="1:13" ht="12.2" customHeight="1" x14ac:dyDescent="0.2">
      <c r="A18" s="2535"/>
      <c r="B18" s="2536"/>
      <c r="C18" s="2536"/>
      <c r="D18" s="2536"/>
      <c r="E18" s="2536"/>
      <c r="F18" s="2537"/>
      <c r="G18" s="2546" t="str">
        <f>COVER!T21</f>
        <v>815-344-1300</v>
      </c>
      <c r="H18" s="2547"/>
      <c r="I18" s="2547"/>
      <c r="J18" s="2547"/>
      <c r="K18" s="2546" t="str">
        <f>COVER!X21</f>
        <v>815-344-1320</v>
      </c>
      <c r="L18" s="2551"/>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c r="C26" s="974" t="s">
        <v>1674</v>
      </c>
    </row>
    <row r="27" spans="1:13" s="970" customFormat="1" ht="9" customHeight="1" x14ac:dyDescent="0.2">
      <c r="B27" s="975"/>
      <c r="C27" s="974"/>
    </row>
    <row r="28" spans="1:13" s="970" customFormat="1" ht="12.2" customHeight="1" x14ac:dyDescent="0.2">
      <c r="A28" s="977"/>
      <c r="B28" s="973"/>
      <c r="C28" s="974" t="s">
        <v>1675</v>
      </c>
    </row>
    <row r="29" spans="1:13" s="970" customFormat="1" ht="9" customHeight="1" x14ac:dyDescent="0.2">
      <c r="A29" s="977"/>
      <c r="B29" s="975"/>
      <c r="C29" s="974"/>
    </row>
    <row r="30" spans="1:13" s="970" customFormat="1" ht="12.2" customHeight="1" x14ac:dyDescent="0.2">
      <c r="B30" s="973"/>
      <c r="C30" s="974" t="s">
        <v>1542</v>
      </c>
      <c r="D30" s="968"/>
      <c r="E30" s="968"/>
    </row>
    <row r="31" spans="1:13" s="970" customFormat="1" ht="9" customHeight="1" x14ac:dyDescent="0.2">
      <c r="B31" s="975"/>
      <c r="C31" s="974"/>
      <c r="D31" s="968"/>
      <c r="E31" s="968"/>
    </row>
    <row r="32" spans="1:13" s="970" customFormat="1" ht="12.2" customHeight="1" x14ac:dyDescent="0.2">
      <c r="B32" s="973"/>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c r="C38" s="974" t="s">
        <v>1546</v>
      </c>
    </row>
    <row r="39" spans="1:8" ht="9" customHeight="1" x14ac:dyDescent="0.2">
      <c r="B39" s="975"/>
      <c r="C39" s="978"/>
    </row>
    <row r="40" spans="1:8" s="970" customFormat="1" ht="13.5" customHeight="1" x14ac:dyDescent="0.2">
      <c r="B40" s="973"/>
      <c r="C40" s="974" t="s">
        <v>1547</v>
      </c>
    </row>
    <row r="41" spans="1:8" ht="9" customHeight="1" x14ac:dyDescent="0.2">
      <c r="A41" s="979"/>
      <c r="B41" s="975"/>
      <c r="C41" s="978"/>
    </row>
    <row r="42" spans="1:8" s="970" customFormat="1" ht="13.5" customHeight="1" x14ac:dyDescent="0.2">
      <c r="B42" s="973"/>
      <c r="C42" s="974" t="s">
        <v>1806</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68" t="str">
        <f>'Single Audit Cover'!A7</f>
        <v xml:space="preserve"> Nippersink SD 2</v>
      </c>
      <c r="B1" s="2569"/>
      <c r="C1" s="2569"/>
      <c r="D1" s="2569"/>
    </row>
    <row r="2" spans="1:11" s="984" customFormat="1" ht="12.75" x14ac:dyDescent="0.2">
      <c r="A2" s="2570">
        <f>'Single Audit Cover'!E7</f>
        <v>44063002003</v>
      </c>
      <c r="B2" s="2571"/>
      <c r="C2" s="2571"/>
      <c r="D2" s="2571"/>
    </row>
    <row r="3" spans="1:11" s="984" customFormat="1" ht="12.75" x14ac:dyDescent="0.2">
      <c r="A3" s="2568" t="s">
        <v>1493</v>
      </c>
      <c r="B3" s="2569"/>
      <c r="C3" s="2569"/>
      <c r="D3" s="2569"/>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1966</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1807</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3" t="str">
        <f>'Single Audit Cover'!A7</f>
        <v xml:space="preserve"> Nippersink SD 2</v>
      </c>
      <c r="B1" s="2573"/>
      <c r="C1" s="2573"/>
      <c r="D1" s="2573"/>
      <c r="E1" s="2573"/>
    </row>
    <row r="2" spans="1:5" x14ac:dyDescent="0.2">
      <c r="A2" s="2574">
        <f>'Single Audit Cover'!E7</f>
        <v>44063002003</v>
      </c>
      <c r="B2" s="2574"/>
      <c r="C2" s="2574"/>
      <c r="D2" s="2574"/>
      <c r="E2" s="2574"/>
    </row>
    <row r="3" spans="1:5" ht="4.5" customHeight="1" x14ac:dyDescent="0.2"/>
    <row r="4" spans="1:5" x14ac:dyDescent="0.2">
      <c r="A4" s="2573" t="s">
        <v>1233</v>
      </c>
      <c r="B4" s="2573"/>
      <c r="C4" s="2573"/>
      <c r="D4" s="2573"/>
      <c r="E4" s="2573"/>
    </row>
    <row r="5" spans="1:5" x14ac:dyDescent="0.2">
      <c r="A5" s="2576" t="str">
        <f>'Single Audit Cover'!A4</f>
        <v>Year Ending June 30, 2020</v>
      </c>
      <c r="B5" s="2576"/>
      <c r="C5" s="2576"/>
      <c r="D5" s="2576"/>
      <c r="E5" s="2576"/>
    </row>
    <row r="6" spans="1:5" x14ac:dyDescent="0.2">
      <c r="A6" s="2573" t="s">
        <v>1232</v>
      </c>
      <c r="B6" s="2573"/>
      <c r="C6" s="2573"/>
      <c r="D6" s="2573"/>
      <c r="E6" s="2573"/>
    </row>
    <row r="8" spans="1:5" x14ac:dyDescent="0.2">
      <c r="A8" s="1029" t="s">
        <v>1231</v>
      </c>
    </row>
    <row r="10" spans="1:5" x14ac:dyDescent="0.2">
      <c r="A10" s="1030" t="s">
        <v>1230</v>
      </c>
      <c r="B10" s="1031" t="s">
        <v>1229</v>
      </c>
      <c r="C10" s="1031"/>
      <c r="D10" s="1032">
        <f>SUM('Acct Summary 7-8'!C7:K7)</f>
        <v>435810</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2001</v>
      </c>
      <c r="B14" s="1031"/>
      <c r="C14" s="1031"/>
      <c r="D14" s="1033">
        <f>'ICR Computation 30'!E11</f>
        <v>26824</v>
      </c>
    </row>
    <row r="15" spans="1:5" x14ac:dyDescent="0.2">
      <c r="A15" s="1030"/>
      <c r="B15" s="1031"/>
      <c r="C15" s="1031"/>
    </row>
    <row r="16" spans="1:5" x14ac:dyDescent="0.2">
      <c r="A16" s="1030" t="s">
        <v>1812</v>
      </c>
      <c r="B16" s="1031"/>
      <c r="C16" s="1031"/>
    </row>
    <row r="17" spans="1:4" x14ac:dyDescent="0.2">
      <c r="A17" s="1030" t="s">
        <v>1961</v>
      </c>
      <c r="B17" s="1031" t="s">
        <v>1224</v>
      </c>
      <c r="C17" s="1031"/>
      <c r="D17" s="1033">
        <f>-SUM('Revenues 9-14'!C264:D264,'Revenues 9-14'!F264:G264)</f>
        <v>0</v>
      </c>
    </row>
    <row r="19" spans="1:4" ht="13.5" thickBot="1" x14ac:dyDescent="0.25">
      <c r="A19" s="1034" t="s">
        <v>1223</v>
      </c>
      <c r="D19" s="1035">
        <f>SUM(D10:D17)</f>
        <v>462634</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75"/>
      <c r="B24" s="2575"/>
      <c r="D24" s="1037"/>
    </row>
    <row r="25" spans="1:4" x14ac:dyDescent="0.2">
      <c r="A25" s="2572"/>
      <c r="B25" s="2572"/>
      <c r="D25" s="1037"/>
    </row>
    <row r="26" spans="1:4" x14ac:dyDescent="0.2">
      <c r="A26" s="2572"/>
      <c r="B26" s="2572"/>
      <c r="D26" s="1037"/>
    </row>
    <row r="27" spans="1:4" x14ac:dyDescent="0.2">
      <c r="A27" s="2572"/>
      <c r="B27" s="2572"/>
      <c r="D27" s="1037"/>
    </row>
    <row r="28" spans="1:4" x14ac:dyDescent="0.2">
      <c r="A28" s="2572"/>
      <c r="B28" s="2572"/>
      <c r="D28" s="1037"/>
    </row>
    <row r="29" spans="1:4" x14ac:dyDescent="0.2">
      <c r="A29" s="2572"/>
      <c r="B29" s="2572"/>
      <c r="D29" s="1037"/>
    </row>
    <row r="30" spans="1:4" x14ac:dyDescent="0.2">
      <c r="A30" s="2572"/>
      <c r="B30" s="2572"/>
      <c r="D30" s="1037"/>
    </row>
    <row r="32" spans="1:4" x14ac:dyDescent="0.2">
      <c r="A32" s="1029" t="s">
        <v>1221</v>
      </c>
      <c r="D32" s="1032">
        <f>SUM(D19:D30)</f>
        <v>462634</v>
      </c>
    </row>
    <row r="33" spans="1:4" x14ac:dyDescent="0.2">
      <c r="D33" s="1038"/>
    </row>
    <row r="34" spans="1:4" x14ac:dyDescent="0.2">
      <c r="A34" s="295" t="s">
        <v>1220</v>
      </c>
    </row>
    <row r="35" spans="1:4" x14ac:dyDescent="0.2">
      <c r="A35" s="295" t="s">
        <v>1219</v>
      </c>
      <c r="B35" s="1027" t="s">
        <v>1218</v>
      </c>
      <c r="D35" s="1039"/>
    </row>
    <row r="37" spans="1:4" x14ac:dyDescent="0.2">
      <c r="A37" s="1029" t="s">
        <v>1217</v>
      </c>
    </row>
    <row r="39" spans="1:4" ht="13.35" customHeight="1" x14ac:dyDescent="0.2">
      <c r="A39" s="1036" t="s">
        <v>1216</v>
      </c>
    </row>
    <row r="40" spans="1:4" x14ac:dyDescent="0.2">
      <c r="A40" s="2572"/>
      <c r="B40" s="2572"/>
      <c r="D40" s="1037"/>
    </row>
    <row r="41" spans="1:4" x14ac:dyDescent="0.2">
      <c r="A41" s="2572"/>
      <c r="B41" s="2572"/>
      <c r="D41" s="1040"/>
    </row>
    <row r="42" spans="1:4" x14ac:dyDescent="0.2">
      <c r="A42" s="2572"/>
      <c r="B42" s="2572"/>
      <c r="D42" s="1040"/>
    </row>
    <row r="43" spans="1:4" x14ac:dyDescent="0.2">
      <c r="A43" s="2572"/>
      <c r="B43" s="2572"/>
      <c r="D43" s="1040"/>
    </row>
    <row r="44" spans="1:4" x14ac:dyDescent="0.2">
      <c r="A44" s="2572"/>
      <c r="B44" s="2572"/>
      <c r="D44" s="1040"/>
    </row>
    <row r="45" spans="1:4" x14ac:dyDescent="0.2">
      <c r="A45" s="2572"/>
      <c r="B45" s="2572"/>
      <c r="D45" s="1040"/>
    </row>
    <row r="47" spans="1:4" x14ac:dyDescent="0.2">
      <c r="B47" s="1041" t="s">
        <v>1215</v>
      </c>
      <c r="C47" s="1041"/>
      <c r="D47" s="1042">
        <f>SUM(D35:D45)</f>
        <v>0</v>
      </c>
    </row>
    <row r="49" spans="2:4" x14ac:dyDescent="0.2">
      <c r="B49" s="1041" t="s">
        <v>1214</v>
      </c>
      <c r="C49" s="1041"/>
      <c r="D49" s="1042">
        <f>D32-D47</f>
        <v>462634</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55" t="str">
        <f>'Single Audit Cover'!A7</f>
        <v xml:space="preserve"> Nippersink SD 2</v>
      </c>
      <c r="C1" s="2577"/>
      <c r="D1" s="2577"/>
      <c r="E1" s="2577"/>
      <c r="F1" s="2577"/>
      <c r="G1" s="2577"/>
      <c r="H1" s="2577"/>
      <c r="I1" s="2577"/>
      <c r="J1" s="2577"/>
      <c r="K1" s="2577"/>
      <c r="L1" s="2577"/>
      <c r="M1" s="2577"/>
    </row>
    <row r="2" spans="2:14" ht="15" x14ac:dyDescent="0.2">
      <c r="B2" s="2578">
        <f>'Single Audit Cover'!E7</f>
        <v>44063002003</v>
      </c>
      <c r="C2" s="2578"/>
      <c r="D2" s="2578"/>
      <c r="E2" s="2578"/>
      <c r="F2" s="2578"/>
      <c r="G2" s="2578"/>
      <c r="H2" s="2578"/>
      <c r="I2" s="2578"/>
      <c r="J2" s="2578"/>
      <c r="K2" s="2578"/>
      <c r="L2" s="2578"/>
      <c r="M2" s="2578"/>
      <c r="N2" s="1071"/>
    </row>
    <row r="3" spans="2:14" ht="15" x14ac:dyDescent="0.2">
      <c r="B3" s="2579" t="s">
        <v>1207</v>
      </c>
      <c r="C3" s="2579"/>
      <c r="D3" s="2579"/>
      <c r="E3" s="2579"/>
      <c r="F3" s="2579"/>
      <c r="G3" s="2579"/>
      <c r="H3" s="2579"/>
      <c r="I3" s="2579"/>
      <c r="J3" s="2579"/>
      <c r="K3" s="2579"/>
      <c r="L3" s="2579"/>
      <c r="M3" s="2579"/>
      <c r="N3" s="1071"/>
    </row>
    <row r="4" spans="2:14" ht="15" x14ac:dyDescent="0.2">
      <c r="B4" s="2580" t="str">
        <f>'Single Audit Cover'!A4</f>
        <v>Year Ending June 30, 2020</v>
      </c>
      <c r="C4" s="2580"/>
      <c r="D4" s="2580"/>
      <c r="E4" s="2580"/>
      <c r="F4" s="2580"/>
      <c r="G4" s="2580"/>
      <c r="H4" s="2580"/>
      <c r="I4" s="2580"/>
      <c r="J4" s="2580"/>
      <c r="K4" s="2580"/>
      <c r="L4" s="2580"/>
      <c r="M4" s="2580"/>
      <c r="N4" s="1071"/>
    </row>
    <row r="5" spans="2:14" x14ac:dyDescent="0.2">
      <c r="H5" s="1901"/>
      <c r="J5" s="1901"/>
    </row>
    <row r="6" spans="2:14" x14ac:dyDescent="0.2">
      <c r="B6" s="1072"/>
      <c r="C6" s="1073"/>
      <c r="D6" s="1074" t="s">
        <v>1253</v>
      </c>
      <c r="E6" s="1075" t="s">
        <v>524</v>
      </c>
      <c r="F6" s="1076"/>
      <c r="G6" s="1077" t="s">
        <v>1708</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1709</v>
      </c>
      <c r="D9" s="1083" t="s">
        <v>1710</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c r="C11" s="1810"/>
      <c r="D11" s="1811"/>
      <c r="E11" s="1812"/>
      <c r="F11" s="1812"/>
      <c r="G11" s="1812"/>
      <c r="H11" s="1812"/>
      <c r="I11" s="1812"/>
      <c r="J11" s="1812"/>
      <c r="K11" s="1812"/>
      <c r="L11" s="1812">
        <f>+G11+I11+K11</f>
        <v>0</v>
      </c>
      <c r="M11" s="1812"/>
    </row>
    <row r="12" spans="2:14" ht="20.100000000000001" customHeight="1" x14ac:dyDescent="0.2">
      <c r="B12" s="1106"/>
      <c r="C12" s="1813"/>
      <c r="D12" s="1814"/>
      <c r="E12" s="1815"/>
      <c r="F12" s="1815"/>
      <c r="G12" s="1815"/>
      <c r="H12" s="1815"/>
      <c r="I12" s="1815"/>
      <c r="J12" s="1815"/>
      <c r="K12" s="1815"/>
      <c r="L12" s="1812">
        <f t="shared" ref="L12:L27" si="0">+G12+I12+K12</f>
        <v>0</v>
      </c>
      <c r="M12" s="1815"/>
    </row>
    <row r="13" spans="2:14" ht="20.100000000000001" customHeight="1" x14ac:dyDescent="0.2">
      <c r="B13" s="1106"/>
      <c r="C13" s="1813"/>
      <c r="D13" s="1814"/>
      <c r="E13" s="1815"/>
      <c r="F13" s="1815"/>
      <c r="G13" s="1815"/>
      <c r="H13" s="1815"/>
      <c r="I13" s="1815"/>
      <c r="J13" s="1815"/>
      <c r="K13" s="1815"/>
      <c r="L13" s="1812">
        <f t="shared" si="0"/>
        <v>0</v>
      </c>
      <c r="M13" s="1815"/>
    </row>
    <row r="14" spans="2:14" ht="20.100000000000001" customHeight="1" x14ac:dyDescent="0.2">
      <c r="B14" s="1106"/>
      <c r="C14" s="1813"/>
      <c r="D14" s="1814"/>
      <c r="E14" s="1815"/>
      <c r="F14" s="1815"/>
      <c r="G14" s="1815"/>
      <c r="H14" s="1815"/>
      <c r="I14" s="1815"/>
      <c r="J14" s="1815"/>
      <c r="K14" s="1815"/>
      <c r="L14" s="1812">
        <f t="shared" si="0"/>
        <v>0</v>
      </c>
      <c r="M14" s="1815"/>
    </row>
    <row r="15" spans="2:14" ht="20.100000000000001" customHeight="1" x14ac:dyDescent="0.2">
      <c r="B15" s="1106" t="s">
        <v>1158</v>
      </c>
      <c r="C15" s="1813"/>
      <c r="D15" s="1814"/>
      <c r="E15" s="1815"/>
      <c r="F15" s="1815"/>
      <c r="G15" s="1815"/>
      <c r="H15" s="1815"/>
      <c r="I15" s="1815"/>
      <c r="J15" s="1815"/>
      <c r="K15" s="1815"/>
      <c r="L15" s="1812">
        <f t="shared" si="0"/>
        <v>0</v>
      </c>
      <c r="M15" s="1815"/>
    </row>
    <row r="16" spans="2:14" ht="20.100000000000001" customHeight="1" x14ac:dyDescent="0.2">
      <c r="B16" s="1106"/>
      <c r="C16" s="1813"/>
      <c r="D16" s="1814"/>
      <c r="E16" s="1815"/>
      <c r="F16" s="1815"/>
      <c r="G16" s="1815"/>
      <c r="H16" s="1815"/>
      <c r="I16" s="1815"/>
      <c r="J16" s="1815"/>
      <c r="K16" s="1815"/>
      <c r="L16" s="1812">
        <f t="shared" si="0"/>
        <v>0</v>
      </c>
      <c r="M16" s="1815"/>
    </row>
    <row r="17" spans="2:14" ht="20.100000000000001" customHeight="1" x14ac:dyDescent="0.2">
      <c r="B17" s="1106"/>
      <c r="C17" s="1813"/>
      <c r="D17" s="1814"/>
      <c r="E17" s="1815"/>
      <c r="F17" s="1815"/>
      <c r="G17" s="1815"/>
      <c r="H17" s="1815"/>
      <c r="I17" s="1815"/>
      <c r="J17" s="1815"/>
      <c r="K17" s="1815"/>
      <c r="L17" s="1812">
        <f t="shared" si="0"/>
        <v>0</v>
      </c>
      <c r="M17" s="1815"/>
    </row>
    <row r="18" spans="2:14" ht="20.100000000000001" customHeight="1" x14ac:dyDescent="0.2">
      <c r="B18" s="1106"/>
      <c r="C18" s="1813"/>
      <c r="D18" s="1814"/>
      <c r="E18" s="1815"/>
      <c r="F18" s="1815"/>
      <c r="G18" s="1815"/>
      <c r="H18" s="1815"/>
      <c r="I18" s="1815"/>
      <c r="J18" s="1815"/>
      <c r="K18" s="1815"/>
      <c r="L18" s="1812">
        <f t="shared" si="0"/>
        <v>0</v>
      </c>
      <c r="M18" s="1815"/>
    </row>
    <row r="19" spans="2:14" ht="20.100000000000001" customHeight="1" x14ac:dyDescent="0.2">
      <c r="B19" s="1106"/>
      <c r="C19" s="1813"/>
      <c r="D19" s="1814"/>
      <c r="E19" s="1815"/>
      <c r="F19" s="1815"/>
      <c r="G19" s="1815"/>
      <c r="H19" s="1815"/>
      <c r="I19" s="1815"/>
      <c r="J19" s="1815"/>
      <c r="K19" s="1815"/>
      <c r="L19" s="1812">
        <f t="shared" si="0"/>
        <v>0</v>
      </c>
      <c r="M19" s="1815"/>
    </row>
    <row r="20" spans="2:14" ht="20.100000000000001" customHeight="1" x14ac:dyDescent="0.2">
      <c r="B20" s="1106"/>
      <c r="C20" s="1813"/>
      <c r="D20" s="1814"/>
      <c r="E20" s="1815"/>
      <c r="F20" s="1815"/>
      <c r="G20" s="1815"/>
      <c r="H20" s="1815"/>
      <c r="I20" s="1815"/>
      <c r="J20" s="1815"/>
      <c r="K20" s="1815"/>
      <c r="L20" s="1812">
        <f t="shared" si="0"/>
        <v>0</v>
      </c>
      <c r="M20" s="1815"/>
    </row>
    <row r="21" spans="2:14" ht="20.100000000000001" customHeight="1" x14ac:dyDescent="0.2">
      <c r="B21" s="1106"/>
      <c r="C21" s="1813"/>
      <c r="D21" s="1814"/>
      <c r="E21" s="1815"/>
      <c r="F21" s="1815"/>
      <c r="G21" s="1815"/>
      <c r="H21" s="1815"/>
      <c r="I21" s="1815"/>
      <c r="J21" s="1815"/>
      <c r="K21" s="1815"/>
      <c r="L21" s="1812">
        <f t="shared" si="0"/>
        <v>0</v>
      </c>
      <c r="M21" s="1815"/>
    </row>
    <row r="22" spans="2:14" ht="20.100000000000001" customHeight="1" x14ac:dyDescent="0.2">
      <c r="B22" s="1106"/>
      <c r="C22" s="1813"/>
      <c r="D22" s="1814"/>
      <c r="E22" s="1815"/>
      <c r="F22" s="1815"/>
      <c r="G22" s="1815"/>
      <c r="H22" s="1815"/>
      <c r="I22" s="1815"/>
      <c r="J22" s="1815"/>
      <c r="K22" s="1815"/>
      <c r="L22" s="1812">
        <f t="shared" si="0"/>
        <v>0</v>
      </c>
      <c r="M22" s="1815"/>
    </row>
    <row r="23" spans="2:14" ht="20.100000000000001" customHeight="1" x14ac:dyDescent="0.2">
      <c r="B23" s="1106"/>
      <c r="C23" s="1813"/>
      <c r="D23" s="1814"/>
      <c r="E23" s="1815"/>
      <c r="F23" s="1815"/>
      <c r="G23" s="1815"/>
      <c r="H23" s="1815"/>
      <c r="I23" s="1815"/>
      <c r="J23" s="1815"/>
      <c r="K23" s="1815"/>
      <c r="L23" s="1812">
        <f t="shared" si="0"/>
        <v>0</v>
      </c>
      <c r="M23" s="1815"/>
    </row>
    <row r="24" spans="2:14" ht="20.100000000000001" customHeight="1" x14ac:dyDescent="0.2">
      <c r="B24" s="1106"/>
      <c r="C24" s="1813"/>
      <c r="D24" s="1814"/>
      <c r="E24" s="1815"/>
      <c r="F24" s="1815"/>
      <c r="G24" s="1815"/>
      <c r="H24" s="1815"/>
      <c r="I24" s="1815"/>
      <c r="J24" s="1815"/>
      <c r="K24" s="1815"/>
      <c r="L24" s="1812">
        <f t="shared" si="0"/>
        <v>0</v>
      </c>
      <c r="M24" s="1815"/>
    </row>
    <row r="25" spans="2:14" ht="20.100000000000001" customHeight="1" x14ac:dyDescent="0.2">
      <c r="B25" s="1106"/>
      <c r="C25" s="1813"/>
      <c r="D25" s="1814"/>
      <c r="E25" s="1815"/>
      <c r="F25" s="1815"/>
      <c r="G25" s="1815"/>
      <c r="H25" s="1815"/>
      <c r="I25" s="1815"/>
      <c r="J25" s="1815"/>
      <c r="K25" s="1815"/>
      <c r="L25" s="1812">
        <f t="shared" si="0"/>
        <v>0</v>
      </c>
      <c r="M25" s="1815"/>
    </row>
    <row r="26" spans="2:14" ht="20.100000000000001" customHeight="1" x14ac:dyDescent="0.2">
      <c r="B26" s="1106"/>
      <c r="C26" s="1813"/>
      <c r="D26" s="1814"/>
      <c r="E26" s="1815"/>
      <c r="F26" s="1815"/>
      <c r="G26" s="1815"/>
      <c r="H26" s="1815"/>
      <c r="I26" s="1815"/>
      <c r="J26" s="1815"/>
      <c r="K26" s="1815"/>
      <c r="L26" s="1812">
        <f t="shared" si="0"/>
        <v>0</v>
      </c>
      <c r="M26" s="1815"/>
    </row>
    <row r="27" spans="2:14" ht="20.100000000000001" customHeight="1" x14ac:dyDescent="0.2">
      <c r="B27" s="1106"/>
      <c r="C27" s="1813"/>
      <c r="D27" s="1814"/>
      <c r="E27" s="1815"/>
      <c r="F27" s="1815"/>
      <c r="G27" s="1815"/>
      <c r="H27" s="1815"/>
      <c r="I27" s="1815"/>
      <c r="J27" s="1815"/>
      <c r="K27" s="1815"/>
      <c r="L27" s="1812">
        <f t="shared" si="0"/>
        <v>0</v>
      </c>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1711</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1712</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1713</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1714</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1715</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90" t="str">
        <f>'Single Audit Cover'!A7</f>
        <v xml:space="preserve"> Nippersink SD 2</v>
      </c>
      <c r="B1" s="2590"/>
      <c r="C1" s="2590"/>
      <c r="D1" s="2590"/>
      <c r="E1" s="2590"/>
      <c r="F1" s="2590"/>
    </row>
    <row r="2" spans="1:7" ht="13.5" customHeight="1" x14ac:dyDescent="0.2">
      <c r="A2" s="2578">
        <f>'Single Audit Cover'!E7</f>
        <v>44063002003</v>
      </c>
      <c r="B2" s="2578"/>
      <c r="C2" s="2578"/>
      <c r="D2" s="2578"/>
      <c r="E2" s="2578"/>
      <c r="F2" s="2578"/>
      <c r="G2" s="1044"/>
    </row>
    <row r="3" spans="1:7" ht="15.75" customHeight="1" x14ac:dyDescent="0.2">
      <c r="A3" s="2591" t="s">
        <v>1259</v>
      </c>
      <c r="B3" s="2591"/>
      <c r="C3" s="2591"/>
      <c r="D3" s="2591"/>
      <c r="E3" s="2591"/>
      <c r="F3" s="2591"/>
    </row>
    <row r="4" spans="1:7" ht="13.5" customHeight="1" x14ac:dyDescent="0.2">
      <c r="A4" s="2592" t="str">
        <f>'Single Audit Cover'!A4</f>
        <v>Year Ending June 30, 2020</v>
      </c>
      <c r="B4" s="2592"/>
      <c r="C4" s="2592"/>
      <c r="D4" s="2592"/>
      <c r="E4" s="2592"/>
      <c r="F4" s="2592"/>
    </row>
    <row r="5" spans="1:7" ht="8.25" customHeight="1" x14ac:dyDescent="0.2">
      <c r="C5" s="295"/>
      <c r="D5" s="295"/>
    </row>
    <row r="6" spans="1:7" ht="13.5" customHeight="1" x14ac:dyDescent="0.2">
      <c r="A6" s="1045" t="s">
        <v>1702</v>
      </c>
      <c r="C6" s="295"/>
      <c r="D6" s="295"/>
    </row>
    <row r="7" spans="1:7" ht="60.95" customHeight="1" x14ac:dyDescent="0.2">
      <c r="A7" s="2589" t="s">
        <v>1703</v>
      </c>
      <c r="B7" s="2589"/>
      <c r="C7" s="2589"/>
      <c r="D7" s="2589"/>
      <c r="E7" s="2589"/>
      <c r="F7" s="2589"/>
    </row>
    <row r="8" spans="1:7" ht="12" customHeight="1" x14ac:dyDescent="0.2">
      <c r="A8" s="1045"/>
      <c r="B8" s="1051"/>
      <c r="C8" s="1051"/>
      <c r="D8" s="1051"/>
    </row>
    <row r="9" spans="1:7" ht="15" customHeight="1" x14ac:dyDescent="0.2">
      <c r="A9" s="1046" t="s">
        <v>1704</v>
      </c>
      <c r="B9" s="1049"/>
      <c r="C9" s="1049"/>
      <c r="D9" s="1049"/>
      <c r="E9" s="1047"/>
      <c r="F9" s="1047"/>
      <c r="G9" s="1047"/>
    </row>
    <row r="10" spans="1:7" ht="15" customHeight="1" x14ac:dyDescent="0.2">
      <c r="A10" s="1048" t="s">
        <v>1527</v>
      </c>
      <c r="B10" s="1049"/>
      <c r="C10" s="1050"/>
      <c r="D10" s="1049" t="s">
        <v>1528</v>
      </c>
      <c r="E10" s="1050"/>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15" customHeight="1" x14ac:dyDescent="0.2">
      <c r="A13" s="2589" t="s">
        <v>1705</v>
      </c>
      <c r="B13" s="2589"/>
      <c r="C13" s="2589"/>
      <c r="D13" s="2589"/>
      <c r="E13" s="2589"/>
      <c r="F13" s="2589"/>
    </row>
    <row r="14" spans="1:7" ht="9.75" customHeight="1" x14ac:dyDescent="0.2">
      <c r="C14" s="1029"/>
      <c r="D14" s="1029"/>
    </row>
    <row r="15" spans="1:7" ht="13.5" customHeight="1" x14ac:dyDescent="0.2">
      <c r="C15" s="1469" t="s">
        <v>1258</v>
      </c>
      <c r="D15" s="2587" t="s">
        <v>1257</v>
      </c>
      <c r="E15" s="2587"/>
      <c r="F15" s="2587"/>
    </row>
    <row r="16" spans="1:7" ht="13.5" customHeight="1" x14ac:dyDescent="0.2">
      <c r="A16" s="1051"/>
      <c r="B16" s="1045" t="s">
        <v>1256</v>
      </c>
      <c r="C16" s="1469" t="s">
        <v>1255</v>
      </c>
      <c r="D16" s="2588" t="s">
        <v>1568</v>
      </c>
      <c r="E16" s="2588"/>
      <c r="F16" s="2588"/>
    </row>
    <row r="17" spans="1:6" ht="20.45" customHeight="1" x14ac:dyDescent="0.2">
      <c r="A17" s="1052"/>
      <c r="B17" s="1053"/>
      <c r="C17" s="1054"/>
      <c r="D17" s="2582"/>
      <c r="E17" s="2582"/>
      <c r="F17" s="2582"/>
    </row>
    <row r="18" spans="1:6" ht="20.65" customHeight="1" x14ac:dyDescent="0.2">
      <c r="A18" s="1052"/>
      <c r="B18" s="1053"/>
      <c r="C18" s="1054"/>
      <c r="D18" s="2582"/>
      <c r="E18" s="2582"/>
      <c r="F18" s="2582"/>
    </row>
    <row r="19" spans="1:6" ht="20.65" customHeight="1" x14ac:dyDescent="0.2">
      <c r="A19" s="1052"/>
      <c r="B19" s="1053"/>
      <c r="C19" s="1054"/>
      <c r="D19" s="2582"/>
      <c r="E19" s="2582"/>
      <c r="F19" s="2582"/>
    </row>
    <row r="20" spans="1:6" ht="20.65" customHeight="1" x14ac:dyDescent="0.2">
      <c r="A20" s="1052"/>
      <c r="B20" s="1053"/>
      <c r="C20" s="1054"/>
      <c r="D20" s="2582"/>
      <c r="E20" s="2582"/>
      <c r="F20" s="2582"/>
    </row>
    <row r="21" spans="1:6" ht="20.65" customHeight="1" x14ac:dyDescent="0.2">
      <c r="A21" s="1052"/>
      <c r="B21" s="1053"/>
      <c r="C21" s="1054"/>
      <c r="D21" s="2582"/>
      <c r="E21" s="2582"/>
      <c r="F21" s="2582"/>
    </row>
    <row r="22" spans="1:6" ht="20.65" customHeight="1" x14ac:dyDescent="0.2">
      <c r="A22" s="1052"/>
      <c r="B22" s="1053"/>
      <c r="C22" s="1054"/>
      <c r="D22" s="2582"/>
      <c r="E22" s="2582"/>
      <c r="F22" s="2582"/>
    </row>
    <row r="23" spans="1:6" ht="20.65" customHeight="1" x14ac:dyDescent="0.2">
      <c r="A23" s="1052"/>
      <c r="B23" s="1053"/>
      <c r="C23" s="1054"/>
      <c r="D23" s="2582"/>
      <c r="E23" s="2582"/>
      <c r="F23" s="2582"/>
    </row>
    <row r="24" spans="1:6" ht="20.65" customHeight="1" x14ac:dyDescent="0.2">
      <c r="A24" s="1052"/>
      <c r="B24" s="1053"/>
      <c r="C24" s="1054"/>
      <c r="D24" s="2582"/>
      <c r="E24" s="2582"/>
      <c r="F24" s="2582"/>
    </row>
    <row r="25" spans="1:6" ht="20.65" customHeight="1" x14ac:dyDescent="0.2">
      <c r="A25" s="1052"/>
      <c r="B25" s="1053"/>
      <c r="C25" s="1054"/>
      <c r="D25" s="2582"/>
      <c r="E25" s="2582"/>
      <c r="F25" s="2582"/>
    </row>
    <row r="26" spans="1:6" ht="20.65" customHeight="1" x14ac:dyDescent="0.2">
      <c r="A26" s="1052"/>
      <c r="B26" s="1053"/>
      <c r="C26" s="1054"/>
      <c r="D26" s="2582"/>
      <c r="E26" s="2582"/>
      <c r="F26" s="2582"/>
    </row>
    <row r="27" spans="1:6" ht="20.65" customHeight="1" x14ac:dyDescent="0.2">
      <c r="A27" s="1052"/>
      <c r="B27" s="1053"/>
      <c r="C27" s="1054"/>
      <c r="D27" s="2582"/>
      <c r="E27" s="2582"/>
      <c r="F27" s="2582"/>
    </row>
    <row r="28" spans="1:6" ht="20.65" customHeight="1" x14ac:dyDescent="0.2">
      <c r="A28" s="1052"/>
      <c r="B28" s="1053"/>
      <c r="C28" s="1054"/>
      <c r="D28" s="2582"/>
      <c r="E28" s="2582"/>
      <c r="F28" s="2582"/>
    </row>
    <row r="29" spans="1:6" ht="20.65" customHeight="1" x14ac:dyDescent="0.2">
      <c r="A29" s="1052"/>
      <c r="B29" s="1053"/>
      <c r="C29" s="1054"/>
      <c r="D29" s="2582"/>
      <c r="E29" s="2582"/>
      <c r="F29" s="2582"/>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583" t="s">
        <v>1706</v>
      </c>
      <c r="B32" s="2583"/>
      <c r="C32" s="2583"/>
      <c r="D32" s="2583"/>
      <c r="E32" s="2583"/>
      <c r="F32" s="2583"/>
    </row>
    <row r="33" spans="1:6" ht="13.5" customHeight="1" x14ac:dyDescent="0.2">
      <c r="A33" s="306" t="s">
        <v>1414</v>
      </c>
      <c r="B33" s="306"/>
      <c r="C33" s="1057">
        <v>0</v>
      </c>
      <c r="D33" s="1519"/>
      <c r="E33" s="1055"/>
    </row>
    <row r="34" spans="1:6" ht="13.5" customHeight="1" x14ac:dyDescent="0.2">
      <c r="A34" s="306" t="s">
        <v>1808</v>
      </c>
      <c r="B34" s="306"/>
      <c r="C34" s="1058">
        <v>0</v>
      </c>
      <c r="D34" s="1519" t="s">
        <v>1569</v>
      </c>
      <c r="E34" s="2584">
        <f>+C33+C34</f>
        <v>0</v>
      </c>
      <c r="F34" s="2585"/>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c r="D38" s="1519"/>
      <c r="E38" s="1055"/>
    </row>
    <row r="39" spans="1:6" ht="14.25" customHeight="1" x14ac:dyDescent="0.2">
      <c r="A39" s="306"/>
      <c r="B39" s="306" t="s">
        <v>1416</v>
      </c>
      <c r="C39" s="1061"/>
      <c r="D39" s="1519"/>
      <c r="E39" s="1055"/>
    </row>
    <row r="40" spans="1:6" ht="14.25" customHeight="1" x14ac:dyDescent="0.2">
      <c r="A40" s="306"/>
      <c r="B40" s="306" t="s">
        <v>1417</v>
      </c>
      <c r="C40" s="1061"/>
      <c r="D40" s="1519"/>
      <c r="E40" s="1055"/>
    </row>
    <row r="41" spans="1:6" ht="14.25" customHeight="1" x14ac:dyDescent="0.2">
      <c r="A41" s="306"/>
      <c r="B41" s="306" t="s">
        <v>1418</v>
      </c>
      <c r="C41" s="1061"/>
      <c r="D41" s="1519"/>
      <c r="E41" s="1055"/>
    </row>
    <row r="42" spans="1:6" ht="14.25" customHeight="1" x14ac:dyDescent="0.2">
      <c r="A42" s="306" t="s">
        <v>1419</v>
      </c>
      <c r="B42" s="306"/>
      <c r="C42" s="1517"/>
      <c r="D42" s="1519"/>
      <c r="E42" s="1055"/>
    </row>
    <row r="43" spans="1:6" ht="14.25" customHeight="1" x14ac:dyDescent="0.2">
      <c r="A43" s="306" t="s">
        <v>1420</v>
      </c>
      <c r="B43" s="306"/>
      <c r="C43" s="1062"/>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1707</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86" t="s">
        <v>1570</v>
      </c>
      <c r="C49" s="2586"/>
      <c r="D49" s="2586"/>
      <c r="E49" s="1161"/>
    </row>
    <row r="50" spans="1:5" s="1069" customFormat="1" ht="3.75" customHeight="1" x14ac:dyDescent="0.2">
      <c r="A50" s="1068"/>
      <c r="B50" s="1468"/>
      <c r="C50" s="1468"/>
      <c r="D50" s="1468"/>
      <c r="E50" s="1161"/>
    </row>
    <row r="51" spans="1:5" s="1069" customFormat="1" ht="20.25" customHeight="1" x14ac:dyDescent="0.2">
      <c r="A51" s="1070">
        <v>6</v>
      </c>
      <c r="B51" s="2581" t="s">
        <v>1531</v>
      </c>
      <c r="C51" s="2581"/>
      <c r="D51" s="2581"/>
    </row>
    <row r="52" spans="1:5" ht="14.25" customHeight="1" x14ac:dyDescent="0.2">
      <c r="A52" s="1070"/>
      <c r="B52" s="2581"/>
      <c r="C52" s="2581"/>
      <c r="D52" s="258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9" colorId="8" zoomScaleNormal="100" workbookViewId="0">
      <selection activeCell="G118" sqref="G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0" t="s">
        <v>1157</v>
      </c>
      <c r="B2" s="2160"/>
      <c r="C2" s="2160"/>
      <c r="D2" s="2160"/>
      <c r="E2" s="2160"/>
      <c r="F2" s="2160"/>
      <c r="G2" s="2160"/>
      <c r="H2" s="2160"/>
      <c r="I2" s="2160"/>
      <c r="J2" s="2160"/>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4" t="s">
        <v>1613</v>
      </c>
      <c r="B35" s="2175"/>
      <c r="C35" s="2175"/>
      <c r="D35" s="2175"/>
      <c r="E35" s="2176"/>
      <c r="F35" s="2176"/>
      <c r="G35" s="2176"/>
      <c r="H35" s="2176"/>
      <c r="I35" s="217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4" t="s">
        <v>310</v>
      </c>
      <c r="B47" s="2177"/>
      <c r="C47" s="2177"/>
      <c r="D47" s="2177"/>
      <c r="E47" s="2178"/>
      <c r="F47" s="2178"/>
      <c r="G47" s="2178"/>
      <c r="H47" s="2178"/>
      <c r="I47" s="217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2066</v>
      </c>
      <c r="C53" s="174">
        <v>22</v>
      </c>
      <c r="D53" s="242" t="s">
        <v>1442</v>
      </c>
      <c r="E53" s="243"/>
      <c r="F53" s="244"/>
      <c r="G53" s="244" t="s">
        <v>1441</v>
      </c>
      <c r="H53" s="245">
        <v>33239</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1"/>
      <c r="C57" s="2182"/>
      <c r="D57" s="2182"/>
      <c r="E57" s="2182"/>
      <c r="F57" s="2182"/>
      <c r="G57" s="2182"/>
      <c r="H57" s="2182"/>
      <c r="I57" s="2182"/>
      <c r="J57" s="2183"/>
    </row>
    <row r="58" spans="1:10" s="176" customFormat="1" x14ac:dyDescent="0.2">
      <c r="A58" s="248"/>
      <c r="B58" s="2184"/>
      <c r="C58" s="2185"/>
      <c r="D58" s="2185"/>
      <c r="E58" s="2185"/>
      <c r="F58" s="2185"/>
      <c r="G58" s="2185"/>
      <c r="H58" s="2185"/>
      <c r="I58" s="2185"/>
      <c r="J58" s="2186"/>
    </row>
    <row r="59" spans="1:10" s="176" customFormat="1" x14ac:dyDescent="0.2">
      <c r="A59" s="248"/>
      <c r="B59" s="2184"/>
      <c r="C59" s="2185"/>
      <c r="D59" s="2185"/>
      <c r="E59" s="2185"/>
      <c r="F59" s="2185"/>
      <c r="G59" s="2185"/>
      <c r="H59" s="2185"/>
      <c r="I59" s="2185"/>
      <c r="J59" s="2186"/>
    </row>
    <row r="60" spans="1:10" s="176" customFormat="1" x14ac:dyDescent="0.2">
      <c r="A60" s="248"/>
      <c r="B60" s="2184"/>
      <c r="C60" s="2185"/>
      <c r="D60" s="2185"/>
      <c r="E60" s="2185"/>
      <c r="F60" s="2185"/>
      <c r="G60" s="2185"/>
      <c r="H60" s="2185"/>
      <c r="I60" s="2185"/>
      <c r="J60" s="2186"/>
    </row>
    <row r="61" spans="1:10" s="176" customFormat="1" x14ac:dyDescent="0.2">
      <c r="A61" s="248"/>
      <c r="B61" s="2184"/>
      <c r="C61" s="2185"/>
      <c r="D61" s="2185"/>
      <c r="E61" s="2185"/>
      <c r="F61" s="2185"/>
      <c r="G61" s="2185"/>
      <c r="H61" s="2185"/>
      <c r="I61" s="2185"/>
      <c r="J61" s="2186"/>
    </row>
    <row r="62" spans="1:10" s="176" customFormat="1" x14ac:dyDescent="0.2">
      <c r="A62" s="248"/>
      <c r="B62" s="2184"/>
      <c r="C62" s="2185"/>
      <c r="D62" s="2185"/>
      <c r="E62" s="2185"/>
      <c r="F62" s="2185"/>
      <c r="G62" s="2185"/>
      <c r="H62" s="2185"/>
      <c r="I62" s="2185"/>
      <c r="J62" s="2186"/>
    </row>
    <row r="63" spans="1:10" s="176" customFormat="1" x14ac:dyDescent="0.2">
      <c r="A63" s="248"/>
      <c r="B63" s="2184"/>
      <c r="C63" s="2185"/>
      <c r="D63" s="2185"/>
      <c r="E63" s="2185"/>
      <c r="F63" s="2185"/>
      <c r="G63" s="2185"/>
      <c r="H63" s="2185"/>
      <c r="I63" s="2185"/>
      <c r="J63" s="2186"/>
    </row>
    <row r="64" spans="1:10" s="176" customFormat="1" x14ac:dyDescent="0.2">
      <c r="A64" s="248"/>
      <c r="B64" s="2184"/>
      <c r="C64" s="2185"/>
      <c r="D64" s="2185"/>
      <c r="E64" s="2185"/>
      <c r="F64" s="2185"/>
      <c r="G64" s="2185"/>
      <c r="H64" s="2185"/>
      <c r="I64" s="2185"/>
      <c r="J64" s="2186"/>
    </row>
    <row r="65" spans="1:11" s="176" customFormat="1" x14ac:dyDescent="0.2">
      <c r="A65" s="248"/>
      <c r="B65" s="2184"/>
      <c r="C65" s="2185"/>
      <c r="D65" s="2185"/>
      <c r="E65" s="2185"/>
      <c r="F65" s="2185"/>
      <c r="G65" s="2185"/>
      <c r="H65" s="2185"/>
      <c r="I65" s="2185"/>
      <c r="J65" s="2186"/>
    </row>
    <row r="66" spans="1:11" s="176" customFormat="1" x14ac:dyDescent="0.2">
      <c r="A66" s="248"/>
      <c r="B66" s="2184"/>
      <c r="C66" s="2185"/>
      <c r="D66" s="2185"/>
      <c r="E66" s="2185"/>
      <c r="F66" s="2185"/>
      <c r="G66" s="2185"/>
      <c r="H66" s="2185"/>
      <c r="I66" s="2185"/>
      <c r="J66" s="2186"/>
    </row>
    <row r="67" spans="1:11" s="176" customFormat="1" ht="9" customHeight="1" x14ac:dyDescent="0.2">
      <c r="A67" s="249"/>
      <c r="B67" s="2187"/>
      <c r="C67" s="2188"/>
      <c r="D67" s="2188"/>
      <c r="E67" s="2188"/>
      <c r="F67" s="2188"/>
      <c r="G67" s="2188"/>
      <c r="H67" s="2188"/>
      <c r="I67" s="2188"/>
      <c r="J67" s="218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4" t="s">
        <v>1311</v>
      </c>
      <c r="B70" s="2177"/>
      <c r="C70" s="2177"/>
      <c r="D70" s="2177"/>
      <c r="E70" s="2178"/>
      <c r="F70" s="2178"/>
      <c r="G70" s="2178"/>
      <c r="H70" s="2178"/>
      <c r="I70" s="2178"/>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9" t="s">
        <v>1308</v>
      </c>
      <c r="B83" s="2179"/>
      <c r="C83" s="2179"/>
      <c r="D83" s="2180"/>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90" t="s">
        <v>1986</v>
      </c>
      <c r="B85" s="2190"/>
      <c r="C85" s="2190"/>
      <c r="D85" s="2191"/>
      <c r="E85" s="1537"/>
      <c r="F85" s="1537"/>
      <c r="G85" s="1537"/>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192" t="s">
        <v>1986</v>
      </c>
      <c r="B88" s="2193"/>
      <c r="C88" s="2193"/>
      <c r="D88" s="2194"/>
      <c r="E88" s="1537"/>
      <c r="F88" s="1537"/>
      <c r="G88" s="1537"/>
      <c r="H88" s="1537"/>
      <c r="I88" s="1891"/>
      <c r="J88" s="1716">
        <f>SUM(E88:I88)</f>
        <v>0</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1"/>
      <c r="C102" s="2162"/>
      <c r="D102" s="2162"/>
      <c r="E102" s="2162"/>
      <c r="F102" s="2162"/>
      <c r="G102" s="2162"/>
      <c r="H102" s="2162"/>
      <c r="I102" s="2163"/>
    </row>
    <row r="103" spans="1:9" s="176" customFormat="1" ht="11.25" customHeight="1" x14ac:dyDescent="0.2">
      <c r="A103" s="294"/>
      <c r="B103" s="2164"/>
      <c r="C103" s="2165"/>
      <c r="D103" s="2165"/>
      <c r="E103" s="2165"/>
      <c r="F103" s="2165"/>
      <c r="G103" s="2165"/>
      <c r="H103" s="2165"/>
      <c r="I103" s="2166"/>
    </row>
    <row r="104" spans="1:9" s="176" customFormat="1" ht="11.25" customHeight="1" x14ac:dyDescent="0.2">
      <c r="A104" s="294"/>
      <c r="B104" s="2164"/>
      <c r="C104" s="2165"/>
      <c r="D104" s="2165"/>
      <c r="E104" s="2165"/>
      <c r="F104" s="2165"/>
      <c r="G104" s="2165"/>
      <c r="H104" s="2165"/>
      <c r="I104" s="2166"/>
    </row>
    <row r="105" spans="1:9" s="176" customFormat="1" x14ac:dyDescent="0.2">
      <c r="A105" s="294"/>
      <c r="B105" s="2164"/>
      <c r="C105" s="2165"/>
      <c r="D105" s="2165"/>
      <c r="E105" s="2165"/>
      <c r="F105" s="2165"/>
      <c r="G105" s="2165"/>
      <c r="H105" s="2165"/>
      <c r="I105" s="2166"/>
    </row>
    <row r="106" spans="1:9" s="176" customFormat="1" ht="11.25" customHeight="1" x14ac:dyDescent="0.2">
      <c r="A106" s="294"/>
      <c r="B106" s="2164"/>
      <c r="C106" s="2165"/>
      <c r="D106" s="2165"/>
      <c r="E106" s="2165"/>
      <c r="F106" s="2165"/>
      <c r="G106" s="2165"/>
      <c r="H106" s="2165"/>
      <c r="I106" s="2166"/>
    </row>
    <row r="107" spans="1:9" s="176" customFormat="1" ht="11.25" customHeight="1" x14ac:dyDescent="0.2">
      <c r="A107" s="294"/>
      <c r="B107" s="2164"/>
      <c r="C107" s="2165"/>
      <c r="D107" s="2165"/>
      <c r="E107" s="2165"/>
      <c r="F107" s="2165"/>
      <c r="G107" s="2165"/>
      <c r="H107" s="2165"/>
      <c r="I107" s="2166"/>
    </row>
    <row r="108" spans="1:9" s="176" customFormat="1" ht="11.25" customHeight="1" x14ac:dyDescent="0.2">
      <c r="A108" s="294"/>
      <c r="B108" s="2164"/>
      <c r="C108" s="2165"/>
      <c r="D108" s="2165"/>
      <c r="E108" s="2165"/>
      <c r="F108" s="2165"/>
      <c r="G108" s="2165"/>
      <c r="H108" s="2165"/>
      <c r="I108" s="2166"/>
    </row>
    <row r="109" spans="1:9" s="176" customFormat="1" ht="11.25" customHeight="1" x14ac:dyDescent="0.2">
      <c r="A109" s="294"/>
      <c r="B109" s="2164"/>
      <c r="C109" s="2165"/>
      <c r="D109" s="2165"/>
      <c r="E109" s="2165"/>
      <c r="F109" s="2165"/>
      <c r="G109" s="2165"/>
      <c r="H109" s="2165"/>
      <c r="I109" s="2166"/>
    </row>
    <row r="110" spans="1:9" s="176" customFormat="1" ht="11.25" customHeight="1" x14ac:dyDescent="0.2">
      <c r="A110" s="294"/>
      <c r="B110" s="2164"/>
      <c r="C110" s="2165"/>
      <c r="D110" s="2165"/>
      <c r="E110" s="2165"/>
      <c r="F110" s="2165"/>
      <c r="G110" s="2165"/>
      <c r="H110" s="2165"/>
      <c r="I110" s="2166"/>
    </row>
    <row r="111" spans="1:9" s="176" customFormat="1" ht="11.25" customHeight="1" x14ac:dyDescent="0.2">
      <c r="A111" s="294"/>
      <c r="B111" s="2164"/>
      <c r="C111" s="2165"/>
      <c r="D111" s="2165"/>
      <c r="E111" s="2165"/>
      <c r="F111" s="2165"/>
      <c r="G111" s="2165"/>
      <c r="H111" s="2165"/>
      <c r="I111" s="2166"/>
    </row>
    <row r="112" spans="1:9" s="176" customFormat="1" ht="11.25" customHeight="1" x14ac:dyDescent="0.2">
      <c r="A112" s="294"/>
      <c r="B112" s="2167"/>
      <c r="C112" s="2168"/>
      <c r="D112" s="2168"/>
      <c r="E112" s="2168"/>
      <c r="F112" s="2168"/>
      <c r="G112" s="2168"/>
      <c r="H112" s="2168"/>
      <c r="I112" s="216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0" t="s">
        <v>2015</v>
      </c>
      <c r="D114" s="2170"/>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1" t="s">
        <v>1318</v>
      </c>
      <c r="D117" s="2172"/>
      <c r="E117" s="2173"/>
      <c r="F117" s="2173"/>
      <c r="G117" s="2173"/>
      <c r="H117" s="2173"/>
      <c r="I117" s="282"/>
    </row>
    <row r="118" spans="1:9" s="176" customFormat="1" ht="24" customHeight="1" x14ac:dyDescent="0.2">
      <c r="A118" s="294"/>
      <c r="B118" s="294"/>
      <c r="C118" s="294"/>
      <c r="D118" s="301" t="s">
        <v>2097</v>
      </c>
      <c r="E118" s="300"/>
      <c r="F118" s="302"/>
      <c r="G118" s="1466"/>
      <c r="H118" s="300"/>
      <c r="I118" s="282"/>
    </row>
    <row r="119" spans="1:9" s="176" customFormat="1" ht="11.25" customHeight="1" x14ac:dyDescent="0.2">
      <c r="A119" s="303"/>
      <c r="B119" s="303"/>
      <c r="C119" s="304"/>
      <c r="D119" s="305" t="s">
        <v>358</v>
      </c>
      <c r="E119" s="288"/>
      <c r="F119" s="1465" t="s">
        <v>1870</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4" t="str">
        <f>'Single Audit Cover'!A7</f>
        <v xml:space="preserve"> Nippersink SD 2</v>
      </c>
      <c r="C1" s="2605"/>
      <c r="D1" s="2605"/>
      <c r="E1" s="2605"/>
      <c r="F1" s="2605"/>
      <c r="G1" s="2605"/>
      <c r="H1" s="2605"/>
      <c r="I1" s="2605"/>
      <c r="J1" s="1171"/>
    </row>
    <row r="2" spans="2:10" s="295" customFormat="1" ht="12.75" customHeight="1" x14ac:dyDescent="0.2">
      <c r="B2" s="2606">
        <f>'Single Audit Cover'!E7</f>
        <v>44063002003</v>
      </c>
      <c r="C2" s="2607"/>
      <c r="D2" s="2607"/>
      <c r="E2" s="2607"/>
      <c r="F2" s="2607"/>
      <c r="G2" s="2607"/>
      <c r="H2" s="2607"/>
      <c r="I2" s="2607"/>
      <c r="J2" s="1171"/>
    </row>
    <row r="3" spans="2:10" s="295" customFormat="1" ht="12.75" customHeight="1" x14ac:dyDescent="0.2">
      <c r="B3" s="2608" t="s">
        <v>1273</v>
      </c>
      <c r="C3" s="2609"/>
      <c r="D3" s="2609"/>
      <c r="E3" s="2609"/>
      <c r="F3" s="2609"/>
      <c r="G3" s="2609"/>
      <c r="H3" s="2609"/>
      <c r="I3" s="2609"/>
      <c r="J3" s="1172"/>
    </row>
    <row r="4" spans="2:10" s="295" customFormat="1" ht="12.75" customHeight="1" x14ac:dyDescent="0.2">
      <c r="B4" s="2608" t="str">
        <f>'Single Audit Cover'!A4</f>
        <v>Year Ending June 30, 2020</v>
      </c>
      <c r="C4" s="2609"/>
      <c r="D4" s="2609"/>
      <c r="E4" s="2609"/>
      <c r="F4" s="2609"/>
      <c r="G4" s="2609"/>
      <c r="H4" s="2609"/>
      <c r="I4" s="2609"/>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08" t="s">
        <v>1272</v>
      </c>
      <c r="C7" s="2609"/>
      <c r="D7" s="2609"/>
      <c r="E7" s="2609"/>
      <c r="F7" s="2609"/>
      <c r="G7" s="2609"/>
      <c r="H7" s="2609"/>
      <c r="I7" s="2609"/>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10"/>
      <c r="D11" s="2610"/>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11"/>
      <c r="E29" s="2611"/>
      <c r="F29" s="2611"/>
      <c r="G29" s="2611"/>
      <c r="H29" s="2611"/>
      <c r="I29" s="2611"/>
    </row>
    <row r="30" spans="2:9" s="295" customFormat="1" x14ac:dyDescent="0.2">
      <c r="B30" s="1131"/>
      <c r="C30" s="300"/>
      <c r="D30" s="1182" t="s">
        <v>1722</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c r="H33" s="1069" t="s">
        <v>99</v>
      </c>
    </row>
    <row r="35" spans="2:9" x14ac:dyDescent="0.2">
      <c r="B35" s="1190" t="s">
        <v>1723</v>
      </c>
      <c r="C35" s="1191"/>
      <c r="D35" s="1036"/>
    </row>
    <row r="36" spans="2:9" ht="6" customHeight="1" x14ac:dyDescent="0.2">
      <c r="B36" s="1190"/>
      <c r="C36" s="1191"/>
      <c r="D36" s="1036"/>
    </row>
    <row r="37" spans="2:9" ht="17.25" customHeight="1" x14ac:dyDescent="0.2">
      <c r="B37" s="1192" t="s">
        <v>1724</v>
      </c>
      <c r="C37" s="2612" t="s">
        <v>1725</v>
      </c>
      <c r="D37" s="2613"/>
      <c r="E37" s="2613"/>
      <c r="F37" s="2614"/>
      <c r="G37" s="2612" t="s">
        <v>1572</v>
      </c>
      <c r="H37" s="2613"/>
      <c r="I37" s="2614"/>
    </row>
    <row r="38" spans="2:9" ht="16.5" customHeight="1" x14ac:dyDescent="0.2">
      <c r="B38" s="1193"/>
      <c r="C38" s="2600"/>
      <c r="D38" s="2601"/>
      <c r="E38" s="2601"/>
      <c r="F38" s="2602"/>
      <c r="G38" s="2615"/>
      <c r="H38" s="2616"/>
      <c r="I38" s="2617"/>
    </row>
    <row r="39" spans="2:9" ht="16.5" customHeight="1" x14ac:dyDescent="0.2">
      <c r="B39" s="1193"/>
      <c r="C39" s="2600"/>
      <c r="D39" s="2601"/>
      <c r="E39" s="2601"/>
      <c r="F39" s="2602"/>
      <c r="G39" s="2603"/>
      <c r="H39" s="2603"/>
      <c r="I39" s="2603"/>
    </row>
    <row r="40" spans="2:9" ht="16.5" customHeight="1" x14ac:dyDescent="0.2">
      <c r="B40" s="1193"/>
      <c r="C40" s="2600"/>
      <c r="D40" s="2601"/>
      <c r="E40" s="2601"/>
      <c r="F40" s="2602"/>
      <c r="G40" s="2603"/>
      <c r="H40" s="2603"/>
      <c r="I40" s="2603"/>
    </row>
    <row r="41" spans="2:9" ht="16.5" customHeight="1" x14ac:dyDescent="0.2">
      <c r="B41" s="1193"/>
      <c r="C41" s="2600"/>
      <c r="D41" s="2601"/>
      <c r="E41" s="2601"/>
      <c r="F41" s="2602"/>
      <c r="G41" s="2603"/>
      <c r="H41" s="2603"/>
      <c r="I41" s="2603"/>
    </row>
    <row r="42" spans="2:9" ht="16.5" customHeight="1" x14ac:dyDescent="0.2">
      <c r="B42" s="1193"/>
      <c r="C42" s="2600"/>
      <c r="D42" s="2601"/>
      <c r="E42" s="2601"/>
      <c r="F42" s="2602"/>
      <c r="G42" s="2603"/>
      <c r="H42" s="2603"/>
      <c r="I42" s="2603"/>
    </row>
    <row r="43" spans="2:9" ht="16.5" customHeight="1" x14ac:dyDescent="0.2">
      <c r="B43" s="1193"/>
      <c r="C43" s="2593" t="s">
        <v>1573</v>
      </c>
      <c r="D43" s="2594"/>
      <c r="E43" s="2594"/>
      <c r="F43" s="2595"/>
      <c r="G43" s="2596">
        <f>SUM(G38:I42)</f>
        <v>0</v>
      </c>
      <c r="H43" s="2596"/>
      <c r="I43" s="2596"/>
    </row>
    <row r="44" spans="2:9" ht="12.75" customHeight="1" x14ac:dyDescent="0.2"/>
    <row r="45" spans="2:9" ht="12.75" customHeight="1" x14ac:dyDescent="0.2">
      <c r="B45" s="1903" t="str">
        <f>"Total Federal Expenditures for 7/1/"&amp;MID('AFR20'!E2,3,2)-1&amp;"-6/30/"&amp;MID('AFR20'!E2,3,2)</f>
        <v>Total Federal Expenditures for 7/1/19-6/30/20</v>
      </c>
      <c r="C45" s="1904"/>
      <c r="D45" s="2597">
        <v>0</v>
      </c>
      <c r="E45" s="2598"/>
    </row>
    <row r="46" spans="2:9" ht="5.25" customHeight="1" x14ac:dyDescent="0.2">
      <c r="B46" s="1194"/>
      <c r="D46" s="1195"/>
      <c r="E46" s="1196"/>
    </row>
    <row r="47" spans="2:9" ht="12.75" customHeight="1" x14ac:dyDescent="0.2">
      <c r="B47" s="1069" t="s">
        <v>1574</v>
      </c>
      <c r="C47" s="1069"/>
      <c r="D47" s="1197" t="e">
        <f>+G43/D45</f>
        <v>#DIV/0!</v>
      </c>
      <c r="E47" s="1198"/>
      <c r="F47" s="1199"/>
      <c r="I47" s="1200"/>
    </row>
    <row r="48" spans="2:9" ht="9.9499999999999993" customHeight="1" x14ac:dyDescent="0.2"/>
    <row r="49" spans="1:9" x14ac:dyDescent="0.2">
      <c r="B49" s="1131" t="s">
        <v>1261</v>
      </c>
      <c r="C49" s="1051"/>
      <c r="D49" s="1051"/>
      <c r="E49" s="2599"/>
      <c r="F49" s="2599"/>
      <c r="G49" s="2599"/>
      <c r="H49" s="300"/>
    </row>
    <row r="51" spans="1:9" ht="13.5" customHeight="1" x14ac:dyDescent="0.2">
      <c r="B51" s="1131" t="s">
        <v>1260</v>
      </c>
      <c r="C51" s="1051"/>
      <c r="E51" s="1187"/>
      <c r="F51" s="1069" t="s">
        <v>878</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1726</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1727</v>
      </c>
      <c r="C58" s="1213"/>
      <c r="D58" s="1213"/>
    </row>
    <row r="59" spans="1:9" s="1210" customFormat="1" ht="3.95" customHeight="1" x14ac:dyDescent="0.2">
      <c r="A59" s="1207"/>
      <c r="B59" s="1212"/>
      <c r="C59" s="1213"/>
      <c r="D59" s="1213"/>
    </row>
    <row r="60" spans="1:9" s="1210" customFormat="1" ht="13.5" customHeight="1" x14ac:dyDescent="0.2">
      <c r="A60" s="1207"/>
      <c r="B60" s="1212" t="s">
        <v>1728</v>
      </c>
      <c r="C60" s="1213"/>
      <c r="D60" s="1213"/>
    </row>
    <row r="61" spans="1:9" s="1210" customFormat="1" ht="3.95" customHeight="1" x14ac:dyDescent="0.2">
      <c r="A61" s="1207"/>
      <c r="B61" s="1212"/>
      <c r="C61" s="1213"/>
      <c r="D61" s="1213"/>
    </row>
    <row r="62" spans="1:9" s="1210" customFormat="1" ht="12.75" customHeight="1" x14ac:dyDescent="0.2">
      <c r="A62" s="1207"/>
      <c r="B62" s="1212" t="s">
        <v>1729</v>
      </c>
      <c r="C62" s="1213"/>
      <c r="D62" s="1213"/>
    </row>
    <row r="63" spans="1:9" s="1210" customFormat="1" ht="13.5" customHeight="1" x14ac:dyDescent="0.2">
      <c r="A63" s="1207"/>
      <c r="B63" s="1211" t="s">
        <v>1577</v>
      </c>
      <c r="C63" s="1207"/>
      <c r="D63" s="120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4" t="str">
        <f>'Single Audit Cover'!A7</f>
        <v xml:space="preserve"> Nippersink SD 2</v>
      </c>
      <c r="C1" s="2604"/>
      <c r="D1" s="2604"/>
      <c r="E1" s="2604"/>
      <c r="F1" s="2604"/>
      <c r="G1" s="2604"/>
      <c r="H1" s="2604"/>
      <c r="I1" s="2604"/>
      <c r="J1" s="2604"/>
      <c r="K1" s="2604"/>
      <c r="L1" s="1137"/>
      <c r="M1" s="1137"/>
    </row>
    <row r="2" spans="1:13" ht="12" customHeight="1" x14ac:dyDescent="0.2">
      <c r="B2" s="2606">
        <f>'Single Audit Cover'!E7</f>
        <v>44063002003</v>
      </c>
      <c r="C2" s="2606"/>
      <c r="D2" s="2606"/>
      <c r="E2" s="2606"/>
      <c r="F2" s="2606"/>
      <c r="G2" s="2606"/>
      <c r="H2" s="2606"/>
      <c r="I2" s="2606"/>
      <c r="J2" s="2606"/>
      <c r="K2" s="2606"/>
      <c r="L2" s="1138"/>
      <c r="M2" s="1139"/>
    </row>
    <row r="3" spans="1:13" ht="10.35" customHeight="1" x14ac:dyDescent="0.2">
      <c r="B3" s="2620" t="s">
        <v>1273</v>
      </c>
      <c r="C3" s="2620"/>
      <c r="D3" s="2620"/>
      <c r="E3" s="2620"/>
      <c r="F3" s="2620"/>
      <c r="G3" s="2620"/>
      <c r="H3" s="2620"/>
      <c r="I3" s="2620"/>
      <c r="J3" s="2620"/>
      <c r="K3" s="2620"/>
      <c r="L3" s="1140"/>
      <c r="M3" s="1140"/>
    </row>
    <row r="4" spans="1:13" ht="14.25" customHeight="1" x14ac:dyDescent="0.2">
      <c r="B4" s="2621" t="str">
        <f>'Single Audit Cover'!A4</f>
        <v>Year Ending June 30, 2020</v>
      </c>
      <c r="C4" s="2621"/>
      <c r="D4" s="2621"/>
      <c r="E4" s="2621"/>
      <c r="F4" s="2621"/>
      <c r="G4" s="2621"/>
      <c r="H4" s="2621"/>
      <c r="I4" s="2621"/>
      <c r="J4" s="2621"/>
      <c r="K4" s="2621"/>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1" t="s">
        <v>1284</v>
      </c>
      <c r="C7" s="2621"/>
      <c r="D7" s="2622"/>
      <c r="E7" s="2622"/>
      <c r="F7" s="2622"/>
      <c r="G7" s="2622"/>
      <c r="H7" s="2622"/>
      <c r="I7" s="2622"/>
      <c r="J7" s="2622"/>
      <c r="K7" s="2622"/>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1716</v>
      </c>
      <c r="C10" s="1905" t="str">
        <f>'AFR20'!$E$2&amp;"-"</f>
        <v>2020-</v>
      </c>
      <c r="D10" s="1148"/>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19"/>
      <c r="C14" s="2619"/>
      <c r="D14" s="2619"/>
      <c r="E14" s="2619"/>
      <c r="F14" s="2619"/>
      <c r="G14" s="2619"/>
      <c r="H14" s="2619"/>
      <c r="I14" s="2619"/>
      <c r="J14" s="2619"/>
      <c r="K14" s="2619"/>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19"/>
      <c r="C17" s="2619"/>
      <c r="D17" s="2619"/>
      <c r="E17" s="2619"/>
      <c r="F17" s="2619"/>
      <c r="G17" s="2619"/>
      <c r="H17" s="2619"/>
      <c r="I17" s="2619"/>
      <c r="J17" s="2619"/>
      <c r="K17" s="2619"/>
      <c r="L17" s="1144"/>
    </row>
    <row r="18" spans="2:12" ht="4.5" customHeight="1" x14ac:dyDescent="0.2">
      <c r="B18" s="1160"/>
      <c r="C18" s="1160"/>
      <c r="L18" s="1144"/>
    </row>
    <row r="19" spans="2:12" s="1051" customFormat="1" ht="13.5" customHeight="1" x14ac:dyDescent="0.2">
      <c r="B19" s="1155" t="s">
        <v>1717</v>
      </c>
      <c r="C19" s="1155"/>
      <c r="D19" s="1156"/>
      <c r="E19" s="1156"/>
      <c r="F19" s="1156"/>
      <c r="G19" s="1157"/>
      <c r="H19" s="1156"/>
      <c r="I19" s="1157"/>
      <c r="J19" s="1156"/>
      <c r="K19" s="1156"/>
      <c r="L19" s="1158"/>
    </row>
    <row r="20" spans="2:12" ht="45.75" customHeight="1" x14ac:dyDescent="0.2">
      <c r="B20" s="2623"/>
      <c r="C20" s="2623"/>
      <c r="D20" s="2619"/>
      <c r="E20" s="2619"/>
      <c r="F20" s="2619"/>
      <c r="G20" s="2619"/>
      <c r="H20" s="2619"/>
      <c r="I20" s="2619"/>
      <c r="J20" s="2619"/>
      <c r="K20" s="2619"/>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19"/>
      <c r="C23" s="2619"/>
      <c r="D23" s="2619"/>
      <c r="E23" s="2619"/>
      <c r="F23" s="2619"/>
      <c r="G23" s="2619"/>
      <c r="H23" s="2619"/>
      <c r="I23" s="2619"/>
      <c r="J23" s="2619"/>
      <c r="K23" s="2619"/>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19"/>
      <c r="C26" s="2619"/>
      <c r="D26" s="2619"/>
      <c r="E26" s="2619"/>
      <c r="F26" s="2619"/>
      <c r="G26" s="2619"/>
      <c r="H26" s="2619"/>
      <c r="I26" s="2619"/>
      <c r="J26" s="2619"/>
      <c r="K26" s="2619"/>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18"/>
      <c r="C29" s="2618"/>
      <c r="D29" s="2619"/>
      <c r="E29" s="2619"/>
      <c r="F29" s="2619"/>
      <c r="G29" s="2619"/>
      <c r="H29" s="2619"/>
      <c r="I29" s="2619"/>
      <c r="J29" s="2619"/>
      <c r="K29" s="2619"/>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1718</v>
      </c>
      <c r="C31" s="1165"/>
      <c r="D31" s="1141"/>
      <c r="E31" s="1142"/>
      <c r="F31" s="1142"/>
      <c r="G31" s="1143"/>
      <c r="H31" s="1142"/>
      <c r="I31" s="1143"/>
      <c r="J31" s="1142"/>
      <c r="K31" s="1142"/>
      <c r="L31" s="1144"/>
    </row>
    <row r="32" spans="2:12" s="300" customFormat="1" ht="44.25" customHeight="1" x14ac:dyDescent="0.2">
      <c r="B32" s="2618"/>
      <c r="C32" s="2618"/>
      <c r="D32" s="2619"/>
      <c r="E32" s="2619"/>
      <c r="F32" s="2619"/>
      <c r="G32" s="2619"/>
      <c r="H32" s="2619"/>
      <c r="I32" s="2619"/>
      <c r="J32" s="2619"/>
      <c r="K32" s="2619"/>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1719</v>
      </c>
      <c r="C35" s="1168"/>
      <c r="D35" s="300"/>
      <c r="E35" s="300"/>
      <c r="F35" s="300"/>
      <c r="L35" s="1144"/>
    </row>
    <row r="36" spans="1:13" ht="9.6" customHeight="1" x14ac:dyDescent="0.2">
      <c r="B36" s="1069" t="s">
        <v>1810</v>
      </c>
      <c r="C36" s="1069"/>
      <c r="L36" s="1144"/>
    </row>
    <row r="37" spans="1:13" ht="9.6" customHeight="1" x14ac:dyDescent="0.2">
      <c r="B37" s="1069" t="s">
        <v>1811</v>
      </c>
      <c r="C37" s="1069"/>
    </row>
    <row r="38" spans="1:13" ht="11.85" customHeight="1" x14ac:dyDescent="0.2">
      <c r="B38" s="1169" t="s">
        <v>1720</v>
      </c>
      <c r="C38" s="1169"/>
    </row>
    <row r="39" spans="1:13" ht="9.6" customHeight="1" x14ac:dyDescent="0.2">
      <c r="B39" s="1069" t="s">
        <v>1274</v>
      </c>
      <c r="C39" s="1069"/>
      <c r="M39" s="1170"/>
    </row>
    <row r="40" spans="1:13" ht="12.6" customHeight="1" x14ac:dyDescent="0.2">
      <c r="B40" s="1169" t="s">
        <v>1721</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7" t="str">
        <f>'Single Audit Cover'!A7</f>
        <v xml:space="preserve"> Nippersink SD 2</v>
      </c>
      <c r="C1" s="2627"/>
      <c r="D1" s="2627"/>
      <c r="E1" s="2627"/>
      <c r="F1" s="2627"/>
      <c r="G1" s="2627"/>
      <c r="H1" s="2627"/>
      <c r="I1" s="2627"/>
      <c r="J1" s="2627"/>
      <c r="K1" s="2627"/>
      <c r="L1" s="1214"/>
    </row>
    <row r="2" spans="1:12" ht="12.75" customHeight="1" x14ac:dyDescent="0.2">
      <c r="B2" s="2628">
        <f>'Single Audit Cover'!E7</f>
        <v>44063002003</v>
      </c>
      <c r="C2" s="2628"/>
      <c r="D2" s="2628"/>
      <c r="E2" s="2628"/>
      <c r="F2" s="2628"/>
      <c r="G2" s="2628"/>
      <c r="H2" s="2628"/>
      <c r="I2" s="2628"/>
      <c r="J2" s="2628"/>
      <c r="K2" s="2628"/>
      <c r="L2" s="1215"/>
    </row>
    <row r="3" spans="1:12" ht="12.75" customHeight="1" x14ac:dyDescent="0.2">
      <c r="B3" s="2620" t="s">
        <v>1273</v>
      </c>
      <c r="C3" s="2620"/>
      <c r="D3" s="2620"/>
      <c r="E3" s="2620"/>
      <c r="F3" s="2620"/>
      <c r="G3" s="2620"/>
      <c r="H3" s="2620"/>
      <c r="I3" s="2620"/>
      <c r="J3" s="2620"/>
      <c r="K3" s="2620"/>
      <c r="L3" s="1140"/>
    </row>
    <row r="4" spans="1:12" ht="12.75" customHeight="1" x14ac:dyDescent="0.2">
      <c r="B4" s="2620" t="str">
        <f>'Single Audit Cover'!A4</f>
        <v>Year Ending June 30, 2020</v>
      </c>
      <c r="C4" s="2620"/>
      <c r="D4" s="2620"/>
      <c r="E4" s="2620"/>
      <c r="F4" s="2620"/>
      <c r="G4" s="2620"/>
      <c r="H4" s="2620"/>
      <c r="I4" s="2620"/>
      <c r="J4" s="2620"/>
      <c r="K4" s="2620"/>
      <c r="L4" s="1140"/>
    </row>
    <row r="5" spans="1:12" ht="5.25" customHeight="1" x14ac:dyDescent="0.2">
      <c r="B5" s="1029" t="s">
        <v>1158</v>
      </c>
      <c r="C5" s="1029"/>
      <c r="L5" s="300"/>
    </row>
    <row r="6" spans="1:12" ht="30.75" customHeight="1" x14ac:dyDescent="0.2">
      <c r="A6" s="300"/>
      <c r="B6" s="2629" t="s">
        <v>1296</v>
      </c>
      <c r="C6" s="2629"/>
      <c r="D6" s="2629"/>
      <c r="E6" s="2629"/>
      <c r="F6" s="2629"/>
      <c r="G6" s="2629"/>
      <c r="H6" s="2629"/>
      <c r="I6" s="2629"/>
      <c r="J6" s="2629"/>
      <c r="K6" s="2629"/>
      <c r="L6" s="300"/>
    </row>
    <row r="7" spans="1:12" ht="4.5" customHeight="1" x14ac:dyDescent="0.2">
      <c r="B7" s="1142"/>
      <c r="C7" s="1142"/>
      <c r="D7" s="1142"/>
      <c r="E7" s="1142"/>
      <c r="F7" s="1142"/>
      <c r="G7" s="1143"/>
      <c r="H7" s="1142"/>
      <c r="I7" s="1143"/>
      <c r="J7" s="1142"/>
      <c r="K7" s="1142"/>
      <c r="L7" s="300"/>
    </row>
    <row r="8" spans="1:12" ht="13.5" customHeight="1" x14ac:dyDescent="0.2">
      <c r="B8" s="1149" t="s">
        <v>1730</v>
      </c>
      <c r="C8" s="1905" t="str">
        <f>'AFR20'!$E$2&amp;"-"</f>
        <v>2020-</v>
      </c>
      <c r="D8" s="1216"/>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11"/>
      <c r="G12" s="2611"/>
      <c r="H12" s="2611"/>
      <c r="I12" s="2611"/>
      <c r="J12" s="2611"/>
      <c r="K12" s="2611"/>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24"/>
      <c r="E14" s="2624"/>
      <c r="F14" s="2624"/>
      <c r="H14" s="1223" t="s">
        <v>1291</v>
      </c>
      <c r="I14" s="2625"/>
      <c r="J14" s="2625"/>
      <c r="K14" s="2625"/>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25"/>
      <c r="E16" s="2625"/>
      <c r="F16" s="2625"/>
      <c r="G16" s="2625"/>
      <c r="H16" s="2625"/>
      <c r="I16" s="2625"/>
      <c r="J16" s="2625"/>
      <c r="K16" s="2625"/>
      <c r="L16" s="300"/>
    </row>
    <row r="17" spans="2:12" ht="13.5" customHeight="1" x14ac:dyDescent="0.2">
      <c r="B17" s="1149" t="s">
        <v>1289</v>
      </c>
      <c r="C17" s="1149"/>
      <c r="D17" s="2626"/>
      <c r="E17" s="2626"/>
      <c r="F17" s="2626"/>
      <c r="G17" s="2626"/>
      <c r="H17" s="2626"/>
      <c r="I17" s="2626"/>
      <c r="J17" s="2626"/>
      <c r="K17" s="2626"/>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19"/>
      <c r="C20" s="2619"/>
      <c r="D20" s="2619"/>
      <c r="E20" s="2619"/>
      <c r="F20" s="2619"/>
      <c r="G20" s="2619"/>
      <c r="H20" s="2619"/>
      <c r="I20" s="2619"/>
      <c r="J20" s="2619"/>
      <c r="K20" s="2619"/>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1731</v>
      </c>
      <c r="C22" s="1225"/>
      <c r="D22" s="300"/>
      <c r="E22" s="300"/>
      <c r="F22" s="300"/>
      <c r="G22" s="1146"/>
      <c r="H22" s="300"/>
      <c r="I22" s="1146"/>
      <c r="J22" s="300"/>
      <c r="K22" s="300"/>
      <c r="L22" s="300"/>
    </row>
    <row r="23" spans="2:12" ht="37.5" customHeight="1" x14ac:dyDescent="0.2">
      <c r="B23" s="2619"/>
      <c r="C23" s="2619"/>
      <c r="D23" s="2619"/>
      <c r="E23" s="2619"/>
      <c r="F23" s="2619"/>
      <c r="G23" s="2619"/>
      <c r="H23" s="2619"/>
      <c r="I23" s="2619"/>
      <c r="J23" s="2619"/>
      <c r="K23" s="2619"/>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1732</v>
      </c>
      <c r="C25" s="1225"/>
      <c r="D25" s="300"/>
      <c r="E25" s="300"/>
      <c r="F25" s="300"/>
      <c r="G25" s="1146"/>
      <c r="H25" s="300"/>
      <c r="I25" s="1146"/>
      <c r="J25" s="300"/>
      <c r="K25" s="300"/>
      <c r="L25" s="300"/>
    </row>
    <row r="26" spans="2:12" ht="37.5" customHeight="1" x14ac:dyDescent="0.2">
      <c r="B26" s="2619"/>
      <c r="C26" s="2619"/>
      <c r="D26" s="2619"/>
      <c r="E26" s="2619"/>
      <c r="F26" s="2619"/>
      <c r="G26" s="2619"/>
      <c r="H26" s="2619"/>
      <c r="I26" s="2619"/>
      <c r="J26" s="2619"/>
      <c r="K26" s="2619"/>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1733</v>
      </c>
      <c r="C28" s="1225"/>
      <c r="D28" s="300"/>
      <c r="E28" s="300"/>
      <c r="F28" s="300"/>
      <c r="G28" s="1146"/>
      <c r="H28" s="300"/>
      <c r="I28" s="1146"/>
      <c r="J28" s="300"/>
      <c r="K28" s="300"/>
      <c r="L28" s="300"/>
    </row>
    <row r="29" spans="2:12" ht="37.5" customHeight="1" x14ac:dyDescent="0.2">
      <c r="B29" s="2619"/>
      <c r="C29" s="2619"/>
      <c r="D29" s="2619"/>
      <c r="E29" s="2619"/>
      <c r="F29" s="2619"/>
      <c r="G29" s="2619"/>
      <c r="H29" s="2619"/>
      <c r="I29" s="2619"/>
      <c r="J29" s="2619"/>
      <c r="K29" s="2619"/>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19"/>
      <c r="C32" s="2619"/>
      <c r="D32" s="2619"/>
      <c r="E32" s="2619"/>
      <c r="F32" s="2619"/>
      <c r="G32" s="2619"/>
      <c r="H32" s="2619"/>
      <c r="I32" s="2619"/>
      <c r="J32" s="2619"/>
      <c r="K32" s="2619"/>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19"/>
      <c r="C35" s="2619"/>
      <c r="D35" s="2619"/>
      <c r="E35" s="2619"/>
      <c r="F35" s="2619"/>
      <c r="G35" s="2619"/>
      <c r="H35" s="2619"/>
      <c r="I35" s="2619"/>
      <c r="J35" s="2619"/>
      <c r="K35" s="2619"/>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19"/>
      <c r="C38" s="2619"/>
      <c r="D38" s="2619"/>
      <c r="E38" s="2619"/>
      <c r="F38" s="2619"/>
      <c r="G38" s="2619"/>
      <c r="H38" s="2619"/>
      <c r="I38" s="2619"/>
      <c r="J38" s="2619"/>
      <c r="K38" s="2619"/>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1734</v>
      </c>
      <c r="C40" s="1165"/>
      <c r="D40" s="1141"/>
      <c r="E40" s="1142"/>
      <c r="F40" s="1142"/>
      <c r="G40" s="1143"/>
      <c r="H40" s="1142"/>
      <c r="I40" s="1143"/>
      <c r="J40" s="1142"/>
      <c r="K40" s="1142"/>
    </row>
    <row r="41" spans="2:12" s="300" customFormat="1" ht="33.75" customHeight="1" x14ac:dyDescent="0.2">
      <c r="B41" s="2619"/>
      <c r="C41" s="2619"/>
      <c r="D41" s="2619"/>
      <c r="E41" s="2619"/>
      <c r="F41" s="2619"/>
      <c r="G41" s="2619"/>
      <c r="H41" s="2619"/>
      <c r="I41" s="2619"/>
      <c r="J41" s="2619"/>
      <c r="K41" s="2619"/>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1735</v>
      </c>
      <c r="C44" s="1168"/>
      <c r="D44" s="300"/>
      <c r="E44" s="300"/>
      <c r="F44" s="300"/>
    </row>
    <row r="45" spans="2:12" ht="10.5" customHeight="1" x14ac:dyDescent="0.2">
      <c r="B45" s="1169" t="s">
        <v>1736</v>
      </c>
      <c r="C45" s="1169"/>
      <c r="G45" s="295"/>
      <c r="I45" s="295"/>
    </row>
    <row r="46" spans="2:12" ht="11.1" customHeight="1" x14ac:dyDescent="0.2">
      <c r="B46" s="1169" t="s">
        <v>1737</v>
      </c>
      <c r="C46" s="1169"/>
      <c r="G46" s="295"/>
      <c r="I46" s="295"/>
    </row>
    <row r="47" spans="2:12" ht="11.1" customHeight="1" x14ac:dyDescent="0.2">
      <c r="B47" s="1169" t="s">
        <v>1738</v>
      </c>
      <c r="C47" s="1169"/>
      <c r="G47" s="295"/>
      <c r="I47" s="295"/>
    </row>
    <row r="48" spans="2:12" ht="11.1" customHeight="1" x14ac:dyDescent="0.2">
      <c r="B48" s="1169" t="s">
        <v>1739</v>
      </c>
      <c r="C48" s="116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04" t="str">
        <f>'Single Audit Cover'!A7</f>
        <v xml:space="preserve"> Nippersink SD 2</v>
      </c>
      <c r="C1" s="2604"/>
      <c r="D1" s="2604"/>
      <c r="E1" s="1233"/>
    </row>
    <row r="2" spans="2:5" s="1051" customFormat="1" ht="12.75" customHeight="1" x14ac:dyDescent="0.2">
      <c r="B2" s="2606">
        <f>'Single Audit Cover'!E7</f>
        <v>44063002003</v>
      </c>
      <c r="C2" s="2606"/>
      <c r="D2" s="2606"/>
      <c r="E2" s="1234"/>
    </row>
    <row r="3" spans="2:5" ht="12.75" customHeight="1" x14ac:dyDescent="0.2">
      <c r="B3" s="2620" t="s">
        <v>1740</v>
      </c>
      <c r="C3" s="2620"/>
      <c r="D3" s="2620"/>
      <c r="E3" s="1043"/>
    </row>
    <row r="4" spans="2:5" s="1051" customFormat="1" ht="12.75" customHeight="1" x14ac:dyDescent="0.2">
      <c r="B4" s="2630" t="str">
        <f>'Single Audit Cover'!A4</f>
        <v>Year Ending June 30, 2020</v>
      </c>
      <c r="C4" s="2630"/>
      <c r="D4" s="2630"/>
      <c r="E4" s="1235"/>
    </row>
    <row r="5" spans="2:5" s="1051" customFormat="1" ht="40.15" customHeight="1" x14ac:dyDescent="0.2">
      <c r="B5" s="1236" t="s">
        <v>1741</v>
      </c>
      <c r="C5" s="306"/>
      <c r="D5" s="306"/>
      <c r="E5" s="306"/>
    </row>
    <row r="6" spans="2:5" s="1051" customFormat="1" ht="13.5" customHeight="1" x14ac:dyDescent="0.2">
      <c r="B6" s="1237" t="s">
        <v>1303</v>
      </c>
      <c r="C6" s="1237" t="s">
        <v>1302</v>
      </c>
      <c r="D6" s="1237" t="s">
        <v>1742</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1743</v>
      </c>
    </row>
    <row r="46" spans="2:5" ht="12.2" customHeight="1" x14ac:dyDescent="0.2">
      <c r="B46" s="1247" t="s">
        <v>1744</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B31" sqref="B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5" t="s">
        <v>383</v>
      </c>
      <c r="B1" s="2195"/>
      <c r="C1" s="2195"/>
      <c r="D1" s="2195"/>
      <c r="E1" s="2195"/>
      <c r="F1" s="2195"/>
      <c r="G1" s="2195"/>
      <c r="H1" s="2195"/>
      <c r="I1" s="2195"/>
      <c r="J1" s="2195"/>
      <c r="K1" s="2195"/>
      <c r="L1" s="2195"/>
      <c r="M1" s="2195"/>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v>383659467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2.566297E-2</v>
      </c>
      <c r="E10" s="333" t="s">
        <v>997</v>
      </c>
      <c r="F10" s="332">
        <v>4.5498200000000004E-3</v>
      </c>
      <c r="G10" s="333" t="s">
        <v>997</v>
      </c>
      <c r="H10" s="332">
        <v>8.6907E-4</v>
      </c>
      <c r="I10" s="333" t="s">
        <v>998</v>
      </c>
      <c r="J10" s="1417">
        <f>ROUND(D10+F10+H10,5)</f>
        <v>3.108E-2</v>
      </c>
      <c r="K10" s="217"/>
      <c r="L10" s="332">
        <v>7.7000000000000001E-5</v>
      </c>
      <c r="M10" s="217"/>
    </row>
    <row r="11" spans="1:14" ht="7.5" customHeight="1" x14ac:dyDescent="0.2">
      <c r="B11" s="217"/>
      <c r="C11" s="217"/>
      <c r="D11" s="2205" t="str">
        <f>IF(SUM(J10)&lt;=0.0999999,"","Enter the Tax Rates by moving the decimal two places to the left.")</f>
        <v/>
      </c>
      <c r="E11" s="2206"/>
      <c r="F11" s="2206"/>
      <c r="G11" s="2206"/>
      <c r="H11" s="2206"/>
      <c r="I11" s="2206"/>
      <c r="J11" s="220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14115523</v>
      </c>
      <c r="E16" s="1540"/>
      <c r="F16" s="1539">
        <f>SUM('Acct Summary 7-8'!C17,'Acct Summary 7-8'!D17,'Acct Summary 7-8'!F17)</f>
        <v>15501413</v>
      </c>
      <c r="G16" s="1540"/>
      <c r="H16" s="1539">
        <f>SUM(D16-F16)</f>
        <v>-1385890</v>
      </c>
      <c r="I16" s="1541"/>
      <c r="J16" s="1539">
        <f>SUM('Acct Summary 7-8'!C81,'Acct Summary 7-8'!D81,'Acct Summary 7-8'!F81,'Acct Summary 7-8'!I81)</f>
        <v>16991909</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2062</v>
      </c>
      <c r="C31" s="344" t="s">
        <v>582</v>
      </c>
      <c r="D31" s="232" t="s">
        <v>1062</v>
      </c>
      <c r="E31" s="217"/>
      <c r="F31" s="217"/>
      <c r="G31" s="340"/>
      <c r="H31" s="1418">
        <f>IF(B31="X",(J7*0.069),IF(B32="X",(J7*0.138),"Enter x in a.or b."))</f>
        <v>26472503.223000001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6"/>
      <c r="C54" s="2197"/>
      <c r="D54" s="2197"/>
      <c r="E54" s="2197"/>
      <c r="F54" s="2197"/>
      <c r="G54" s="2197"/>
      <c r="H54" s="2197"/>
      <c r="I54" s="2197"/>
      <c r="J54" s="2197"/>
      <c r="K54" s="2197"/>
      <c r="L54" s="2198"/>
      <c r="M54" s="357"/>
    </row>
    <row r="55" spans="1:13" ht="12.75" customHeight="1" x14ac:dyDescent="0.2">
      <c r="B55" s="2199"/>
      <c r="C55" s="2200"/>
      <c r="D55" s="2200"/>
      <c r="E55" s="2200"/>
      <c r="F55" s="2200"/>
      <c r="G55" s="2200"/>
      <c r="H55" s="2200"/>
      <c r="I55" s="2200"/>
      <c r="J55" s="2200"/>
      <c r="K55" s="2200"/>
      <c r="L55" s="2201"/>
      <c r="M55" s="357"/>
    </row>
    <row r="56" spans="1:13" ht="12.75" customHeight="1" x14ac:dyDescent="0.2">
      <c r="B56" s="2199"/>
      <c r="C56" s="2200"/>
      <c r="D56" s="2200"/>
      <c r="E56" s="2200"/>
      <c r="F56" s="2200"/>
      <c r="G56" s="2200"/>
      <c r="H56" s="2200"/>
      <c r="I56" s="2200"/>
      <c r="J56" s="2200"/>
      <c r="K56" s="2200"/>
      <c r="L56" s="2201"/>
      <c r="M56" s="217"/>
    </row>
    <row r="57" spans="1:13" ht="12.75" customHeight="1" x14ac:dyDescent="0.2">
      <c r="B57" s="2199"/>
      <c r="C57" s="2200"/>
      <c r="D57" s="2200"/>
      <c r="E57" s="2200"/>
      <c r="F57" s="2200"/>
      <c r="G57" s="2200"/>
      <c r="H57" s="2200"/>
      <c r="I57" s="2200"/>
      <c r="J57" s="2200"/>
      <c r="K57" s="2200"/>
      <c r="L57" s="2201"/>
      <c r="M57" s="217"/>
    </row>
    <row r="58" spans="1:13" x14ac:dyDescent="0.2">
      <c r="B58" s="2202"/>
      <c r="C58" s="2203"/>
      <c r="D58" s="2203"/>
      <c r="E58" s="2203"/>
      <c r="F58" s="2203"/>
      <c r="G58" s="2203"/>
      <c r="H58" s="2203"/>
      <c r="I58" s="2203"/>
      <c r="J58" s="2203"/>
      <c r="K58" s="2203"/>
      <c r="L58" s="220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7"/>
      <c r="D61" s="220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0"/>
      <c r="B1" s="2211"/>
      <c r="C1" s="2211"/>
      <c r="D1" s="361"/>
      <c r="E1" s="361"/>
      <c r="F1" s="361"/>
      <c r="G1" s="361"/>
      <c r="H1" s="361"/>
      <c r="I1" s="361"/>
      <c r="J1" s="361"/>
      <c r="K1" s="361"/>
      <c r="L1" s="361"/>
      <c r="M1" s="361"/>
      <c r="N1" s="361"/>
      <c r="O1" s="2210"/>
      <c r="P1" s="2211"/>
      <c r="Q1" s="2211"/>
    </row>
    <row r="2" spans="1:18" ht="15" x14ac:dyDescent="0.2">
      <c r="A2" s="2214" t="s">
        <v>552</v>
      </c>
      <c r="B2" s="2214"/>
      <c r="C2" s="2214"/>
      <c r="D2" s="2214"/>
      <c r="E2" s="2214"/>
      <c r="F2" s="2214"/>
      <c r="G2" s="2214"/>
      <c r="H2" s="2214"/>
      <c r="I2" s="2214"/>
      <c r="J2" s="2214"/>
      <c r="K2" s="2214"/>
      <c r="L2" s="2214"/>
      <c r="M2" s="2214"/>
      <c r="N2" s="2214"/>
      <c r="O2" s="2214"/>
      <c r="P2" s="2214"/>
      <c r="Q2" s="2214"/>
      <c r="R2" s="2214"/>
    </row>
    <row r="3" spans="1:18" ht="12.75" x14ac:dyDescent="0.2">
      <c r="A3" s="2215" t="s">
        <v>1393</v>
      </c>
      <c r="B3" s="2215"/>
      <c r="C3" s="2215"/>
      <c r="D3" s="2215"/>
      <c r="E3" s="2215"/>
      <c r="F3" s="2215"/>
      <c r="G3" s="2215"/>
      <c r="H3" s="2215"/>
      <c r="I3" s="2215"/>
      <c r="J3" s="2215"/>
      <c r="K3" s="2215"/>
      <c r="L3" s="2215"/>
      <c r="M3" s="2215"/>
      <c r="N3" s="2215"/>
      <c r="O3" s="2215"/>
      <c r="P3" s="2215"/>
      <c r="Q3" s="2215"/>
      <c r="R3" s="2215"/>
    </row>
    <row r="4" spans="1:18" x14ac:dyDescent="0.2">
      <c r="A4" s="2216" t="s">
        <v>1534</v>
      </c>
      <c r="B4" s="2216"/>
      <c r="C4" s="2216"/>
      <c r="D4" s="2216"/>
      <c r="E4" s="2216"/>
      <c r="F4" s="2216"/>
      <c r="G4" s="2216"/>
      <c r="H4" s="2216"/>
      <c r="I4" s="2216"/>
      <c r="J4" s="2216"/>
      <c r="K4" s="2216"/>
      <c r="L4" s="2216"/>
      <c r="M4" s="2216"/>
      <c r="N4" s="2216"/>
      <c r="O4" s="2216"/>
      <c r="P4" s="2216"/>
      <c r="Q4" s="2216"/>
      <c r="R4" s="221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Nippersink SD 2</v>
      </c>
      <c r="E7" s="368"/>
      <c r="G7" s="247"/>
      <c r="H7" s="364"/>
      <c r="I7" s="364"/>
      <c r="J7" s="364"/>
      <c r="K7" s="364"/>
      <c r="L7" s="307"/>
      <c r="M7" s="307"/>
      <c r="N7" s="307"/>
      <c r="O7" s="307"/>
      <c r="P7" s="307"/>
    </row>
    <row r="8" spans="1:18" ht="12.75" x14ac:dyDescent="0.2">
      <c r="A8" s="307"/>
      <c r="B8" s="307"/>
      <c r="C8" s="366" t="s">
        <v>1114</v>
      </c>
      <c r="D8" s="369">
        <f>COVER!A13</f>
        <v>44063002003</v>
      </c>
      <c r="E8" s="370"/>
      <c r="G8" s="307"/>
      <c r="H8" s="307"/>
      <c r="I8" s="307"/>
      <c r="J8" s="307"/>
      <c r="K8" s="307"/>
      <c r="L8" s="307"/>
      <c r="M8" s="307"/>
      <c r="N8" s="307"/>
      <c r="O8" s="307"/>
      <c r="P8" s="307"/>
    </row>
    <row r="9" spans="1:18" ht="12.75" x14ac:dyDescent="0.2">
      <c r="A9" s="307"/>
      <c r="B9" s="307"/>
      <c r="C9" s="366" t="s">
        <v>707</v>
      </c>
      <c r="D9" s="371" t="str">
        <f>COVER!A15</f>
        <v>MCHENRY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4</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16991909</v>
      </c>
      <c r="I12" s="380"/>
      <c r="J12" s="380"/>
      <c r="K12" s="1552">
        <f>TRUNC((H12/H13*100000),5)/100000</f>
        <v>1.203774667</v>
      </c>
      <c r="L12" s="381"/>
      <c r="M12" s="337" t="s">
        <v>1133</v>
      </c>
      <c r="N12" s="337"/>
      <c r="O12" s="1555">
        <v>0.35</v>
      </c>
      <c r="P12" s="213"/>
      <c r="Q12" s="213"/>
    </row>
    <row r="13" spans="1:18" s="382" customFormat="1" ht="12.75" x14ac:dyDescent="0.2">
      <c r="A13" s="213"/>
      <c r="B13" s="377"/>
      <c r="C13" s="2212" t="s">
        <v>1312</v>
      </c>
      <c r="D13" s="2213"/>
      <c r="E13" s="213"/>
      <c r="F13" s="383" t="s">
        <v>787</v>
      </c>
      <c r="G13" s="378"/>
      <c r="H13" s="1544">
        <f>SUM('Acct Summary 7-8'!C8+'Acct Summary 7-8'!D8+'Acct Summary 7-8'!F8+'Acct Summary 7-8'!I8)+H14</f>
        <v>14115523</v>
      </c>
      <c r="I13" s="380"/>
      <c r="J13" s="380"/>
      <c r="K13" s="1551"/>
      <c r="L13" s="213"/>
      <c r="M13" s="337" t="s">
        <v>1134</v>
      </c>
      <c r="N13" s="337"/>
      <c r="O13" s="1556">
        <f>(O11*O12)</f>
        <v>1.4</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t="str">
        <f>IF(K17&gt;1.2,"1",IF(K17&gt;1.1,"2",IF(K17&gt;1,"3",4)))</f>
        <v>3</v>
      </c>
      <c r="P16" s="211"/>
      <c r="R16" s="361"/>
    </row>
    <row r="17" spans="1:18" s="382" customFormat="1" ht="11.25" x14ac:dyDescent="0.2">
      <c r="A17" s="213"/>
      <c r="B17" s="377"/>
      <c r="C17" s="213" t="s">
        <v>791</v>
      </c>
      <c r="D17" s="213"/>
      <c r="E17" s="213"/>
      <c r="F17" s="213" t="s">
        <v>441</v>
      </c>
      <c r="G17" s="378"/>
      <c r="H17" s="1544">
        <f>SUM('Acct Summary 7-8'!C17+'Acct Summary 7-8'!D17+'Acct Summary 7-8'!F17)</f>
        <v>15501413</v>
      </c>
      <c r="I17" s="380"/>
      <c r="J17" s="389"/>
      <c r="K17" s="1552">
        <f>TRUNC((H17/H18*100000),5)/100000</f>
        <v>1.0981819801999999</v>
      </c>
      <c r="L17" s="381"/>
      <c r="M17" s="390" t="s">
        <v>1160</v>
      </c>
      <c r="O17" s="1558" t="str">
        <f>IF(AND(O16="2", J20 &gt; 2),"1",IF(AND(O16 = "1", J20 &gt; 2),"2",IF(AND(O16="1", J20 &gt;1),"1","0")))</f>
        <v>0</v>
      </c>
      <c r="P17" s="213"/>
    </row>
    <row r="18" spans="1:18" s="382" customFormat="1" ht="11.25" x14ac:dyDescent="0.2">
      <c r="A18" s="213"/>
      <c r="B18" s="377"/>
      <c r="C18" s="2212" t="s">
        <v>1305</v>
      </c>
      <c r="D18" s="2213"/>
      <c r="E18" s="213"/>
      <c r="F18" s="391" t="s">
        <v>788</v>
      </c>
      <c r="G18" s="378"/>
      <c r="H18" s="1544">
        <f>SUM('Acct Summary 7-8'!C8+'Acct Summary 7-8'!D8+'Acct Summary 7-8'!F8+'Acct Summary 7-8'!I8)+H19</f>
        <v>14115523</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f>IF(K17&lt;=1,"0",TRUNC(((K12-0.1)/(K17-1)*100),5)/100)</f>
        <v>11.2421308</v>
      </c>
      <c r="K20" s="1552" t="str">
        <f>IF(K17&lt;=1,"0",IF(AND(O16="2", J20 &gt; 2),TRUNC(((K12-0.1)/(K17-1)*100),5)/100,IF(AND(O16 = "1", J20 &gt; 2),TRUNC(((K12-0.1)/(K17-1)*100),5)/100,IF(AND(O16="1", J20 &gt;1),TRUNC(((K12-0.1)/(K17-1)*100),5)/100,""))))</f>
        <v/>
      </c>
      <c r="L20" s="213"/>
      <c r="M20" s="337" t="s">
        <v>1134</v>
      </c>
      <c r="N20" s="337"/>
      <c r="O20" s="1556">
        <f>(O16+O17)*O18</f>
        <v>1.0499999999999998</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4</v>
      </c>
      <c r="P23" s="211"/>
      <c r="R23" s="361"/>
    </row>
    <row r="24" spans="1:18" s="382" customFormat="1" ht="11.25" x14ac:dyDescent="0.2">
      <c r="A24" s="213"/>
      <c r="B24" s="377"/>
      <c r="C24" s="2209" t="s">
        <v>1392</v>
      </c>
      <c r="D24" s="2209"/>
      <c r="E24" s="213"/>
      <c r="F24" s="213" t="s">
        <v>442</v>
      </c>
      <c r="G24" s="378"/>
      <c r="H24" s="1544">
        <f>SUM('Assets-Liab 5-6'!C4+'Assets-Liab 5-6'!D4+'Assets-Liab 5-6'!F4+'Assets-Liab 5-6'!I4+'Assets-Liab 5-6'!C5+'Assets-Liab 5-6'!D5+'Assets-Liab 5-6'!F5+'Assets-Liab 5-6'!I5)</f>
        <v>17036959</v>
      </c>
      <c r="I24" s="394"/>
      <c r="J24" s="394"/>
      <c r="K24" s="1548">
        <f>TRUNC(((H24/H25*100000)/100000),2)</f>
        <v>395.66</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43059.480560000004</v>
      </c>
      <c r="I25" s="396"/>
      <c r="J25" s="396"/>
      <c r="K25" s="1551"/>
      <c r="L25" s="213"/>
      <c r="M25" s="337" t="s">
        <v>1134</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str">
        <f>IF(K28&gt;=75,"4",IF(K28&gt;=50,"3",IF(K28&gt;=25,"2",1)))</f>
        <v>4</v>
      </c>
      <c r="P27" s="211"/>
    </row>
    <row r="28" spans="1:18" s="382" customFormat="1" ht="11.25" x14ac:dyDescent="0.2">
      <c r="A28" s="213"/>
      <c r="B28" s="377"/>
      <c r="C28" s="213" t="s">
        <v>1890</v>
      </c>
      <c r="D28" s="213"/>
      <c r="E28" s="213"/>
      <c r="F28" s="213" t="s">
        <v>441</v>
      </c>
      <c r="G28" s="378"/>
      <c r="H28" s="1549">
        <f>SUM('Short-Term Long-Term Debt 24'!F6,'Short-Term Long-Term Debt 24'!F7,'Short-Term Long-Term Debt 24'!F11)</f>
        <v>0</v>
      </c>
      <c r="I28" s="397"/>
      <c r="J28" s="397"/>
      <c r="K28" s="1548">
        <f>TRUNC(100-((((H28/H29*100))*100)/100),2)</f>
        <v>100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10135515.799210001</v>
      </c>
      <c r="I29" s="397"/>
      <c r="J29" s="397"/>
      <c r="K29" s="1551"/>
      <c r="L29" s="213"/>
      <c r="M29" s="337" t="s">
        <v>1134</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str">
        <f>IF(K32&gt;=75,"4",IF(K32&gt;=50,"3",IF(K32&gt;=25,"2",1)))</f>
        <v>4</v>
      </c>
      <c r="P31" s="211"/>
    </row>
    <row r="32" spans="1:18" s="382" customFormat="1" ht="11.25" x14ac:dyDescent="0.2">
      <c r="A32" s="213"/>
      <c r="B32" s="377"/>
      <c r="C32" s="213" t="s">
        <v>841</v>
      </c>
      <c r="D32" s="213"/>
      <c r="E32" s="213"/>
      <c r="F32" s="213"/>
      <c r="G32" s="378"/>
      <c r="H32" s="1544">
        <f>'FP Info 3'!H37</f>
        <v>0</v>
      </c>
      <c r="I32" s="392"/>
      <c r="J32" s="392"/>
      <c r="K32" s="1548">
        <f>TRUNC(100-((((H32/H33*100))*100)/100),2)</f>
        <v>100</v>
      </c>
      <c r="L32" s="381"/>
      <c r="M32" s="337" t="s">
        <v>1133</v>
      </c>
      <c r="N32" s="337"/>
      <c r="O32" s="1561">
        <v>0.1</v>
      </c>
    </row>
    <row r="33" spans="1:17" s="382" customFormat="1" ht="11.25" x14ac:dyDescent="0.2">
      <c r="A33" s="213"/>
      <c r="B33" s="377"/>
      <c r="C33" s="213" t="s">
        <v>793</v>
      </c>
      <c r="D33" s="213"/>
      <c r="E33" s="213"/>
      <c r="F33" s="213"/>
      <c r="G33" s="378"/>
      <c r="H33" s="379">
        <f>IF('FP Info 3'!H31="Enter X in a or b"," ",'FP Info 3'!H31)</f>
        <v>26472503.223000001</v>
      </c>
      <c r="I33" s="392"/>
      <c r="J33" s="392"/>
      <c r="K33" s="379"/>
      <c r="L33" s="213"/>
      <c r="M33" s="401" t="s">
        <v>1134</v>
      </c>
      <c r="N33" s="401"/>
      <c r="O33" s="1561">
        <f>(O31*O32)</f>
        <v>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5" activePane="bottomLeft" state="frozen"/>
      <selection activeCell="K3" sqref="K3"/>
      <selection pane="bottomLeft" activeCell="M40" sqref="M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7"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18"/>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19" t="s">
        <v>966</v>
      </c>
      <c r="B3" s="2220"/>
      <c r="C3" s="1299"/>
      <c r="D3" s="1300"/>
      <c r="E3" s="1300"/>
      <c r="F3" s="1300"/>
      <c r="G3" s="1300"/>
      <c r="H3" s="1300"/>
      <c r="I3" s="1300"/>
      <c r="J3" s="1300"/>
      <c r="K3" s="1300"/>
      <c r="L3" s="1300"/>
      <c r="M3" s="1301"/>
      <c r="N3" s="1302"/>
    </row>
    <row r="4" spans="1:14" ht="13.5" customHeight="1" x14ac:dyDescent="0.2">
      <c r="A4" s="427" t="s">
        <v>1629</v>
      </c>
      <c r="B4" s="428"/>
      <c r="C4" s="1912">
        <v>7958337</v>
      </c>
      <c r="D4" s="1907">
        <v>3177847</v>
      </c>
      <c r="E4" s="1907">
        <v>0</v>
      </c>
      <c r="F4" s="1907">
        <v>2093243</v>
      </c>
      <c r="G4" s="1907">
        <v>522229</v>
      </c>
      <c r="H4" s="1907">
        <v>1956528</v>
      </c>
      <c r="I4" s="1907">
        <v>947818</v>
      </c>
      <c r="J4" s="1908">
        <v>483931</v>
      </c>
      <c r="K4" s="1913">
        <v>111082</v>
      </c>
      <c r="L4" s="1906">
        <v>139818</v>
      </c>
      <c r="M4" s="1567"/>
      <c r="N4" s="1568"/>
    </row>
    <row r="5" spans="1:14" x14ac:dyDescent="0.2">
      <c r="A5" s="427" t="s">
        <v>984</v>
      </c>
      <c r="B5" s="429">
        <v>120</v>
      </c>
      <c r="C5" s="1912">
        <v>1605288</v>
      </c>
      <c r="D5" s="1907">
        <v>641009</v>
      </c>
      <c r="E5" s="1907"/>
      <c r="F5" s="1907">
        <v>422231</v>
      </c>
      <c r="G5" s="1907">
        <v>105340</v>
      </c>
      <c r="H5" s="1907">
        <v>394655</v>
      </c>
      <c r="I5" s="1907">
        <v>191186</v>
      </c>
      <c r="J5" s="1908">
        <v>97615</v>
      </c>
      <c r="K5" s="1913">
        <v>22406</v>
      </c>
      <c r="L5" s="1570"/>
      <c r="M5" s="1567"/>
      <c r="N5" s="1568"/>
    </row>
    <row r="6" spans="1:14" ht="13.5" customHeight="1" x14ac:dyDescent="0.2">
      <c r="A6" s="430" t="s">
        <v>414</v>
      </c>
      <c r="B6" s="429">
        <v>130</v>
      </c>
      <c r="C6" s="1912">
        <v>0</v>
      </c>
      <c r="D6" s="1907">
        <v>0</v>
      </c>
      <c r="E6" s="1907">
        <v>0</v>
      </c>
      <c r="F6" s="1907">
        <v>0</v>
      </c>
      <c r="G6" s="1913">
        <v>0</v>
      </c>
      <c r="H6" s="1913">
        <v>0</v>
      </c>
      <c r="I6" s="1907">
        <v>0</v>
      </c>
      <c r="J6" s="1914">
        <v>0</v>
      </c>
      <c r="K6" s="1913">
        <v>0</v>
      </c>
      <c r="L6" s="1572"/>
      <c r="M6" s="1567"/>
      <c r="N6" s="1568"/>
    </row>
    <row r="7" spans="1:14" ht="13.5" customHeight="1" x14ac:dyDescent="0.2">
      <c r="A7" s="430" t="s">
        <v>415</v>
      </c>
      <c r="B7" s="429">
        <v>140</v>
      </c>
      <c r="C7" s="1915">
        <v>0</v>
      </c>
      <c r="D7" s="1908">
        <v>0</v>
      </c>
      <c r="E7" s="1915">
        <v>0</v>
      </c>
      <c r="F7" s="1908">
        <v>0</v>
      </c>
      <c r="G7" s="1908">
        <v>0</v>
      </c>
      <c r="H7" s="1908">
        <v>0</v>
      </c>
      <c r="I7" s="1908">
        <v>0</v>
      </c>
      <c r="J7" s="1908">
        <v>0</v>
      </c>
      <c r="K7" s="1908">
        <v>0</v>
      </c>
      <c r="L7" s="1573"/>
      <c r="M7" s="1567"/>
      <c r="N7" s="1568"/>
    </row>
    <row r="8" spans="1:14" ht="13.5" customHeight="1" x14ac:dyDescent="0.2">
      <c r="A8" s="430" t="s">
        <v>267</v>
      </c>
      <c r="B8" s="429">
        <v>150</v>
      </c>
      <c r="C8" s="1915">
        <v>0</v>
      </c>
      <c r="D8" s="1908">
        <v>0</v>
      </c>
      <c r="E8" s="1915">
        <v>0</v>
      </c>
      <c r="F8" s="1908">
        <v>0</v>
      </c>
      <c r="G8" s="1909">
        <v>0</v>
      </c>
      <c r="H8" s="1908">
        <v>0</v>
      </c>
      <c r="I8" s="1914">
        <v>0</v>
      </c>
      <c r="J8" s="1914">
        <v>0</v>
      </c>
      <c r="K8" s="1910">
        <v>0</v>
      </c>
      <c r="L8" s="1576"/>
      <c r="M8" s="1567"/>
      <c r="N8" s="1568"/>
    </row>
    <row r="9" spans="1:14" ht="13.5" customHeight="1" x14ac:dyDescent="0.2">
      <c r="A9" s="430" t="s">
        <v>268</v>
      </c>
      <c r="B9" s="429">
        <v>160</v>
      </c>
      <c r="C9" s="1915">
        <v>0</v>
      </c>
      <c r="D9" s="1908">
        <v>480</v>
      </c>
      <c r="E9" s="1915">
        <v>0</v>
      </c>
      <c r="F9" s="1908">
        <v>0</v>
      </c>
      <c r="G9" s="1908"/>
      <c r="H9" s="1909">
        <v>0</v>
      </c>
      <c r="I9" s="1908">
        <v>0</v>
      </c>
      <c r="J9" s="1908">
        <v>0</v>
      </c>
      <c r="K9" s="1908">
        <v>0</v>
      </c>
      <c r="L9" s="1566"/>
      <c r="M9" s="1567"/>
      <c r="N9" s="1568"/>
    </row>
    <row r="10" spans="1:14" ht="13.5" customHeight="1" x14ac:dyDescent="0.2">
      <c r="A10" s="430" t="s">
        <v>983</v>
      </c>
      <c r="B10" s="429">
        <v>170</v>
      </c>
      <c r="C10" s="1912">
        <v>0</v>
      </c>
      <c r="D10" s="1907">
        <v>0</v>
      </c>
      <c r="E10" s="1908">
        <v>0</v>
      </c>
      <c r="F10" s="1907">
        <v>0</v>
      </c>
      <c r="G10" s="1909">
        <v>0</v>
      </c>
      <c r="H10" s="1911">
        <v>0</v>
      </c>
      <c r="I10" s="1908">
        <v>0</v>
      </c>
      <c r="J10" s="1908">
        <v>0</v>
      </c>
      <c r="K10" s="1911">
        <v>0</v>
      </c>
      <c r="L10" s="1577"/>
      <c r="M10" s="1568"/>
      <c r="N10" s="1568"/>
    </row>
    <row r="11" spans="1:14" ht="13.5" customHeight="1" x14ac:dyDescent="0.2">
      <c r="A11" s="430" t="s">
        <v>269</v>
      </c>
      <c r="B11" s="429">
        <v>180</v>
      </c>
      <c r="C11" s="1915">
        <v>0</v>
      </c>
      <c r="D11" s="1908">
        <v>0</v>
      </c>
      <c r="E11" s="1908">
        <v>0</v>
      </c>
      <c r="F11" s="1908">
        <v>0</v>
      </c>
      <c r="G11" s="1908">
        <v>0</v>
      </c>
      <c r="H11" s="1908">
        <v>0</v>
      </c>
      <c r="I11" s="1909">
        <v>0</v>
      </c>
      <c r="J11" s="1909">
        <v>0</v>
      </c>
      <c r="K11" s="1908">
        <v>0</v>
      </c>
      <c r="L11" s="1566"/>
      <c r="M11" s="1568"/>
      <c r="N11" s="1568"/>
    </row>
    <row r="12" spans="1:14" ht="13.5" customHeight="1" x14ac:dyDescent="0.2">
      <c r="A12" s="430" t="s">
        <v>416</v>
      </c>
      <c r="B12" s="429">
        <v>190</v>
      </c>
      <c r="C12" s="1912">
        <v>0</v>
      </c>
      <c r="D12" s="1907">
        <v>0</v>
      </c>
      <c r="E12" s="1907">
        <v>0</v>
      </c>
      <c r="F12" s="1907">
        <v>0</v>
      </c>
      <c r="G12" s="1907">
        <v>0</v>
      </c>
      <c r="H12" s="1907">
        <v>0</v>
      </c>
      <c r="I12" s="1907">
        <v>0</v>
      </c>
      <c r="J12" s="1908">
        <v>0</v>
      </c>
      <c r="K12" s="1907">
        <v>0</v>
      </c>
      <c r="L12" s="1565"/>
      <c r="M12" s="1568"/>
      <c r="N12" s="1568"/>
    </row>
    <row r="13" spans="1:14" ht="13.5" customHeight="1" thickBot="1" x14ac:dyDescent="0.25">
      <c r="A13" s="1419" t="s">
        <v>639</v>
      </c>
      <c r="B13" s="1400"/>
      <c r="C13" s="1578">
        <f>SUM(C4:C12)</f>
        <v>9563625</v>
      </c>
      <c r="D13" s="1578">
        <f t="shared" ref="D13:L13" si="0">SUM(D4:D12)</f>
        <v>3819336</v>
      </c>
      <c r="E13" s="1578">
        <f t="shared" si="0"/>
        <v>0</v>
      </c>
      <c r="F13" s="1578">
        <f t="shared" si="0"/>
        <v>2515474</v>
      </c>
      <c r="G13" s="1578">
        <f t="shared" si="0"/>
        <v>627569</v>
      </c>
      <c r="H13" s="1578">
        <f t="shared" si="0"/>
        <v>2351183</v>
      </c>
      <c r="I13" s="1578">
        <f t="shared" si="0"/>
        <v>1139004</v>
      </c>
      <c r="J13" s="1578">
        <f t="shared" si="0"/>
        <v>581546</v>
      </c>
      <c r="K13" s="1578">
        <f t="shared" si="0"/>
        <v>133488</v>
      </c>
      <c r="L13" s="1578">
        <f t="shared" si="0"/>
        <v>139818</v>
      </c>
      <c r="M13" s="1567"/>
      <c r="N13" s="1568"/>
    </row>
    <row r="14" spans="1:14" ht="18" customHeight="1" thickTop="1" x14ac:dyDescent="0.2">
      <c r="A14" s="2221" t="s">
        <v>146</v>
      </c>
      <c r="B14" s="2222"/>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791988</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13115510</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1696192</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5231336</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0</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0</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0</v>
      </c>
    </row>
    <row r="23" spans="1:14" ht="13.5" customHeight="1" thickBot="1" x14ac:dyDescent="0.25">
      <c r="A23" s="1419" t="s">
        <v>638</v>
      </c>
      <c r="B23" s="1422"/>
      <c r="C23" s="1567"/>
      <c r="D23" s="1567"/>
      <c r="E23" s="1567"/>
      <c r="F23" s="1567"/>
      <c r="G23" s="1567"/>
      <c r="H23" s="1567"/>
      <c r="I23" s="1567"/>
      <c r="J23" s="1567"/>
      <c r="K23" s="1567"/>
      <c r="L23" s="1567"/>
      <c r="M23" s="1585">
        <f>SUM(M15:M22)</f>
        <v>20835026</v>
      </c>
      <c r="N23" s="1585">
        <f>SUM(N21:N22)</f>
        <v>0</v>
      </c>
    </row>
    <row r="24" spans="1:14" ht="18" customHeight="1" thickTop="1" x14ac:dyDescent="0.2">
      <c r="A24" s="2223" t="s">
        <v>594</v>
      </c>
      <c r="B24" s="2224"/>
      <c r="C24" s="1586"/>
      <c r="D24" s="1581"/>
      <c r="E24" s="1581"/>
      <c r="F24" s="1581"/>
      <c r="G24" s="1581"/>
      <c r="H24" s="1581"/>
      <c r="I24" s="1581"/>
      <c r="J24" s="1581"/>
      <c r="K24" s="1581"/>
      <c r="L24" s="1581"/>
      <c r="M24" s="1580"/>
      <c r="N24" s="1587"/>
    </row>
    <row r="25" spans="1:14" x14ac:dyDescent="0.2">
      <c r="A25" s="430" t="s">
        <v>640</v>
      </c>
      <c r="B25" s="429">
        <v>410</v>
      </c>
      <c r="C25" s="1909">
        <v>0</v>
      </c>
      <c r="D25" s="1909">
        <v>0</v>
      </c>
      <c r="E25" s="1909">
        <v>0</v>
      </c>
      <c r="F25" s="1909">
        <v>0</v>
      </c>
      <c r="G25" s="1909">
        <v>0</v>
      </c>
      <c r="H25" s="1910">
        <v>0</v>
      </c>
      <c r="I25" s="1567"/>
      <c r="J25" s="1574">
        <v>0</v>
      </c>
      <c r="K25" s="1574">
        <v>0</v>
      </c>
      <c r="L25" s="1567"/>
      <c r="M25" s="1567"/>
      <c r="N25" s="1567"/>
    </row>
    <row r="26" spans="1:14" x14ac:dyDescent="0.2">
      <c r="A26" s="430" t="s">
        <v>641</v>
      </c>
      <c r="B26" s="429">
        <v>420</v>
      </c>
      <c r="C26" s="1908">
        <v>0</v>
      </c>
      <c r="D26" s="1908">
        <v>0</v>
      </c>
      <c r="E26" s="1908">
        <v>0</v>
      </c>
      <c r="F26" s="1908">
        <v>0</v>
      </c>
      <c r="G26" s="1908">
        <v>0</v>
      </c>
      <c r="H26" s="1908">
        <v>0</v>
      </c>
      <c r="I26" s="1919">
        <v>0</v>
      </c>
      <c r="J26" s="1922">
        <v>0</v>
      </c>
      <c r="K26" s="1919">
        <v>0</v>
      </c>
      <c r="L26" s="1567"/>
      <c r="M26" s="1567"/>
      <c r="N26" s="1567"/>
    </row>
    <row r="27" spans="1:14" ht="13.5" customHeight="1" x14ac:dyDescent="0.2">
      <c r="A27" s="430" t="s">
        <v>642</v>
      </c>
      <c r="B27" s="429">
        <v>430</v>
      </c>
      <c r="C27" s="1908">
        <v>1581</v>
      </c>
      <c r="D27" s="1908">
        <v>38</v>
      </c>
      <c r="E27" s="1908">
        <v>0</v>
      </c>
      <c r="F27" s="1908">
        <v>0</v>
      </c>
      <c r="G27" s="1908">
        <v>1502</v>
      </c>
      <c r="H27" s="1908">
        <v>0</v>
      </c>
      <c r="I27" s="1919">
        <v>0</v>
      </c>
      <c r="J27" s="1919">
        <v>0</v>
      </c>
      <c r="K27" s="1919">
        <v>0</v>
      </c>
      <c r="L27" s="1567"/>
      <c r="M27" s="1567"/>
      <c r="N27" s="1567"/>
    </row>
    <row r="28" spans="1:14" ht="13.5" customHeight="1" x14ac:dyDescent="0.2">
      <c r="A28" s="430" t="s">
        <v>643</v>
      </c>
      <c r="B28" s="429">
        <v>440</v>
      </c>
      <c r="C28" s="1908">
        <v>0</v>
      </c>
      <c r="D28" s="1908">
        <v>0</v>
      </c>
      <c r="E28" s="1914">
        <v>0</v>
      </c>
      <c r="F28" s="1908">
        <v>0</v>
      </c>
      <c r="G28" s="1914">
        <v>0</v>
      </c>
      <c r="H28" s="1914">
        <v>0</v>
      </c>
      <c r="I28" s="1919">
        <v>0</v>
      </c>
      <c r="J28" s="1919">
        <v>0</v>
      </c>
      <c r="K28" s="1921">
        <v>0</v>
      </c>
      <c r="L28" s="1567"/>
      <c r="M28" s="1567"/>
      <c r="N28" s="1567"/>
    </row>
    <row r="29" spans="1:14" ht="13.5" customHeight="1" x14ac:dyDescent="0.2">
      <c r="A29" s="430" t="s">
        <v>644</v>
      </c>
      <c r="B29" s="429">
        <v>460</v>
      </c>
      <c r="C29" s="1916">
        <v>0</v>
      </c>
      <c r="D29" s="1917">
        <v>0</v>
      </c>
      <c r="E29" s="1914">
        <v>0</v>
      </c>
      <c r="F29" s="1908">
        <v>0</v>
      </c>
      <c r="G29" s="1914">
        <v>0</v>
      </c>
      <c r="H29" s="1914">
        <v>0</v>
      </c>
      <c r="I29" s="1922">
        <v>0</v>
      </c>
      <c r="J29" s="1922">
        <v>0</v>
      </c>
      <c r="K29" s="1919">
        <v>0</v>
      </c>
      <c r="L29" s="1567"/>
      <c r="M29" s="1567"/>
      <c r="N29" s="1567"/>
    </row>
    <row r="30" spans="1:14" ht="13.5" customHeight="1" x14ac:dyDescent="0.2">
      <c r="A30" s="430" t="s">
        <v>645</v>
      </c>
      <c r="B30" s="429">
        <v>470</v>
      </c>
      <c r="C30" s="1908">
        <v>0</v>
      </c>
      <c r="D30" s="1914">
        <v>0</v>
      </c>
      <c r="E30" s="1908">
        <v>0</v>
      </c>
      <c r="F30" s="1908">
        <v>0</v>
      </c>
      <c r="G30" s="1908">
        <v>0</v>
      </c>
      <c r="H30" s="1908">
        <v>0</v>
      </c>
      <c r="I30" s="1919">
        <v>0</v>
      </c>
      <c r="J30" s="1919">
        <v>0</v>
      </c>
      <c r="K30" s="1920">
        <v>0</v>
      </c>
      <c r="L30" s="1567"/>
      <c r="M30" s="1567"/>
      <c r="N30" s="1567"/>
    </row>
    <row r="31" spans="1:14" ht="13.5" customHeight="1" x14ac:dyDescent="0.2">
      <c r="A31" s="430" t="s">
        <v>646</v>
      </c>
      <c r="B31" s="429">
        <v>480</v>
      </c>
      <c r="C31" s="1907">
        <v>43560</v>
      </c>
      <c r="D31" s="1908">
        <v>351</v>
      </c>
      <c r="E31" s="1908">
        <v>0</v>
      </c>
      <c r="F31" s="1907">
        <v>0</v>
      </c>
      <c r="G31" s="1908">
        <v>0</v>
      </c>
      <c r="H31" s="1908">
        <v>0</v>
      </c>
      <c r="I31" s="1919">
        <v>0</v>
      </c>
      <c r="J31" s="1919">
        <v>0</v>
      </c>
      <c r="K31" s="1919">
        <v>0</v>
      </c>
      <c r="L31" s="1567"/>
      <c r="M31" s="1567"/>
      <c r="N31" s="1567"/>
    </row>
    <row r="32" spans="1:14" ht="13.5" customHeight="1" x14ac:dyDescent="0.2">
      <c r="A32" s="434" t="s">
        <v>647</v>
      </c>
      <c r="B32" s="435">
        <v>490</v>
      </c>
      <c r="C32" s="1918">
        <v>0</v>
      </c>
      <c r="D32" s="1918">
        <v>0</v>
      </c>
      <c r="E32" s="1914">
        <v>0</v>
      </c>
      <c r="F32" s="1914">
        <v>0</v>
      </c>
      <c r="G32" s="1914">
        <v>0</v>
      </c>
      <c r="H32" s="1914">
        <v>0</v>
      </c>
      <c r="I32" s="1922">
        <v>0</v>
      </c>
      <c r="J32" s="1922">
        <v>0</v>
      </c>
      <c r="K32" s="1921">
        <v>0</v>
      </c>
      <c r="L32" s="1567"/>
      <c r="M32" s="1567"/>
      <c r="N32" s="1567"/>
    </row>
    <row r="33" spans="1:14" ht="13.5" customHeight="1" x14ac:dyDescent="0.2">
      <c r="A33" s="436" t="s">
        <v>300</v>
      </c>
      <c r="B33" s="435">
        <v>493</v>
      </c>
      <c r="C33" s="1908">
        <v>0</v>
      </c>
      <c r="D33" s="1908">
        <v>0</v>
      </c>
      <c r="E33" s="1908">
        <v>0</v>
      </c>
      <c r="F33" s="1908">
        <v>0</v>
      </c>
      <c r="G33" s="1908">
        <v>0</v>
      </c>
      <c r="H33" s="1908">
        <v>0</v>
      </c>
      <c r="I33" s="1919">
        <v>0</v>
      </c>
      <c r="J33" s="1919">
        <v>0</v>
      </c>
      <c r="K33" s="1919">
        <v>0</v>
      </c>
      <c r="L33" s="1923">
        <v>139818</v>
      </c>
      <c r="M33" s="1567"/>
      <c r="N33" s="1568"/>
    </row>
    <row r="34" spans="1:14" ht="13.5" customHeight="1" thickBot="1" x14ac:dyDescent="0.25">
      <c r="A34" s="1420" t="s">
        <v>649</v>
      </c>
      <c r="B34" s="1421"/>
      <c r="C34" s="1590">
        <f>SUM(C25:C33)</f>
        <v>45141</v>
      </c>
      <c r="D34" s="1590">
        <f t="shared" ref="D34:K34" si="1">SUM(D25:D33)</f>
        <v>389</v>
      </c>
      <c r="E34" s="1590">
        <f t="shared" si="1"/>
        <v>0</v>
      </c>
      <c r="F34" s="1590">
        <f t="shared" si="1"/>
        <v>0</v>
      </c>
      <c r="G34" s="1590">
        <f t="shared" si="1"/>
        <v>1502</v>
      </c>
      <c r="H34" s="1590">
        <f t="shared" si="1"/>
        <v>0</v>
      </c>
      <c r="I34" s="1590">
        <f t="shared" si="1"/>
        <v>0</v>
      </c>
      <c r="J34" s="1590">
        <f t="shared" si="1"/>
        <v>0</v>
      </c>
      <c r="K34" s="1590">
        <f t="shared" si="1"/>
        <v>0</v>
      </c>
      <c r="L34" s="1591">
        <f>SUM(L33)</f>
        <v>139818</v>
      </c>
      <c r="M34" s="1567"/>
      <c r="N34" s="1576"/>
    </row>
    <row r="35" spans="1:14" ht="18" customHeight="1" thickTop="1" x14ac:dyDescent="0.2">
      <c r="A35" s="2225" t="s">
        <v>526</v>
      </c>
      <c r="B35" s="2226"/>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0</v>
      </c>
    </row>
    <row r="37" spans="1:14" ht="13.5" thickBot="1" x14ac:dyDescent="0.25">
      <c r="A37" s="1419" t="s">
        <v>648</v>
      </c>
      <c r="B37" s="1422"/>
      <c r="C37" s="1573"/>
      <c r="D37" s="1573"/>
      <c r="E37" s="1573"/>
      <c r="F37" s="1573"/>
      <c r="G37" s="1573"/>
      <c r="H37" s="1573"/>
      <c r="I37" s="1573"/>
      <c r="J37" s="1573"/>
      <c r="K37" s="1573"/>
      <c r="L37" s="1576"/>
      <c r="M37" s="1567"/>
      <c r="N37" s="1585">
        <f>SUM(N36:N36)</f>
        <v>0</v>
      </c>
    </row>
    <row r="38" spans="1:14" s="307" customFormat="1" ht="13.5" customHeight="1" thickTop="1" x14ac:dyDescent="0.2">
      <c r="A38" s="438" t="s">
        <v>417</v>
      </c>
      <c r="B38" s="432">
        <v>714</v>
      </c>
      <c r="C38" s="1565">
        <v>0</v>
      </c>
      <c r="D38" s="1565"/>
      <c r="E38" s="1565"/>
      <c r="F38" s="1565"/>
      <c r="G38" s="1565">
        <v>436152</v>
      </c>
      <c r="H38" s="1565"/>
      <c r="I38" s="1565"/>
      <c r="J38" s="1566"/>
      <c r="K38" s="1565"/>
      <c r="L38" s="1577"/>
      <c r="M38" s="1594"/>
      <c r="N38" s="1594"/>
    </row>
    <row r="39" spans="1:14" s="307" customFormat="1" ht="13.5" customHeight="1" x14ac:dyDescent="0.2">
      <c r="A39" s="438" t="s">
        <v>339</v>
      </c>
      <c r="B39" s="432">
        <v>730</v>
      </c>
      <c r="C39" s="1565">
        <v>9518484</v>
      </c>
      <c r="D39" s="1565">
        <v>3818947</v>
      </c>
      <c r="E39" s="1565">
        <v>0</v>
      </c>
      <c r="F39" s="1565">
        <v>2515474</v>
      </c>
      <c r="G39" s="1565">
        <v>189915</v>
      </c>
      <c r="H39" s="1565">
        <v>2351183</v>
      </c>
      <c r="I39" s="1565">
        <v>1139004</v>
      </c>
      <c r="J39" s="1566">
        <v>581546</v>
      </c>
      <c r="K39" s="1565">
        <v>133488</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20835026</v>
      </c>
      <c r="N40" s="1594"/>
    </row>
    <row r="41" spans="1:14" ht="13.5" customHeight="1" thickBot="1" x14ac:dyDescent="0.25">
      <c r="A41" s="1419" t="s">
        <v>650</v>
      </c>
      <c r="B41" s="1398"/>
      <c r="C41" s="1585">
        <f>(SUM(C34,C37,C38,C39))</f>
        <v>9563625</v>
      </c>
      <c r="D41" s="1585">
        <f t="shared" ref="D41:L41" si="2">SUM(D34,D37,D38:D39)</f>
        <v>3819336</v>
      </c>
      <c r="E41" s="1585">
        <f t="shared" si="2"/>
        <v>0</v>
      </c>
      <c r="F41" s="1585">
        <f t="shared" si="2"/>
        <v>2515474</v>
      </c>
      <c r="G41" s="1585">
        <f t="shared" si="2"/>
        <v>627569</v>
      </c>
      <c r="H41" s="1585">
        <f t="shared" si="2"/>
        <v>2351183</v>
      </c>
      <c r="I41" s="1585">
        <f t="shared" si="2"/>
        <v>1139004</v>
      </c>
      <c r="J41" s="1585">
        <f t="shared" si="2"/>
        <v>581546</v>
      </c>
      <c r="K41" s="1585">
        <f t="shared" si="2"/>
        <v>133488</v>
      </c>
      <c r="L41" s="1585">
        <f t="shared" si="2"/>
        <v>139818</v>
      </c>
      <c r="M41" s="1585">
        <f>SUM(M40)</f>
        <v>20835026</v>
      </c>
      <c r="N41" s="1585">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0" activePane="bottomLeft" state="frozen"/>
      <selection activeCell="C44" sqref="C44"/>
      <selection pane="bottomLeft" activeCell="D88" sqref="D8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5"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36"/>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47" t="s">
        <v>1164</v>
      </c>
      <c r="B3" s="2248"/>
      <c r="C3" s="1304"/>
      <c r="D3" s="1305"/>
      <c r="E3" s="1305"/>
      <c r="F3" s="1305"/>
      <c r="G3" s="1305"/>
      <c r="H3" s="1305"/>
      <c r="I3" s="1305"/>
      <c r="J3" s="1305"/>
      <c r="K3" s="1306"/>
      <c r="L3" s="446"/>
    </row>
    <row r="4" spans="1:13" ht="15.75" customHeight="1" x14ac:dyDescent="0.2">
      <c r="A4" s="1530" t="s">
        <v>1479</v>
      </c>
      <c r="B4" s="1531">
        <v>1000</v>
      </c>
      <c r="C4" s="1596">
        <f>'Revenues 9-14'!C109</f>
        <v>10017181</v>
      </c>
      <c r="D4" s="1596">
        <f>'Revenues 9-14'!D109</f>
        <v>1698094</v>
      </c>
      <c r="E4" s="1596">
        <f>'Revenues 9-14'!E109</f>
        <v>0</v>
      </c>
      <c r="F4" s="1596">
        <f>'Revenues 9-14'!F109</f>
        <v>381598</v>
      </c>
      <c r="G4" s="1596">
        <f>'Revenues 9-14'!G109</f>
        <v>575113</v>
      </c>
      <c r="H4" s="1596">
        <f>'Revenues 9-14'!H109</f>
        <v>61925</v>
      </c>
      <c r="I4" s="1596">
        <f>'Revenues 9-14'!I109</f>
        <v>51003</v>
      </c>
      <c r="J4" s="1596">
        <f>'Revenues 9-14'!J109</f>
        <v>190556</v>
      </c>
      <c r="K4" s="1596">
        <f>'Revenues 9-14'!K109</f>
        <v>4473</v>
      </c>
      <c r="L4" s="325"/>
    </row>
    <row r="5" spans="1:13" ht="15.75" customHeight="1" x14ac:dyDescent="0.2">
      <c r="A5" s="1307" t="s">
        <v>1480</v>
      </c>
      <c r="B5" s="1308">
        <v>2000</v>
      </c>
      <c r="C5" s="1597">
        <f>'Revenues 9-14'!C114</f>
        <v>0</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1285412</v>
      </c>
      <c r="D6" s="1597">
        <f>'Revenues 9-14'!D170</f>
        <v>0</v>
      </c>
      <c r="E6" s="1597">
        <f>'Revenues 9-14'!E170</f>
        <v>0</v>
      </c>
      <c r="F6" s="1597">
        <f>'Revenues 9-14'!F170</f>
        <v>246425</v>
      </c>
      <c r="G6" s="1597">
        <f>'Revenues 9-14'!G170</f>
        <v>0</v>
      </c>
      <c r="H6" s="1597">
        <f>'Revenues 9-14'!H170</f>
        <v>0</v>
      </c>
      <c r="I6" s="1597">
        <f>'Revenues 9-14'!I170</f>
        <v>0</v>
      </c>
      <c r="J6" s="1597">
        <f>'Revenues 9-14'!J170</f>
        <v>0</v>
      </c>
      <c r="K6" s="1597">
        <f>'Revenues 9-14'!K170</f>
        <v>0</v>
      </c>
      <c r="L6" s="325"/>
      <c r="M6" s="448"/>
    </row>
    <row r="7" spans="1:13" ht="15.75" customHeight="1" x14ac:dyDescent="0.2">
      <c r="A7" s="1307" t="s">
        <v>1482</v>
      </c>
      <c r="B7" s="1309">
        <v>4000</v>
      </c>
      <c r="C7" s="1597">
        <f>'Revenues 9-14'!C267</f>
        <v>435810</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11738403</v>
      </c>
      <c r="D8" s="1585">
        <f t="shared" ref="D8:K8" si="0">SUM(D4:D7)</f>
        <v>1698094</v>
      </c>
      <c r="E8" s="1585">
        <f t="shared" si="0"/>
        <v>0</v>
      </c>
      <c r="F8" s="1585">
        <f t="shared" si="0"/>
        <v>628023</v>
      </c>
      <c r="G8" s="1585">
        <f t="shared" si="0"/>
        <v>575113</v>
      </c>
      <c r="H8" s="1585">
        <f t="shared" si="0"/>
        <v>61925</v>
      </c>
      <c r="I8" s="1585">
        <f t="shared" si="0"/>
        <v>51003</v>
      </c>
      <c r="J8" s="1585">
        <f t="shared" si="0"/>
        <v>190556</v>
      </c>
      <c r="K8" s="1585">
        <f t="shared" si="0"/>
        <v>4473</v>
      </c>
      <c r="L8" s="325"/>
    </row>
    <row r="9" spans="1:13" ht="15.75" thickTop="1" x14ac:dyDescent="0.2">
      <c r="A9" s="449" t="s">
        <v>1631</v>
      </c>
      <c r="B9" s="450">
        <v>3998</v>
      </c>
      <c r="C9" s="1577">
        <v>6173680</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17912083</v>
      </c>
      <c r="D10" s="1585">
        <f t="shared" ref="D10:K10" si="1">SUM(D8:D9)</f>
        <v>1698094</v>
      </c>
      <c r="E10" s="1585">
        <f t="shared" si="1"/>
        <v>0</v>
      </c>
      <c r="F10" s="1585">
        <f t="shared" si="1"/>
        <v>628023</v>
      </c>
      <c r="G10" s="1585">
        <f t="shared" si="1"/>
        <v>575113</v>
      </c>
      <c r="H10" s="1585">
        <f t="shared" si="1"/>
        <v>61925</v>
      </c>
      <c r="I10" s="1585">
        <f t="shared" si="1"/>
        <v>51003</v>
      </c>
      <c r="J10" s="1585">
        <f t="shared" si="1"/>
        <v>190556</v>
      </c>
      <c r="K10" s="1585">
        <f t="shared" si="1"/>
        <v>4473</v>
      </c>
      <c r="L10" s="451"/>
    </row>
    <row r="11" spans="1:13" s="452" customFormat="1" ht="16.7" customHeight="1" thickTop="1" x14ac:dyDescent="0.2">
      <c r="A11" s="2221" t="s">
        <v>1165</v>
      </c>
      <c r="B11" s="2222"/>
      <c r="C11" s="1592"/>
      <c r="D11" s="1593"/>
      <c r="E11" s="1593"/>
      <c r="F11" s="1593"/>
      <c r="G11" s="1593"/>
      <c r="H11" s="1593"/>
      <c r="I11" s="1593"/>
      <c r="J11" s="1593"/>
      <c r="K11" s="1605"/>
      <c r="L11" s="451"/>
    </row>
    <row r="12" spans="1:13" ht="15.75" customHeight="1" x14ac:dyDescent="0.2">
      <c r="A12" s="1307" t="s">
        <v>453</v>
      </c>
      <c r="B12" s="1309">
        <v>1000</v>
      </c>
      <c r="C12" s="1596">
        <f>'Expenditures 15-22'!K33</f>
        <v>9160034</v>
      </c>
      <c r="D12" s="1606" t="s">
        <v>1158</v>
      </c>
      <c r="E12" s="1567" t="s">
        <v>1158</v>
      </c>
      <c r="F12" s="1567" t="s">
        <v>1158</v>
      </c>
      <c r="G12" s="1596">
        <f>'Expenditures 15-22'!K229</f>
        <v>205560</v>
      </c>
      <c r="H12" s="1607"/>
      <c r="I12" s="1567" t="s">
        <v>1158</v>
      </c>
      <c r="J12" s="1567" t="s">
        <v>1158</v>
      </c>
      <c r="K12" s="1607" t="s">
        <v>1158</v>
      </c>
      <c r="L12" s="325"/>
    </row>
    <row r="13" spans="1:13" ht="15.75" customHeight="1" x14ac:dyDescent="0.2">
      <c r="A13" s="1307" t="s">
        <v>454</v>
      </c>
      <c r="B13" s="1309">
        <v>2000</v>
      </c>
      <c r="C13" s="1597">
        <f>'Expenditures 15-22'!K74</f>
        <v>4166498</v>
      </c>
      <c r="D13" s="1597">
        <f>'Expenditures 15-22'!K129</f>
        <v>1372028</v>
      </c>
      <c r="E13" s="1568" t="s">
        <v>1158</v>
      </c>
      <c r="F13" s="1597">
        <f>'Expenditures 15-22'!K184</f>
        <v>470129</v>
      </c>
      <c r="G13" s="1597">
        <f>'Expenditures 15-22'!K279</f>
        <v>243863</v>
      </c>
      <c r="H13" s="1597">
        <f>'Expenditures 15-22'!K303</f>
        <v>0</v>
      </c>
      <c r="I13" s="1567" t="s">
        <v>1158</v>
      </c>
      <c r="J13" s="1597">
        <f>'Expenditures 15-22'!K330</f>
        <v>116130</v>
      </c>
      <c r="K13" s="1608">
        <f>'Expenditures 15-22'!K352</f>
        <v>0</v>
      </c>
      <c r="L13" s="325"/>
    </row>
    <row r="14" spans="1:13" ht="15.75" customHeight="1" x14ac:dyDescent="0.2">
      <c r="A14" s="1307" t="s">
        <v>446</v>
      </c>
      <c r="B14" s="1309">
        <v>3000</v>
      </c>
      <c r="C14" s="1597">
        <f>'Expenditures 15-22'!K75</f>
        <v>0</v>
      </c>
      <c r="D14" s="1597">
        <f>'Expenditures 15-22'!K130</f>
        <v>0</v>
      </c>
      <c r="E14" s="1606" t="s">
        <v>1158</v>
      </c>
      <c r="F14" s="1597">
        <f>'Expenditures 15-22'!K185</f>
        <v>0</v>
      </c>
      <c r="G14" s="1597">
        <f>'Expenditures 15-22'!K280</f>
        <v>0</v>
      </c>
      <c r="H14" s="1602"/>
      <c r="I14" s="1567" t="s">
        <v>1158</v>
      </c>
      <c r="J14" s="1567" t="s">
        <v>1158</v>
      </c>
      <c r="K14" s="1602" t="s">
        <v>1158</v>
      </c>
      <c r="L14" s="325"/>
    </row>
    <row r="15" spans="1:13" ht="15.75" customHeight="1" x14ac:dyDescent="0.2">
      <c r="A15" s="1307" t="s">
        <v>107</v>
      </c>
      <c r="B15" s="1309">
        <v>4000</v>
      </c>
      <c r="C15" s="1597">
        <f>'Expenditures 15-22'!K102</f>
        <v>332724</v>
      </c>
      <c r="D15" s="1597">
        <f>'Expenditures 15-22'!K139</f>
        <v>0</v>
      </c>
      <c r="E15" s="1597">
        <f>'Expenditures 15-22'!K160</f>
        <v>0</v>
      </c>
      <c r="F15" s="1597">
        <f>'Expenditures 15-22'!K196</f>
        <v>0</v>
      </c>
      <c r="G15" s="1597">
        <f>'Expenditures 15-22'!K285</f>
        <v>0</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13898</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13659256</v>
      </c>
      <c r="D17" s="1585">
        <f t="shared" si="2"/>
        <v>1372028</v>
      </c>
      <c r="E17" s="1585">
        <f t="shared" si="2"/>
        <v>13898</v>
      </c>
      <c r="F17" s="1585">
        <f t="shared" si="2"/>
        <v>470129</v>
      </c>
      <c r="G17" s="1585">
        <f t="shared" si="2"/>
        <v>449423</v>
      </c>
      <c r="H17" s="1585">
        <f t="shared" si="2"/>
        <v>0</v>
      </c>
      <c r="I17" s="1567"/>
      <c r="J17" s="1585">
        <f>SUM(J12:J16)</f>
        <v>116130</v>
      </c>
      <c r="K17" s="1585">
        <f>SUM(K12:K16)</f>
        <v>0</v>
      </c>
      <c r="L17" s="325"/>
    </row>
    <row r="18" spans="1:12" ht="15" customHeight="1" thickTop="1" x14ac:dyDescent="0.2">
      <c r="A18" s="1423" t="s">
        <v>1632</v>
      </c>
      <c r="B18" s="1424">
        <v>4180</v>
      </c>
      <c r="C18" s="1596">
        <f t="shared" ref="C18:H18" si="3">C9</f>
        <v>6173680</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19832936</v>
      </c>
      <c r="D19" s="1585">
        <f t="shared" si="4"/>
        <v>1372028</v>
      </c>
      <c r="E19" s="1585">
        <f t="shared" si="4"/>
        <v>13898</v>
      </c>
      <c r="F19" s="1585">
        <f t="shared" si="4"/>
        <v>470129</v>
      </c>
      <c r="G19" s="1585">
        <f t="shared" si="4"/>
        <v>449423</v>
      </c>
      <c r="H19" s="1585">
        <f t="shared" si="4"/>
        <v>0</v>
      </c>
      <c r="I19" s="1567"/>
      <c r="J19" s="1585">
        <f>SUM(J17:J18)</f>
        <v>116130</v>
      </c>
      <c r="K19" s="1585">
        <f>SUM(K17:K18)</f>
        <v>0</v>
      </c>
      <c r="L19" s="325"/>
    </row>
    <row r="20" spans="1:12" ht="16.5" thickTop="1" thickBot="1" x14ac:dyDescent="0.25">
      <c r="A20" s="2237" t="s">
        <v>1633</v>
      </c>
      <c r="B20" s="2238"/>
      <c r="C20" s="1612">
        <f>C8-C17</f>
        <v>-1920853</v>
      </c>
      <c r="D20" s="1612">
        <f t="shared" ref="D20:K20" si="5">D8-D17</f>
        <v>326066</v>
      </c>
      <c r="E20" s="1612">
        <f t="shared" si="5"/>
        <v>-13898</v>
      </c>
      <c r="F20" s="1612">
        <f t="shared" si="5"/>
        <v>157894</v>
      </c>
      <c r="G20" s="1612">
        <f t="shared" si="5"/>
        <v>125690</v>
      </c>
      <c r="H20" s="1612">
        <f t="shared" si="5"/>
        <v>61925</v>
      </c>
      <c r="I20" s="1612">
        <f t="shared" si="5"/>
        <v>51003</v>
      </c>
      <c r="J20" s="1612">
        <f t="shared" si="5"/>
        <v>74426</v>
      </c>
      <c r="K20" s="1612">
        <f t="shared" si="5"/>
        <v>4473</v>
      </c>
      <c r="L20" s="325"/>
    </row>
    <row r="21" spans="1:12" ht="16.7" customHeight="1" thickTop="1" x14ac:dyDescent="0.2">
      <c r="A21" s="2249" t="s">
        <v>591</v>
      </c>
      <c r="B21" s="2250"/>
      <c r="C21" s="1592"/>
      <c r="D21" s="1593"/>
      <c r="E21" s="1593"/>
      <c r="F21" s="1593"/>
      <c r="G21" s="1593"/>
      <c r="H21" s="1593"/>
      <c r="I21" s="1593"/>
      <c r="J21" s="1593"/>
      <c r="K21" s="1605"/>
      <c r="L21" s="453"/>
    </row>
    <row r="22" spans="1:12" ht="15.75" customHeight="1" collapsed="1" x14ac:dyDescent="0.2">
      <c r="A22" s="2245" t="s">
        <v>592</v>
      </c>
      <c r="B22" s="2246"/>
      <c r="C22" s="1573"/>
      <c r="D22" s="1573"/>
      <c r="E22" s="1573"/>
      <c r="F22" s="1573"/>
      <c r="G22" s="1573"/>
      <c r="H22" s="1573"/>
      <c r="I22" s="1573"/>
      <c r="J22" s="1573"/>
      <c r="K22" s="1573"/>
      <c r="L22" s="325"/>
    </row>
    <row r="23" spans="1:12" s="433" customFormat="1" ht="15.75" customHeight="1" x14ac:dyDescent="0.2">
      <c r="A23" s="2241" t="s">
        <v>290</v>
      </c>
      <c r="B23" s="2242"/>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0</v>
      </c>
      <c r="E25" s="1566">
        <v>0</v>
      </c>
      <c r="F25" s="1566">
        <v>0</v>
      </c>
      <c r="G25" s="1566">
        <v>0</v>
      </c>
      <c r="H25" s="1566">
        <v>0</v>
      </c>
      <c r="I25" s="1573"/>
      <c r="J25" s="1566">
        <v>0</v>
      </c>
      <c r="K25" s="1566">
        <v>0</v>
      </c>
      <c r="L25" s="453"/>
    </row>
    <row r="26" spans="1:12" s="433" customFormat="1" ht="13.5" customHeight="1" x14ac:dyDescent="0.2">
      <c r="A26" s="1253" t="s">
        <v>183</v>
      </c>
      <c r="B26" s="432">
        <v>7120</v>
      </c>
      <c r="C26" s="1566">
        <v>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0</v>
      </c>
      <c r="E27" s="1613"/>
      <c r="F27" s="1566">
        <v>0</v>
      </c>
      <c r="G27" s="1576"/>
      <c r="H27" s="1576"/>
      <c r="I27" s="1576"/>
      <c r="J27" s="1576"/>
      <c r="K27" s="1576"/>
      <c r="L27" s="453"/>
    </row>
    <row r="28" spans="1:12" s="433" customFormat="1" ht="13.5" customHeight="1" x14ac:dyDescent="0.2">
      <c r="A28" s="1253" t="s">
        <v>1378</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1768</v>
      </c>
      <c r="B30" s="455">
        <v>7160</v>
      </c>
      <c r="C30" s="1573"/>
      <c r="D30" s="1566">
        <v>0</v>
      </c>
      <c r="E30" s="1573"/>
      <c r="F30" s="1573"/>
      <c r="G30" s="1573"/>
      <c r="H30" s="1573"/>
      <c r="I30" s="1573"/>
      <c r="J30" s="1573"/>
      <c r="K30" s="1573"/>
      <c r="L30" s="453"/>
    </row>
    <row r="31" spans="1:12" s="433" customFormat="1" ht="26.25" x14ac:dyDescent="0.2">
      <c r="A31" s="1253" t="s">
        <v>1772</v>
      </c>
      <c r="B31" s="455">
        <v>7170</v>
      </c>
      <c r="C31" s="1573"/>
      <c r="D31" s="1573"/>
      <c r="E31" s="1571">
        <v>0</v>
      </c>
      <c r="F31" s="1573"/>
      <c r="G31" s="1573"/>
      <c r="H31" s="1573"/>
      <c r="I31" s="1573"/>
      <c r="J31" s="1573"/>
      <c r="K31" s="1573"/>
      <c r="L31" s="453"/>
    </row>
    <row r="32" spans="1:12" s="433" customFormat="1" ht="15.75" customHeight="1" x14ac:dyDescent="0.2">
      <c r="A32" s="2243" t="s">
        <v>973</v>
      </c>
      <c r="B32" s="2244"/>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0</v>
      </c>
      <c r="F33" s="1566">
        <v>0</v>
      </c>
      <c r="G33" s="1573"/>
      <c r="H33" s="1566">
        <v>0</v>
      </c>
      <c r="I33" s="1566">
        <v>0</v>
      </c>
      <c r="J33" s="1566">
        <v>0</v>
      </c>
      <c r="K33" s="1566">
        <v>0</v>
      </c>
      <c r="L33" s="453"/>
    </row>
    <row r="34" spans="1:12" s="433" customFormat="1" x14ac:dyDescent="0.2">
      <c r="A34" s="1253" t="s">
        <v>993</v>
      </c>
      <c r="B34" s="454">
        <v>7220</v>
      </c>
      <c r="C34" s="1566">
        <v>0</v>
      </c>
      <c r="D34" s="1566">
        <v>0</v>
      </c>
      <c r="E34" s="1566">
        <v>0</v>
      </c>
      <c r="F34" s="1566">
        <v>0</v>
      </c>
      <c r="G34" s="1573"/>
      <c r="H34" s="1574">
        <v>0</v>
      </c>
      <c r="I34" s="1574">
        <v>0</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0</v>
      </c>
      <c r="E36" s="1566">
        <v>0</v>
      </c>
      <c r="F36" s="1566">
        <v>0</v>
      </c>
      <c r="G36" s="1566">
        <v>0</v>
      </c>
      <c r="H36" s="1566">
        <v>0</v>
      </c>
      <c r="I36" s="1572"/>
      <c r="J36" s="1566">
        <v>0</v>
      </c>
      <c r="K36" s="1566">
        <v>0</v>
      </c>
      <c r="L36" s="453"/>
    </row>
    <row r="37" spans="1:12" s="433" customFormat="1" x14ac:dyDescent="0.2">
      <c r="A37" s="1253" t="s">
        <v>438</v>
      </c>
      <c r="B37" s="454">
        <v>7400</v>
      </c>
      <c r="C37" s="1572"/>
      <c r="D37" s="1572"/>
      <c r="E37" s="1597">
        <f>SUM(C54:D57,H54:H57)</f>
        <v>0</v>
      </c>
      <c r="F37" s="1572"/>
      <c r="G37" s="1572"/>
      <c r="H37" s="1572"/>
      <c r="I37" s="1573"/>
      <c r="J37" s="1572"/>
      <c r="K37" s="1572"/>
      <c r="L37" s="453"/>
    </row>
    <row r="38" spans="1:12" s="433" customFormat="1" x14ac:dyDescent="0.2">
      <c r="A38" s="1253" t="s">
        <v>439</v>
      </c>
      <c r="B38" s="454">
        <v>7500</v>
      </c>
      <c r="C38" s="1573"/>
      <c r="D38" s="1573"/>
      <c r="E38" s="1597">
        <f>SUM(C58:D61,H58:H61)</f>
        <v>0</v>
      </c>
      <c r="F38" s="1573"/>
      <c r="G38" s="1573"/>
      <c r="H38" s="1573"/>
      <c r="I38" s="1573"/>
      <c r="J38" s="1573"/>
      <c r="K38" s="1573"/>
      <c r="L38" s="453"/>
    </row>
    <row r="39" spans="1:12" s="433" customFormat="1" x14ac:dyDescent="0.2">
      <c r="A39" s="1253" t="s">
        <v>440</v>
      </c>
      <c r="B39" s="454">
        <v>7600</v>
      </c>
      <c r="C39" s="1573"/>
      <c r="D39" s="1573"/>
      <c r="E39" s="1597">
        <f>SUM(C62:D65)</f>
        <v>0</v>
      </c>
      <c r="F39" s="1573"/>
      <c r="G39" s="1573"/>
      <c r="H39" s="1573"/>
      <c r="I39" s="1573"/>
      <c r="J39" s="1573"/>
      <c r="K39" s="1573"/>
      <c r="L39" s="453"/>
    </row>
    <row r="40" spans="1:12" s="433" customFormat="1" ht="13.5" customHeight="1" x14ac:dyDescent="0.2">
      <c r="A40" s="1253" t="s">
        <v>637</v>
      </c>
      <c r="B40" s="432">
        <v>7700</v>
      </c>
      <c r="C40" s="1573"/>
      <c r="D40" s="1573"/>
      <c r="E40" s="1597">
        <f>SUM(C66:D69)</f>
        <v>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0</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13898</v>
      </c>
      <c r="F43" s="1566">
        <v>0</v>
      </c>
      <c r="G43" s="1566">
        <v>0</v>
      </c>
      <c r="H43" s="1566">
        <v>0</v>
      </c>
      <c r="I43" s="1566">
        <v>0</v>
      </c>
      <c r="J43" s="1566">
        <v>0</v>
      </c>
      <c r="K43" s="1566">
        <v>0</v>
      </c>
      <c r="L43" s="453"/>
    </row>
    <row r="44" spans="1:12" s="433" customFormat="1" ht="13.5" customHeight="1" thickBot="1" x14ac:dyDescent="0.25">
      <c r="A44" s="2251" t="s">
        <v>371</v>
      </c>
      <c r="B44" s="2252"/>
      <c r="C44" s="1614">
        <f>SUM(C24:C43)</f>
        <v>0</v>
      </c>
      <c r="D44" s="1614">
        <f t="shared" ref="D44:K44" si="6">SUM(D24:D43)</f>
        <v>0</v>
      </c>
      <c r="E44" s="1614">
        <f t="shared" si="6"/>
        <v>13898</v>
      </c>
      <c r="F44" s="1614">
        <f t="shared" si="6"/>
        <v>0</v>
      </c>
      <c r="G44" s="1614">
        <f t="shared" si="6"/>
        <v>0</v>
      </c>
      <c r="H44" s="1614">
        <f t="shared" si="6"/>
        <v>0</v>
      </c>
      <c r="I44" s="1614">
        <f t="shared" si="6"/>
        <v>0</v>
      </c>
      <c r="J44" s="1614">
        <f t="shared" si="6"/>
        <v>0</v>
      </c>
      <c r="K44" s="1614">
        <f t="shared" si="6"/>
        <v>0</v>
      </c>
      <c r="L44" s="453"/>
    </row>
    <row r="45" spans="1:12" ht="15.75" customHeight="1" thickTop="1" x14ac:dyDescent="0.2">
      <c r="A45" s="2245" t="s">
        <v>108</v>
      </c>
      <c r="B45" s="2246"/>
      <c r="C45" s="1615"/>
      <c r="D45" s="1615"/>
      <c r="E45" s="1615"/>
      <c r="F45" s="1615"/>
      <c r="G45" s="1615"/>
      <c r="H45" s="1615"/>
      <c r="I45" s="1615"/>
      <c r="J45" s="1615"/>
      <c r="K45" s="1615"/>
      <c r="L45" s="325"/>
    </row>
    <row r="46" spans="1:12" s="433" customFormat="1" ht="15.75" customHeight="1" x14ac:dyDescent="0.2">
      <c r="A46" s="2253" t="s">
        <v>109</v>
      </c>
      <c r="B46" s="2254"/>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0</v>
      </c>
      <c r="J47" s="1573"/>
      <c r="K47" s="1573"/>
      <c r="L47" s="456"/>
    </row>
    <row r="48" spans="1:12" s="433" customFormat="1" ht="15" x14ac:dyDescent="0.2">
      <c r="A48" s="1254" t="s">
        <v>1638</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v>0</v>
      </c>
      <c r="D49" s="1566">
        <v>0</v>
      </c>
      <c r="E49" s="1576"/>
      <c r="F49" s="1566">
        <v>0</v>
      </c>
      <c r="G49" s="1576"/>
      <c r="H49" s="1576"/>
      <c r="I49" s="1573"/>
      <c r="J49" s="1576"/>
      <c r="K49" s="1573"/>
      <c r="L49" s="453"/>
    </row>
    <row r="50" spans="1:12" s="433" customFormat="1" x14ac:dyDescent="0.2">
      <c r="A50" s="1254" t="s">
        <v>1378</v>
      </c>
      <c r="B50" s="432">
        <v>8140</v>
      </c>
      <c r="C50" s="1566">
        <v>0</v>
      </c>
      <c r="D50" s="1566">
        <v>0</v>
      </c>
      <c r="E50" s="1566">
        <v>0</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1771</v>
      </c>
      <c r="B52" s="432">
        <v>8160</v>
      </c>
      <c r="C52" s="1573"/>
      <c r="D52" s="1573"/>
      <c r="E52" s="1573"/>
      <c r="F52" s="1573"/>
      <c r="G52" s="1573"/>
      <c r="H52" s="1573"/>
      <c r="I52" s="1573"/>
      <c r="J52" s="1573"/>
      <c r="K52" s="1597">
        <f>D30</f>
        <v>0</v>
      </c>
      <c r="L52" s="453"/>
    </row>
    <row r="53" spans="1:12" s="433" customFormat="1" ht="26.25" x14ac:dyDescent="0.2">
      <c r="A53" s="1254" t="s">
        <v>1770</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0</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0</v>
      </c>
      <c r="D56" s="1617">
        <v>0</v>
      </c>
      <c r="E56" s="1573"/>
      <c r="F56" s="1573"/>
      <c r="G56" s="1573"/>
      <c r="H56" s="1616">
        <v>0</v>
      </c>
      <c r="I56" s="1573"/>
      <c r="J56" s="1573"/>
      <c r="K56" s="1573"/>
      <c r="L56" s="453"/>
    </row>
    <row r="57" spans="1:12" s="433" customFormat="1" ht="14.25" thickTop="1" thickBot="1" x14ac:dyDescent="0.25">
      <c r="A57" s="1255" t="s">
        <v>574</v>
      </c>
      <c r="B57" s="432">
        <v>8440</v>
      </c>
      <c r="C57" s="1617">
        <v>0</v>
      </c>
      <c r="D57" s="1617">
        <v>0</v>
      </c>
      <c r="E57" s="1573"/>
      <c r="F57" s="1573"/>
      <c r="G57" s="1573"/>
      <c r="H57" s="1616">
        <v>0</v>
      </c>
      <c r="I57" s="1573"/>
      <c r="J57" s="1573"/>
      <c r="K57" s="1573"/>
      <c r="L57" s="453"/>
    </row>
    <row r="58" spans="1:12" s="433" customFormat="1" ht="14.25" thickTop="1" thickBot="1" x14ac:dyDescent="0.25">
      <c r="A58" s="1254" t="s">
        <v>575</v>
      </c>
      <c r="B58" s="432">
        <v>8510</v>
      </c>
      <c r="C58" s="1617">
        <v>0</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0</v>
      </c>
      <c r="D60" s="1617">
        <v>0</v>
      </c>
      <c r="E60" s="1573"/>
      <c r="F60" s="1573"/>
      <c r="G60" s="1573"/>
      <c r="H60" s="1616">
        <v>0</v>
      </c>
      <c r="I60" s="1573"/>
      <c r="J60" s="1573"/>
      <c r="K60" s="1573"/>
      <c r="L60" s="453"/>
    </row>
    <row r="61" spans="1:12" s="433" customFormat="1" ht="14.25" thickTop="1" thickBot="1" x14ac:dyDescent="0.25">
      <c r="A61" s="1255" t="s">
        <v>737</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0</v>
      </c>
      <c r="D64" s="1617">
        <v>0</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0</v>
      </c>
      <c r="D68" s="1617">
        <v>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0</v>
      </c>
      <c r="E72" s="1573"/>
      <c r="F72" s="1573"/>
      <c r="G72" s="1573"/>
      <c r="H72" s="1573"/>
      <c r="I72" s="1573"/>
      <c r="J72" s="1573"/>
      <c r="K72" s="1573"/>
      <c r="L72" s="453"/>
    </row>
    <row r="73" spans="1:12" s="433" customFormat="1" ht="14.25" thickTop="1" thickBot="1" x14ac:dyDescent="0.25">
      <c r="A73" s="1254" t="s">
        <v>746</v>
      </c>
      <c r="B73" s="432">
        <v>8840</v>
      </c>
      <c r="C73" s="1617">
        <v>0</v>
      </c>
      <c r="D73" s="1617">
        <v>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13898</v>
      </c>
      <c r="D75" s="1617">
        <v>0</v>
      </c>
      <c r="E75" s="1616">
        <v>0</v>
      </c>
      <c r="F75" s="1618">
        <v>0</v>
      </c>
      <c r="G75" s="1618">
        <v>0</v>
      </c>
      <c r="H75" s="1618">
        <v>0</v>
      </c>
      <c r="I75" s="1616">
        <v>0</v>
      </c>
      <c r="J75" s="1616">
        <v>0</v>
      </c>
      <c r="K75" s="1618">
        <v>0</v>
      </c>
      <c r="L75" s="453"/>
    </row>
    <row r="76" spans="1:12" s="433" customFormat="1" ht="14.25" thickTop="1" thickBot="1" x14ac:dyDescent="0.25">
      <c r="A76" s="2227" t="s">
        <v>437</v>
      </c>
      <c r="B76" s="2228"/>
      <c r="C76" s="1614">
        <f t="shared" ref="C76:K76" si="7">SUM(C47:C75)</f>
        <v>13898</v>
      </c>
      <c r="D76" s="1614">
        <f t="shared" si="7"/>
        <v>0</v>
      </c>
      <c r="E76" s="1614">
        <f t="shared" si="7"/>
        <v>0</v>
      </c>
      <c r="F76" s="1614">
        <f t="shared" si="7"/>
        <v>0</v>
      </c>
      <c r="G76" s="1614">
        <f t="shared" si="7"/>
        <v>0</v>
      </c>
      <c r="H76" s="1614">
        <f t="shared" si="7"/>
        <v>0</v>
      </c>
      <c r="I76" s="1614">
        <f t="shared" si="7"/>
        <v>0</v>
      </c>
      <c r="J76" s="1614">
        <f t="shared" si="7"/>
        <v>0</v>
      </c>
      <c r="K76" s="1614">
        <f t="shared" si="7"/>
        <v>0</v>
      </c>
      <c r="L76" s="453"/>
    </row>
    <row r="77" spans="1:12" ht="14.25" thickTop="1" thickBot="1" x14ac:dyDescent="0.25">
      <c r="A77" s="2229" t="s">
        <v>1166</v>
      </c>
      <c r="B77" s="2230"/>
      <c r="C77" s="1614">
        <f t="shared" ref="C77:K77" si="8">C44-C76</f>
        <v>-13898</v>
      </c>
      <c r="D77" s="1614">
        <f t="shared" si="8"/>
        <v>0</v>
      </c>
      <c r="E77" s="1614">
        <f t="shared" si="8"/>
        <v>13898</v>
      </c>
      <c r="F77" s="1614">
        <f t="shared" si="8"/>
        <v>0</v>
      </c>
      <c r="G77" s="1614">
        <f t="shared" si="8"/>
        <v>0</v>
      </c>
      <c r="H77" s="1614">
        <f t="shared" si="8"/>
        <v>0</v>
      </c>
      <c r="I77" s="1614">
        <f t="shared" si="8"/>
        <v>0</v>
      </c>
      <c r="J77" s="1614">
        <f t="shared" si="8"/>
        <v>0</v>
      </c>
      <c r="K77" s="1614">
        <f t="shared" si="8"/>
        <v>0</v>
      </c>
      <c r="L77" s="325"/>
    </row>
    <row r="78" spans="1:12" ht="21.75" customHeight="1" thickTop="1" thickBot="1" x14ac:dyDescent="0.25">
      <c r="A78" s="2233" t="s">
        <v>593</v>
      </c>
      <c r="B78" s="2234"/>
      <c r="C78" s="1619">
        <f t="shared" ref="C78:K78" si="9">C20+C77</f>
        <v>-1934751</v>
      </c>
      <c r="D78" s="1619">
        <f t="shared" si="9"/>
        <v>326066</v>
      </c>
      <c r="E78" s="1619">
        <f t="shared" si="9"/>
        <v>0</v>
      </c>
      <c r="F78" s="1619">
        <f t="shared" si="9"/>
        <v>157894</v>
      </c>
      <c r="G78" s="1619">
        <f t="shared" si="9"/>
        <v>125690</v>
      </c>
      <c r="H78" s="1619">
        <f t="shared" si="9"/>
        <v>61925</v>
      </c>
      <c r="I78" s="1619">
        <f t="shared" si="9"/>
        <v>51003</v>
      </c>
      <c r="J78" s="1619">
        <f t="shared" si="9"/>
        <v>74426</v>
      </c>
      <c r="K78" s="1619">
        <f t="shared" si="9"/>
        <v>4473</v>
      </c>
      <c r="L78" s="457"/>
    </row>
    <row r="79" spans="1:12" ht="13.5" thickTop="1" x14ac:dyDescent="0.2">
      <c r="A79" s="1833" t="str">
        <f>"Fund Balances - July 1, "&amp;'AFR20'!E2-1</f>
        <v>Fund Balances - July 1, 2019</v>
      </c>
      <c r="B79" s="458"/>
      <c r="C79" s="1574">
        <v>4741130</v>
      </c>
      <c r="D79" s="1620">
        <v>2561134</v>
      </c>
      <c r="E79" s="1620">
        <v>0</v>
      </c>
      <c r="F79" s="1620">
        <v>2268860</v>
      </c>
      <c r="G79" s="1620">
        <v>203587</v>
      </c>
      <c r="H79" s="1620">
        <v>2290040</v>
      </c>
      <c r="I79" s="1620">
        <v>1075925</v>
      </c>
      <c r="J79" s="1620">
        <v>412115</v>
      </c>
      <c r="K79" s="1620">
        <v>128164</v>
      </c>
      <c r="L79" s="325"/>
    </row>
    <row r="80" spans="1:12" x14ac:dyDescent="0.2">
      <c r="A80" s="2239" t="s">
        <v>1769</v>
      </c>
      <c r="B80" s="2240"/>
      <c r="C80" s="1566">
        <v>6712105</v>
      </c>
      <c r="D80" s="1566">
        <v>931747</v>
      </c>
      <c r="E80" s="1566">
        <v>0</v>
      </c>
      <c r="F80" s="1566">
        <v>88720</v>
      </c>
      <c r="G80" s="1566">
        <v>296790</v>
      </c>
      <c r="H80" s="1566">
        <v>-782</v>
      </c>
      <c r="I80" s="1566">
        <v>12076</v>
      </c>
      <c r="J80" s="1566">
        <v>95005</v>
      </c>
      <c r="K80" s="1566">
        <v>851</v>
      </c>
      <c r="L80" s="325"/>
    </row>
    <row r="81" spans="1:12" ht="13.5" thickBot="1" x14ac:dyDescent="0.25">
      <c r="A81" s="2231" t="str">
        <f>"Fund Balances - June 30, "&amp;'AFR20'!E2</f>
        <v>Fund Balances - June 30, 2020</v>
      </c>
      <c r="B81" s="2232"/>
      <c r="C81" s="1585">
        <f>(SUM(C78:C80))</f>
        <v>9518484</v>
      </c>
      <c r="D81" s="1585">
        <f>SUM(D78:D80)</f>
        <v>3818947</v>
      </c>
      <c r="E81" s="1585">
        <f t="shared" ref="E81:K81" si="10">SUM(E78:E80)</f>
        <v>0</v>
      </c>
      <c r="F81" s="1585">
        <f t="shared" si="10"/>
        <v>2515474</v>
      </c>
      <c r="G81" s="1585">
        <f t="shared" si="10"/>
        <v>626067</v>
      </c>
      <c r="H81" s="1585">
        <f t="shared" si="10"/>
        <v>2351183</v>
      </c>
      <c r="I81" s="1585">
        <f t="shared" si="10"/>
        <v>1139004</v>
      </c>
      <c r="J81" s="1585">
        <f t="shared" si="10"/>
        <v>581546</v>
      </c>
      <c r="K81" s="1585">
        <f t="shared" si="10"/>
        <v>133488</v>
      </c>
      <c r="L81" s="325"/>
    </row>
    <row r="82" spans="1:12" ht="0.75" customHeight="1" thickTop="1" thickBot="1" x14ac:dyDescent="0.25">
      <c r="A82" s="459" t="s">
        <v>340</v>
      </c>
      <c r="B82" s="460"/>
      <c r="C82" s="461">
        <f>(C81-C79)</f>
        <v>4777354</v>
      </c>
      <c r="D82" s="461">
        <f t="shared" ref="D82:K82" si="11">(D81-D79)</f>
        <v>1257813</v>
      </c>
      <c r="E82" s="461">
        <f t="shared" si="11"/>
        <v>0</v>
      </c>
      <c r="F82" s="461">
        <f t="shared" si="11"/>
        <v>246614</v>
      </c>
      <c r="G82" s="461">
        <f t="shared" si="11"/>
        <v>422480</v>
      </c>
      <c r="H82" s="461">
        <f t="shared" si="11"/>
        <v>61143</v>
      </c>
      <c r="I82" s="461">
        <f t="shared" si="11"/>
        <v>63079</v>
      </c>
      <c r="J82" s="461">
        <f t="shared" si="11"/>
        <v>169431</v>
      </c>
      <c r="K82" s="461">
        <f t="shared" si="11"/>
        <v>5324</v>
      </c>
    </row>
    <row r="83" spans="1:12" ht="14.25" hidden="1" thickTop="1" thickBot="1" x14ac:dyDescent="0.25">
      <c r="A83" s="462" t="s">
        <v>341</v>
      </c>
      <c r="B83" s="428"/>
      <c r="C83" s="463">
        <f>C82/C81</f>
        <v>0.50190282402113617</v>
      </c>
      <c r="D83" s="463">
        <f t="shared" ref="D83:K83" si="12">D82/D81</f>
        <v>0.32936120873109787</v>
      </c>
      <c r="E83" s="463" t="e">
        <f t="shared" si="12"/>
        <v>#DIV/0!</v>
      </c>
      <c r="F83" s="463">
        <f t="shared" si="12"/>
        <v>9.8038779172434296E-2</v>
      </c>
      <c r="G83" s="463">
        <f t="shared" si="12"/>
        <v>0.67481595420298468</v>
      </c>
      <c r="H83" s="463">
        <f t="shared" si="12"/>
        <v>2.6005206740606749E-2</v>
      </c>
      <c r="I83" s="463">
        <f t="shared" si="12"/>
        <v>5.5380841507141329E-2</v>
      </c>
      <c r="J83" s="463">
        <f t="shared" si="12"/>
        <v>0.29134582646944523</v>
      </c>
      <c r="K83" s="463">
        <f t="shared" si="12"/>
        <v>3.9883734867553637E-2</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34" activePane="bottomLeft" state="frozen"/>
      <selection activeCell="C44" sqref="C44"/>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5" t="s">
        <v>1776</v>
      </c>
      <c r="B1" s="416"/>
      <c r="C1" s="417" t="s">
        <v>422</v>
      </c>
      <c r="D1" s="417" t="s">
        <v>423</v>
      </c>
      <c r="E1" s="417" t="s">
        <v>424</v>
      </c>
      <c r="F1" s="417" t="s">
        <v>425</v>
      </c>
      <c r="G1" s="417" t="s">
        <v>426</v>
      </c>
      <c r="H1" s="417" t="s">
        <v>427</v>
      </c>
      <c r="I1" s="417" t="s">
        <v>428</v>
      </c>
      <c r="J1" s="417" t="s">
        <v>429</v>
      </c>
      <c r="K1" s="417" t="s">
        <v>750</v>
      </c>
    </row>
    <row r="2" spans="1:12" ht="36" x14ac:dyDescent="0.2">
      <c r="A2" s="2236"/>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9294761</v>
      </c>
      <c r="D5" s="1577">
        <v>1613736</v>
      </c>
      <c r="E5" s="1565">
        <v>0</v>
      </c>
      <c r="F5" s="1621">
        <v>314309</v>
      </c>
      <c r="G5" s="1565">
        <v>264479</v>
      </c>
      <c r="H5" s="1565">
        <v>0</v>
      </c>
      <c r="I5" s="1565">
        <v>25966</v>
      </c>
      <c r="J5" s="1566">
        <v>179362</v>
      </c>
      <c r="K5" s="1565">
        <v>1008</v>
      </c>
    </row>
    <row r="6" spans="1:12" ht="15" x14ac:dyDescent="0.2">
      <c r="A6" s="427" t="s">
        <v>1640</v>
      </c>
      <c r="B6" s="429">
        <v>1130</v>
      </c>
      <c r="C6" s="1565">
        <v>0</v>
      </c>
      <c r="D6" s="1565">
        <v>0</v>
      </c>
      <c r="E6" s="1572"/>
      <c r="F6" s="1572"/>
      <c r="G6" s="1567"/>
      <c r="H6" s="1567"/>
      <c r="I6" s="1567"/>
      <c r="J6" s="1567"/>
      <c r="K6" s="1567"/>
    </row>
    <row r="7" spans="1:12" x14ac:dyDescent="0.2">
      <c r="A7" s="427" t="s">
        <v>110</v>
      </c>
      <c r="B7" s="471">
        <v>1140</v>
      </c>
      <c r="C7" s="1565">
        <v>179362</v>
      </c>
      <c r="D7" s="1565">
        <v>0</v>
      </c>
      <c r="E7" s="1567"/>
      <c r="F7" s="1566">
        <v>0</v>
      </c>
      <c r="G7" s="1566">
        <v>0</v>
      </c>
      <c r="H7" s="1566">
        <v>0</v>
      </c>
      <c r="I7" s="1567"/>
      <c r="J7" s="1567"/>
      <c r="K7" s="1567"/>
    </row>
    <row r="8" spans="1:12" x14ac:dyDescent="0.2">
      <c r="A8" s="427" t="s">
        <v>410</v>
      </c>
      <c r="B8" s="429">
        <v>1150</v>
      </c>
      <c r="C8" s="1572"/>
      <c r="D8" s="1572"/>
      <c r="E8" s="1573"/>
      <c r="F8" s="1573"/>
      <c r="G8" s="1577">
        <v>264475</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0</v>
      </c>
      <c r="H11" s="1565">
        <v>0</v>
      </c>
      <c r="I11" s="1565">
        <v>0</v>
      </c>
      <c r="J11" s="1566">
        <v>0</v>
      </c>
      <c r="K11" s="1565">
        <v>0</v>
      </c>
      <c r="L11" s="473"/>
    </row>
    <row r="12" spans="1:12" ht="12.75" customHeight="1" thickBot="1" x14ac:dyDescent="0.25">
      <c r="A12" s="1397" t="s">
        <v>29</v>
      </c>
      <c r="B12" s="1398"/>
      <c r="C12" s="1623">
        <f t="shared" ref="C12:K12" si="0">SUM(C5:C11)</f>
        <v>9474123</v>
      </c>
      <c r="D12" s="1623">
        <f t="shared" si="0"/>
        <v>1613736</v>
      </c>
      <c r="E12" s="1623">
        <f t="shared" si="0"/>
        <v>0</v>
      </c>
      <c r="F12" s="1623">
        <f t="shared" si="0"/>
        <v>314309</v>
      </c>
      <c r="G12" s="1623">
        <f t="shared" si="0"/>
        <v>528954</v>
      </c>
      <c r="H12" s="1623">
        <f t="shared" si="0"/>
        <v>0</v>
      </c>
      <c r="I12" s="1623">
        <f t="shared" si="0"/>
        <v>25966</v>
      </c>
      <c r="J12" s="1623">
        <f t="shared" si="0"/>
        <v>179362</v>
      </c>
      <c r="K12" s="1585">
        <f t="shared" si="0"/>
        <v>1008</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98296</v>
      </c>
      <c r="D16" s="1565">
        <v>0</v>
      </c>
      <c r="E16" s="1565">
        <v>0</v>
      </c>
      <c r="F16" s="1565">
        <v>0</v>
      </c>
      <c r="G16" s="1565">
        <v>28948</v>
      </c>
      <c r="H16" s="1565">
        <v>0</v>
      </c>
      <c r="I16" s="1565">
        <v>0</v>
      </c>
      <c r="J16" s="1566">
        <v>0</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98296</v>
      </c>
      <c r="D18" s="1625">
        <f t="shared" ref="D18:K18" si="1">SUM(D14:D17)</f>
        <v>0</v>
      </c>
      <c r="E18" s="1625">
        <f t="shared" si="1"/>
        <v>0</v>
      </c>
      <c r="F18" s="1625">
        <f t="shared" si="1"/>
        <v>0</v>
      </c>
      <c r="G18" s="1625">
        <f t="shared" si="1"/>
        <v>28948</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0</v>
      </c>
      <c r="D20" s="1567"/>
      <c r="E20" s="1567"/>
      <c r="F20" s="1567"/>
      <c r="G20" s="1567"/>
      <c r="H20" s="1567"/>
      <c r="I20" s="1567"/>
      <c r="J20" s="1567"/>
      <c r="K20" s="1567"/>
    </row>
    <row r="21" spans="1:11" ht="12.75" customHeight="1" x14ac:dyDescent="0.2">
      <c r="A21" s="427" t="s">
        <v>826</v>
      </c>
      <c r="B21" s="429">
        <v>1312</v>
      </c>
      <c r="C21" s="1622">
        <v>0</v>
      </c>
      <c r="D21" s="1567"/>
      <c r="E21" s="1567"/>
      <c r="F21" s="1567"/>
      <c r="G21" s="1567"/>
      <c r="H21" s="1567"/>
      <c r="I21" s="1567"/>
      <c r="J21" s="1567"/>
      <c r="K21" s="1567"/>
    </row>
    <row r="22" spans="1:11" ht="12.75" customHeight="1" x14ac:dyDescent="0.2">
      <c r="A22" s="427" t="s">
        <v>1064</v>
      </c>
      <c r="B22" s="429">
        <v>1313</v>
      </c>
      <c r="C22" s="1622">
        <v>0</v>
      </c>
      <c r="D22" s="1567"/>
      <c r="E22" s="1567"/>
      <c r="F22" s="1567"/>
      <c r="G22" s="1567"/>
      <c r="H22" s="1567"/>
      <c r="I22" s="1567"/>
      <c r="J22" s="1567"/>
      <c r="K22" s="1567"/>
    </row>
    <row r="23" spans="1:11" ht="12.75" customHeight="1" x14ac:dyDescent="0.2">
      <c r="A23" s="427" t="s">
        <v>1065</v>
      </c>
      <c r="B23" s="429">
        <v>1314</v>
      </c>
      <c r="C23" s="1588">
        <v>0</v>
      </c>
      <c r="D23" s="1567"/>
      <c r="E23" s="1567"/>
      <c r="F23" s="1567"/>
      <c r="G23" s="1567"/>
      <c r="H23" s="1567"/>
      <c r="I23" s="1567"/>
      <c r="J23" s="1567"/>
      <c r="K23" s="1567"/>
    </row>
    <row r="24" spans="1:11" ht="12.75" customHeight="1" x14ac:dyDescent="0.2">
      <c r="A24" s="427" t="s">
        <v>1019</v>
      </c>
      <c r="B24" s="429">
        <v>1321</v>
      </c>
      <c r="C24" s="1622">
        <v>0</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0</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0</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0</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0</v>
      </c>
      <c r="G42" s="1567"/>
      <c r="H42" s="1567"/>
      <c r="I42" s="1567"/>
      <c r="J42" s="1567"/>
      <c r="K42" s="1567"/>
    </row>
    <row r="43" spans="1:11" ht="12.75" customHeight="1" x14ac:dyDescent="0.2">
      <c r="A43" s="427" t="s">
        <v>831</v>
      </c>
      <c r="B43" s="429">
        <v>1412</v>
      </c>
      <c r="C43" s="1567"/>
      <c r="D43" s="1567"/>
      <c r="E43" s="1567"/>
      <c r="F43" s="1565">
        <v>0</v>
      </c>
      <c r="G43" s="1567"/>
      <c r="H43" s="1567"/>
      <c r="I43" s="1567"/>
      <c r="J43" s="1567"/>
      <c r="K43" s="1567"/>
    </row>
    <row r="44" spans="1:11" ht="12.75" customHeight="1" x14ac:dyDescent="0.2">
      <c r="A44" s="427" t="s">
        <v>381</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0</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0</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136304</v>
      </c>
      <c r="D65" s="1565">
        <v>62885</v>
      </c>
      <c r="E65" s="1565">
        <v>0</v>
      </c>
      <c r="F65" s="1566">
        <v>66823</v>
      </c>
      <c r="G65" s="1565">
        <v>17211</v>
      </c>
      <c r="H65" s="1565">
        <v>49550</v>
      </c>
      <c r="I65" s="1565">
        <v>25037</v>
      </c>
      <c r="J65" s="1566">
        <v>11194</v>
      </c>
      <c r="K65" s="1565">
        <v>3465</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136304</v>
      </c>
      <c r="D67" s="1585">
        <f t="shared" ref="D67:K67" si="2">SUM(D65:D66)</f>
        <v>62885</v>
      </c>
      <c r="E67" s="1585">
        <f t="shared" si="2"/>
        <v>0</v>
      </c>
      <c r="F67" s="1585">
        <f t="shared" si="2"/>
        <v>66823</v>
      </c>
      <c r="G67" s="1585">
        <f t="shared" si="2"/>
        <v>17211</v>
      </c>
      <c r="H67" s="1585">
        <f t="shared" si="2"/>
        <v>49550</v>
      </c>
      <c r="I67" s="1585">
        <f t="shared" si="2"/>
        <v>25037</v>
      </c>
      <c r="J67" s="1585">
        <f t="shared" si="2"/>
        <v>11194</v>
      </c>
      <c r="K67" s="1585">
        <f t="shared" si="2"/>
        <v>3465</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152763</v>
      </c>
      <c r="D69" s="1567"/>
      <c r="E69" s="1567"/>
      <c r="F69" s="1567"/>
      <c r="G69" s="1567"/>
      <c r="H69" s="1567"/>
      <c r="I69" s="1567"/>
      <c r="J69" s="1567"/>
      <c r="K69" s="1567"/>
    </row>
    <row r="70" spans="1:11" ht="12.75" customHeight="1" x14ac:dyDescent="0.2">
      <c r="A70" s="427" t="s">
        <v>989</v>
      </c>
      <c r="B70" s="429">
        <v>1612</v>
      </c>
      <c r="C70" s="1622">
        <v>0</v>
      </c>
      <c r="D70" s="1567"/>
      <c r="E70" s="1567"/>
      <c r="F70" s="1567"/>
      <c r="G70" s="1567"/>
      <c r="H70" s="1567"/>
      <c r="I70" s="1567"/>
      <c r="J70" s="1567"/>
      <c r="K70" s="1567"/>
    </row>
    <row r="71" spans="1:11" ht="12.75" customHeight="1" x14ac:dyDescent="0.2">
      <c r="A71" s="427" t="s">
        <v>271</v>
      </c>
      <c r="B71" s="429">
        <v>1613</v>
      </c>
      <c r="C71" s="1622">
        <v>0</v>
      </c>
      <c r="D71" s="1567"/>
      <c r="E71" s="1567"/>
      <c r="F71" s="1567"/>
      <c r="G71" s="1567"/>
      <c r="H71" s="1567"/>
      <c r="I71" s="1567"/>
      <c r="J71" s="1567"/>
      <c r="K71" s="1567"/>
    </row>
    <row r="72" spans="1:11" ht="12.75" customHeight="1" x14ac:dyDescent="0.2">
      <c r="A72" s="427" t="s">
        <v>24</v>
      </c>
      <c r="B72" s="429">
        <v>1614</v>
      </c>
      <c r="C72" s="1622">
        <v>0</v>
      </c>
      <c r="D72" s="1567"/>
      <c r="E72" s="1567"/>
      <c r="F72" s="1567"/>
      <c r="G72" s="1567"/>
      <c r="H72" s="1567"/>
      <c r="I72" s="1567"/>
      <c r="J72" s="1567"/>
      <c r="K72" s="1567"/>
    </row>
    <row r="73" spans="1:11" ht="12.75" customHeight="1" x14ac:dyDescent="0.2">
      <c r="A73" s="427" t="s">
        <v>990</v>
      </c>
      <c r="B73" s="429">
        <v>1620</v>
      </c>
      <c r="C73" s="1622">
        <v>0</v>
      </c>
      <c r="D73" s="1567"/>
      <c r="E73" s="1567"/>
      <c r="F73" s="1567"/>
      <c r="G73" s="1567"/>
      <c r="H73" s="1567"/>
      <c r="I73" s="1567"/>
      <c r="J73" s="1567"/>
      <c r="K73" s="1567"/>
    </row>
    <row r="74" spans="1:11" ht="12.75" customHeight="1" x14ac:dyDescent="0.2">
      <c r="A74" s="427" t="s">
        <v>25</v>
      </c>
      <c r="B74" s="429">
        <v>1690</v>
      </c>
      <c r="C74" s="1622">
        <v>499</v>
      </c>
      <c r="D74" s="1567"/>
      <c r="E74" s="1567"/>
      <c r="F74" s="1567"/>
      <c r="G74" s="1567"/>
      <c r="H74" s="1567"/>
      <c r="I74" s="1567"/>
      <c r="J74" s="1567"/>
      <c r="K74" s="1567"/>
    </row>
    <row r="75" spans="1:11" ht="12.75" customHeight="1" thickBot="1" x14ac:dyDescent="0.25">
      <c r="A75" s="1399" t="s">
        <v>544</v>
      </c>
      <c r="B75" s="1400"/>
      <c r="C75" s="1585">
        <f>SUM(C69:C74)</f>
        <v>153262</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0</v>
      </c>
      <c r="D77" s="1565">
        <v>0</v>
      </c>
      <c r="E77" s="1567"/>
      <c r="F77" s="1567"/>
      <c r="G77" s="1567"/>
      <c r="H77" s="1567"/>
      <c r="I77" s="1567"/>
      <c r="J77" s="1567"/>
      <c r="K77" s="1567"/>
    </row>
    <row r="78" spans="1:11" ht="12.75" customHeight="1" x14ac:dyDescent="0.2">
      <c r="A78" s="427" t="s">
        <v>76</v>
      </c>
      <c r="B78" s="429">
        <v>1719</v>
      </c>
      <c r="C78" s="1622">
        <v>0</v>
      </c>
      <c r="D78" s="1565">
        <v>0</v>
      </c>
      <c r="E78" s="1567"/>
      <c r="F78" s="1567"/>
      <c r="G78" s="1567"/>
      <c r="H78" s="1567"/>
      <c r="I78" s="1567"/>
      <c r="J78" s="1567"/>
      <c r="K78" s="1567"/>
    </row>
    <row r="79" spans="1:11" ht="12.75" customHeight="1" x14ac:dyDescent="0.2">
      <c r="A79" s="427" t="s">
        <v>546</v>
      </c>
      <c r="B79" s="429">
        <v>1720</v>
      </c>
      <c r="C79" s="1622">
        <v>18528</v>
      </c>
      <c r="D79" s="1565">
        <v>0</v>
      </c>
      <c r="E79" s="1567"/>
      <c r="F79" s="1567"/>
      <c r="G79" s="1567"/>
      <c r="H79" s="1567"/>
      <c r="I79" s="1567"/>
      <c r="J79" s="1567"/>
      <c r="K79" s="1567"/>
    </row>
    <row r="80" spans="1:11" ht="12.75" customHeight="1" x14ac:dyDescent="0.2">
      <c r="A80" s="427" t="s">
        <v>547</v>
      </c>
      <c r="B80" s="429">
        <v>1730</v>
      </c>
      <c r="C80" s="1622">
        <v>0</v>
      </c>
      <c r="D80" s="1565">
        <v>0</v>
      </c>
      <c r="E80" s="1567"/>
      <c r="F80" s="1567"/>
      <c r="G80" s="1567"/>
      <c r="H80" s="1567"/>
      <c r="I80" s="1567"/>
      <c r="J80" s="1567"/>
      <c r="K80" s="1567"/>
    </row>
    <row r="81" spans="1:11" ht="12.75" customHeight="1" x14ac:dyDescent="0.2">
      <c r="A81" s="427" t="s">
        <v>26</v>
      </c>
      <c r="B81" s="429">
        <v>1790</v>
      </c>
      <c r="C81" s="1622">
        <v>0</v>
      </c>
      <c r="D81" s="1565">
        <v>0</v>
      </c>
      <c r="E81" s="1567"/>
      <c r="F81" s="1567"/>
      <c r="G81" s="1567"/>
      <c r="H81" s="1567"/>
      <c r="I81" s="1567"/>
      <c r="J81" s="1567"/>
      <c r="K81" s="1567"/>
    </row>
    <row r="82" spans="1:11" ht="12.75" customHeight="1" thickBot="1" x14ac:dyDescent="0.25">
      <c r="A82" s="1399" t="s">
        <v>239</v>
      </c>
      <c r="B82" s="1400"/>
      <c r="C82" s="1623">
        <f>SUM(C77:C81)</f>
        <v>18528</v>
      </c>
      <c r="D82" s="1585">
        <f>SUM(D77:D81)</f>
        <v>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80543</v>
      </c>
      <c r="D84" s="1567"/>
      <c r="E84" s="1567"/>
      <c r="F84" s="1567"/>
      <c r="G84" s="1567"/>
      <c r="H84" s="1567"/>
      <c r="I84" s="1567"/>
      <c r="J84" s="1567"/>
      <c r="K84" s="1567"/>
    </row>
    <row r="85" spans="1:11" ht="12.75" customHeight="1" x14ac:dyDescent="0.2">
      <c r="A85" s="427" t="s">
        <v>549</v>
      </c>
      <c r="B85" s="429">
        <v>1812</v>
      </c>
      <c r="C85" s="1622">
        <v>0</v>
      </c>
      <c r="D85" s="1567"/>
      <c r="E85" s="1567"/>
      <c r="F85" s="1567"/>
      <c r="G85" s="1567"/>
      <c r="H85" s="1567"/>
      <c r="I85" s="1567"/>
      <c r="J85" s="1567"/>
      <c r="K85" s="1567"/>
    </row>
    <row r="86" spans="1:11" ht="12.75" customHeight="1" x14ac:dyDescent="0.2">
      <c r="A86" s="427" t="s">
        <v>991</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0</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0</v>
      </c>
      <c r="D92" s="1567"/>
      <c r="E92" s="1567"/>
      <c r="F92" s="1567"/>
      <c r="G92" s="1567"/>
      <c r="H92" s="1567"/>
      <c r="I92" s="1567"/>
      <c r="J92" s="1567"/>
      <c r="K92" s="1567"/>
    </row>
    <row r="93" spans="1:11" ht="12.75" customHeight="1" thickBot="1" x14ac:dyDescent="0.25">
      <c r="A93" s="1399" t="s">
        <v>241</v>
      </c>
      <c r="B93" s="1400"/>
      <c r="C93" s="1585">
        <f>SUM(C84:C92)</f>
        <v>80543</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0</v>
      </c>
      <c r="D95" s="1622">
        <v>0</v>
      </c>
      <c r="E95" s="1607"/>
      <c r="F95" s="1607"/>
      <c r="G95" s="1607"/>
      <c r="H95" s="1607"/>
      <c r="I95" s="1607"/>
      <c r="J95" s="1607"/>
      <c r="K95" s="1607"/>
    </row>
    <row r="96" spans="1:11" ht="12.75" customHeight="1" x14ac:dyDescent="0.2">
      <c r="A96" s="427" t="s">
        <v>388</v>
      </c>
      <c r="B96" s="429">
        <v>1920</v>
      </c>
      <c r="C96" s="1622">
        <v>0</v>
      </c>
      <c r="D96" s="1622">
        <v>0</v>
      </c>
      <c r="E96" s="1575">
        <v>0</v>
      </c>
      <c r="F96" s="1574">
        <v>0</v>
      </c>
      <c r="G96" s="1574">
        <v>0</v>
      </c>
      <c r="H96" s="1574">
        <v>0</v>
      </c>
      <c r="I96" s="1574">
        <v>0</v>
      </c>
      <c r="J96" s="1574">
        <v>0</v>
      </c>
      <c r="K96" s="1574">
        <v>0</v>
      </c>
    </row>
    <row r="97" spans="1:12" ht="12.75" customHeight="1" x14ac:dyDescent="0.2">
      <c r="A97" s="1258" t="s">
        <v>242</v>
      </c>
      <c r="B97" s="477">
        <v>1930</v>
      </c>
      <c r="C97" s="1588">
        <v>0</v>
      </c>
      <c r="D97" s="1566">
        <v>0</v>
      </c>
      <c r="E97" s="1571">
        <v>0</v>
      </c>
      <c r="F97" s="1566">
        <v>0</v>
      </c>
      <c r="G97" s="1566">
        <v>0</v>
      </c>
      <c r="H97" s="1566">
        <v>12375</v>
      </c>
      <c r="I97" s="1566">
        <v>0</v>
      </c>
      <c r="J97" s="1566">
        <v>0</v>
      </c>
      <c r="K97" s="1566">
        <v>0</v>
      </c>
    </row>
    <row r="98" spans="1:12" ht="12.75" customHeight="1" x14ac:dyDescent="0.2">
      <c r="A98" s="427" t="s">
        <v>188</v>
      </c>
      <c r="B98" s="429">
        <v>1940</v>
      </c>
      <c r="C98" s="1588">
        <v>0</v>
      </c>
      <c r="D98" s="1565">
        <v>0</v>
      </c>
      <c r="E98" s="1602"/>
      <c r="F98" s="1565">
        <v>0</v>
      </c>
      <c r="G98" s="1602"/>
      <c r="H98" s="1602"/>
      <c r="I98" s="1600"/>
      <c r="J98" s="1602"/>
      <c r="K98" s="1602"/>
    </row>
    <row r="99" spans="1:12" ht="12.75" customHeight="1" x14ac:dyDescent="0.2">
      <c r="A99" s="427" t="s">
        <v>815</v>
      </c>
      <c r="B99" s="429">
        <v>1950</v>
      </c>
      <c r="C99" s="1588">
        <v>0</v>
      </c>
      <c r="D99" s="1565">
        <v>0</v>
      </c>
      <c r="E99" s="1565">
        <v>0</v>
      </c>
      <c r="F99" s="1565">
        <v>0</v>
      </c>
      <c r="G99" s="1565">
        <v>0</v>
      </c>
      <c r="H99" s="1565">
        <v>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0</v>
      </c>
      <c r="D101" s="1613"/>
      <c r="E101" s="1576"/>
      <c r="F101" s="1613"/>
      <c r="G101" s="1572"/>
      <c r="H101" s="1613"/>
      <c r="I101" s="1567"/>
      <c r="J101" s="1572"/>
      <c r="K101" s="1572"/>
    </row>
    <row r="102" spans="1:12" ht="12.75" customHeight="1" x14ac:dyDescent="0.2">
      <c r="A102" s="427" t="s">
        <v>245</v>
      </c>
      <c r="B102" s="429">
        <v>1980</v>
      </c>
      <c r="C102" s="1588">
        <v>0</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56025</v>
      </c>
      <c r="D104" s="1565">
        <v>0</v>
      </c>
      <c r="E104" s="1577">
        <v>0</v>
      </c>
      <c r="F104" s="1566">
        <v>0</v>
      </c>
      <c r="G104" s="1566">
        <v>0</v>
      </c>
      <c r="H104" s="1565">
        <v>0</v>
      </c>
      <c r="I104" s="1567"/>
      <c r="J104" s="1567"/>
      <c r="K104" s="1567"/>
    </row>
    <row r="105" spans="1:12" ht="12.75" customHeight="1" x14ac:dyDescent="0.2">
      <c r="A105" s="427" t="s">
        <v>816</v>
      </c>
      <c r="B105" s="429">
        <v>1992</v>
      </c>
      <c r="C105" s="1565">
        <v>0</v>
      </c>
      <c r="D105" s="1630"/>
      <c r="E105" s="1567"/>
      <c r="F105" s="1567"/>
      <c r="G105" s="1567"/>
      <c r="H105" s="1600"/>
      <c r="I105" s="1567"/>
      <c r="J105" s="1567"/>
      <c r="K105" s="1567"/>
    </row>
    <row r="106" spans="1:12" ht="12.75" customHeight="1" x14ac:dyDescent="0.2">
      <c r="A106" s="427" t="s">
        <v>1410</v>
      </c>
      <c r="B106" s="429">
        <v>1993</v>
      </c>
      <c r="C106" s="1565">
        <v>0</v>
      </c>
      <c r="D106" s="1588">
        <v>0</v>
      </c>
      <c r="E106" s="1566">
        <v>0</v>
      </c>
      <c r="F106" s="1566">
        <v>0</v>
      </c>
      <c r="G106" s="1566">
        <v>0</v>
      </c>
      <c r="H106" s="1566">
        <v>0</v>
      </c>
      <c r="I106" s="1607"/>
      <c r="J106" s="1566">
        <v>0</v>
      </c>
      <c r="K106" s="1566">
        <v>0</v>
      </c>
    </row>
    <row r="107" spans="1:12" ht="12.75" customHeight="1" x14ac:dyDescent="0.2">
      <c r="A107" s="427" t="s">
        <v>78</v>
      </c>
      <c r="B107" s="429">
        <v>1999</v>
      </c>
      <c r="C107" s="1622">
        <v>100</v>
      </c>
      <c r="D107" s="1565">
        <v>21473</v>
      </c>
      <c r="E107" s="1565">
        <v>0</v>
      </c>
      <c r="F107" s="1565">
        <v>466</v>
      </c>
      <c r="G107" s="1565">
        <v>0</v>
      </c>
      <c r="H107" s="1565">
        <v>0</v>
      </c>
      <c r="I107" s="1565">
        <v>0</v>
      </c>
      <c r="J107" s="1566">
        <v>0</v>
      </c>
      <c r="K107" s="1565">
        <v>0</v>
      </c>
    </row>
    <row r="108" spans="1:12" ht="12.75" customHeight="1" thickBot="1" x14ac:dyDescent="0.25">
      <c r="A108" s="1399" t="s">
        <v>484</v>
      </c>
      <c r="B108" s="1401"/>
      <c r="C108" s="1623">
        <f>SUM(C95:C107)</f>
        <v>56125</v>
      </c>
      <c r="D108" s="1623">
        <f t="shared" ref="D108:K108" si="3">SUM(D95:D107)</f>
        <v>21473</v>
      </c>
      <c r="E108" s="1623">
        <f t="shared" si="3"/>
        <v>0</v>
      </c>
      <c r="F108" s="1623">
        <f t="shared" si="3"/>
        <v>466</v>
      </c>
      <c r="G108" s="1623">
        <f t="shared" si="3"/>
        <v>0</v>
      </c>
      <c r="H108" s="1623">
        <f t="shared" si="3"/>
        <v>12375</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10017181</v>
      </c>
      <c r="D109" s="1631">
        <f t="shared" si="4"/>
        <v>1698094</v>
      </c>
      <c r="E109" s="1631">
        <f t="shared" si="4"/>
        <v>0</v>
      </c>
      <c r="F109" s="1631">
        <f t="shared" si="4"/>
        <v>381598</v>
      </c>
      <c r="G109" s="1631">
        <f t="shared" si="4"/>
        <v>575113</v>
      </c>
      <c r="H109" s="1631">
        <f t="shared" si="4"/>
        <v>61925</v>
      </c>
      <c r="I109" s="1631">
        <f t="shared" si="4"/>
        <v>51003</v>
      </c>
      <c r="J109" s="1631">
        <f t="shared" si="4"/>
        <v>190556</v>
      </c>
      <c r="K109" s="1619">
        <f t="shared" si="4"/>
        <v>4473</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0</v>
      </c>
      <c r="D111" s="1577">
        <v>0</v>
      </c>
      <c r="E111" s="1630"/>
      <c r="F111" s="1577">
        <v>0</v>
      </c>
      <c r="G111" s="1577">
        <v>0</v>
      </c>
      <c r="H111" s="1630"/>
      <c r="I111" s="1567"/>
      <c r="J111" s="1567"/>
      <c r="K111" s="1567"/>
    </row>
    <row r="112" spans="1:12" ht="12.75" customHeight="1" x14ac:dyDescent="0.2">
      <c r="A112" s="427" t="s">
        <v>818</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0</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1150713</v>
      </c>
      <c r="D117" s="1577">
        <v>0</v>
      </c>
      <c r="E117" s="1565">
        <v>0</v>
      </c>
      <c r="F117" s="1577">
        <v>0</v>
      </c>
      <c r="G117" s="1577">
        <v>0</v>
      </c>
      <c r="H117" s="1565">
        <v>0</v>
      </c>
      <c r="I117" s="1567"/>
      <c r="J117" s="1566">
        <v>0</v>
      </c>
      <c r="K117" s="1565">
        <v>0</v>
      </c>
    </row>
    <row r="118" spans="1:11" ht="12.75" customHeight="1" x14ac:dyDescent="0.2">
      <c r="A118" s="427" t="s">
        <v>1773</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1774</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1892</v>
      </c>
      <c r="B120" s="478">
        <v>3030</v>
      </c>
      <c r="C120" s="1622">
        <v>0</v>
      </c>
      <c r="D120" s="1565">
        <v>0</v>
      </c>
      <c r="E120" s="1565">
        <v>0</v>
      </c>
      <c r="F120" s="1565">
        <v>0</v>
      </c>
      <c r="G120" s="1565">
        <v>0</v>
      </c>
      <c r="H120" s="1565">
        <v>0</v>
      </c>
      <c r="I120" s="1567"/>
      <c r="J120" s="1566">
        <v>0</v>
      </c>
      <c r="K120" s="1565">
        <v>0</v>
      </c>
    </row>
    <row r="121" spans="1:11" x14ac:dyDescent="0.2">
      <c r="A121" s="1259" t="s">
        <v>1775</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1150713</v>
      </c>
      <c r="D122" s="1623">
        <f t="shared" si="5"/>
        <v>0</v>
      </c>
      <c r="E122" s="1623">
        <f t="shared" si="5"/>
        <v>0</v>
      </c>
      <c r="F122" s="1623">
        <f t="shared" si="5"/>
        <v>0</v>
      </c>
      <c r="G122" s="1623">
        <f t="shared" si="5"/>
        <v>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53631</v>
      </c>
      <c r="D125" s="1630"/>
      <c r="E125" s="1567"/>
      <c r="F125" s="1621">
        <v>0</v>
      </c>
      <c r="G125" s="1567"/>
      <c r="H125" s="1567"/>
      <c r="I125" s="1567"/>
      <c r="J125" s="1567"/>
      <c r="K125" s="1567"/>
    </row>
    <row r="126" spans="1:11" ht="12.75" customHeight="1" x14ac:dyDescent="0.2">
      <c r="A126" s="427" t="s">
        <v>1426</v>
      </c>
      <c r="B126" s="478">
        <v>3105</v>
      </c>
      <c r="C126" s="1565">
        <v>0</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80264</v>
      </c>
      <c r="D128" s="1630"/>
      <c r="E128" s="1567"/>
      <c r="F128" s="1565">
        <v>0</v>
      </c>
      <c r="G128" s="1567"/>
      <c r="H128" s="1567"/>
      <c r="I128" s="1567"/>
      <c r="J128" s="1567"/>
      <c r="K128" s="1567"/>
    </row>
    <row r="129" spans="1:11" ht="12.75" customHeight="1" x14ac:dyDescent="0.2">
      <c r="A129" s="427" t="s">
        <v>1427</v>
      </c>
      <c r="B129" s="478">
        <v>3130</v>
      </c>
      <c r="C129" s="1565">
        <v>0</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1024</v>
      </c>
      <c r="B132" s="1407"/>
      <c r="C132" s="1623">
        <f>SUM(C125:C131)</f>
        <v>133895</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0</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0</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0</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804</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0</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44848</v>
      </c>
      <c r="G152" s="1566">
        <v>0</v>
      </c>
      <c r="H152" s="1567"/>
      <c r="I152" s="1567"/>
      <c r="J152" s="1567"/>
      <c r="K152" s="1567"/>
    </row>
    <row r="153" spans="1:11" ht="12.75" customHeight="1" x14ac:dyDescent="0.2">
      <c r="A153" s="427" t="s">
        <v>1047</v>
      </c>
      <c r="B153" s="478">
        <v>3510</v>
      </c>
      <c r="C153" s="1622">
        <v>0</v>
      </c>
      <c r="D153" s="1565">
        <v>0</v>
      </c>
      <c r="E153" s="1630"/>
      <c r="F153" s="1565">
        <v>201577</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246425</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0</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0</v>
      </c>
      <c r="E167" s="1607"/>
      <c r="F167" s="1607"/>
      <c r="G167" s="1567"/>
      <c r="H167" s="1617">
        <v>0</v>
      </c>
      <c r="I167" s="1567"/>
      <c r="J167" s="1567"/>
      <c r="K167" s="1616">
        <v>0</v>
      </c>
    </row>
    <row r="168" spans="1:11" ht="14.25" thickTop="1" thickBot="1" x14ac:dyDescent="0.25">
      <c r="A168" s="1263" t="s">
        <v>70</v>
      </c>
      <c r="B168" s="484">
        <v>3999</v>
      </c>
      <c r="C168" s="1644">
        <v>0</v>
      </c>
      <c r="D168" s="1645">
        <v>0</v>
      </c>
      <c r="E168" s="1645">
        <v>0</v>
      </c>
      <c r="F168" s="1645">
        <v>0</v>
      </c>
      <c r="G168" s="1646">
        <v>0</v>
      </c>
      <c r="H168" s="1647">
        <v>0</v>
      </c>
      <c r="I168" s="1646">
        <v>0</v>
      </c>
      <c r="J168" s="1646">
        <v>0</v>
      </c>
      <c r="K168" s="1647">
        <v>0</v>
      </c>
    </row>
    <row r="169" spans="1:11" ht="12.75" customHeight="1" thickTop="1" thickBot="1" x14ac:dyDescent="0.25">
      <c r="A169" s="2255" t="s">
        <v>395</v>
      </c>
      <c r="B169" s="2256"/>
      <c r="C169" s="1648">
        <f t="shared" ref="C169:K169" si="6">SUM(C132,C141,C145,C146:C150,C155,C156:C167,C168)</f>
        <v>134699</v>
      </c>
      <c r="D169" s="1648">
        <f t="shared" si="6"/>
        <v>0</v>
      </c>
      <c r="E169" s="1648">
        <f t="shared" si="6"/>
        <v>0</v>
      </c>
      <c r="F169" s="1648">
        <f t="shared" si="6"/>
        <v>246425</v>
      </c>
      <c r="G169" s="1648">
        <f t="shared" si="6"/>
        <v>0</v>
      </c>
      <c r="H169" s="1648">
        <f t="shared" si="6"/>
        <v>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1285412</v>
      </c>
      <c r="D170" s="1631">
        <f t="shared" si="7"/>
        <v>0</v>
      </c>
      <c r="E170" s="1631">
        <f t="shared" si="7"/>
        <v>0</v>
      </c>
      <c r="F170" s="1631">
        <f t="shared" si="7"/>
        <v>246425</v>
      </c>
      <c r="G170" s="1631">
        <f t="shared" si="7"/>
        <v>0</v>
      </c>
      <c r="H170" s="1631">
        <f t="shared" si="7"/>
        <v>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257" t="s">
        <v>1472</v>
      </c>
      <c r="B172" s="2258"/>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261" t="s">
        <v>1643</v>
      </c>
      <c r="B175" s="2262"/>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65" t="s">
        <v>1642</v>
      </c>
      <c r="B176" s="2266"/>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0</v>
      </c>
      <c r="D180" s="1565">
        <v>0</v>
      </c>
      <c r="E180" s="1567"/>
      <c r="F180" s="1565">
        <v>0</v>
      </c>
      <c r="G180" s="1565">
        <v>0</v>
      </c>
      <c r="H180" s="1565">
        <v>0</v>
      </c>
      <c r="I180" s="1567"/>
      <c r="J180" s="1567"/>
      <c r="K180" s="1565">
        <v>0</v>
      </c>
    </row>
    <row r="181" spans="1:11" ht="13.5" thickBot="1" x14ac:dyDescent="0.25">
      <c r="A181" s="2263" t="s">
        <v>779</v>
      </c>
      <c r="B181" s="2264"/>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59" t="s">
        <v>1777</v>
      </c>
      <c r="B182" s="2260"/>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70090</v>
      </c>
      <c r="D191" s="1567"/>
      <c r="E191" s="1630"/>
      <c r="F191" s="1567"/>
      <c r="G191" s="1654">
        <v>0</v>
      </c>
      <c r="H191" s="1567"/>
      <c r="I191" s="1567"/>
      <c r="J191" s="1567"/>
      <c r="K191" s="1567"/>
    </row>
    <row r="192" spans="1:11" ht="12.75" customHeight="1" x14ac:dyDescent="0.2">
      <c r="A192" s="427" t="s">
        <v>1037</v>
      </c>
      <c r="B192" s="429">
        <v>4215</v>
      </c>
      <c r="C192" s="1622">
        <v>0</v>
      </c>
      <c r="D192" s="1567"/>
      <c r="E192" s="1630"/>
      <c r="F192" s="1567"/>
      <c r="G192" s="1654">
        <v>0</v>
      </c>
      <c r="H192" s="1567"/>
      <c r="I192" s="1567"/>
      <c r="J192" s="1567"/>
      <c r="K192" s="1567"/>
    </row>
    <row r="193" spans="1:11" ht="12.75" customHeight="1" x14ac:dyDescent="0.2">
      <c r="A193" s="427" t="s">
        <v>1049</v>
      </c>
      <c r="B193" s="429">
        <v>4220</v>
      </c>
      <c r="C193" s="1622">
        <v>0</v>
      </c>
      <c r="D193" s="1567"/>
      <c r="E193" s="1630"/>
      <c r="F193" s="1567"/>
      <c r="G193" s="1654">
        <v>0</v>
      </c>
      <c r="H193" s="1567"/>
      <c r="I193" s="1567"/>
      <c r="J193" s="1567"/>
      <c r="K193" s="1567"/>
    </row>
    <row r="194" spans="1:11" ht="12.75" customHeight="1" x14ac:dyDescent="0.2">
      <c r="A194" s="427" t="s">
        <v>1431</v>
      </c>
      <c r="B194" s="429">
        <v>4225</v>
      </c>
      <c r="C194" s="1622">
        <v>8168</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78258</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69089</v>
      </c>
      <c r="D200" s="1565">
        <v>0</v>
      </c>
      <c r="E200" s="1567"/>
      <c r="F200" s="1565">
        <v>0</v>
      </c>
      <c r="G200" s="1565">
        <v>0</v>
      </c>
      <c r="H200" s="1567"/>
      <c r="I200" s="1567"/>
      <c r="J200" s="1567"/>
      <c r="K200" s="1567"/>
    </row>
    <row r="201" spans="1:11" ht="12.75" customHeight="1" x14ac:dyDescent="0.2">
      <c r="A201" s="427" t="s">
        <v>912</v>
      </c>
      <c r="B201" s="429">
        <v>4305</v>
      </c>
      <c r="C201" s="1622">
        <v>0</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397</v>
      </c>
      <c r="B204" s="1400"/>
      <c r="C204" s="1623">
        <f>SUM(C200:C203)</f>
        <v>69089</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10000</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10000</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9584</v>
      </c>
      <c r="D211" s="1565">
        <v>0</v>
      </c>
      <c r="E211" s="1567"/>
      <c r="F211" s="1565">
        <v>0</v>
      </c>
      <c r="G211" s="1565">
        <v>0</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240388</v>
      </c>
      <c r="D213" s="1565">
        <v>0</v>
      </c>
      <c r="E213" s="1567"/>
      <c r="F213" s="1565">
        <v>0</v>
      </c>
      <c r="G213" s="1565">
        <v>0</v>
      </c>
      <c r="H213" s="1567"/>
      <c r="I213" s="1567"/>
      <c r="J213" s="1567"/>
      <c r="K213" s="1567"/>
    </row>
    <row r="214" spans="1:11" ht="12.75" customHeight="1" x14ac:dyDescent="0.2">
      <c r="A214" s="427" t="s">
        <v>1044</v>
      </c>
      <c r="B214" s="429">
        <v>4625</v>
      </c>
      <c r="C214" s="1622">
        <v>0</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249972</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0</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1075</v>
      </c>
      <c r="B221" s="1409"/>
      <c r="C221" s="1623">
        <f>SUM(C219:C220)</f>
        <v>0</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0</v>
      </c>
      <c r="D255" s="1567"/>
      <c r="E255" s="1567"/>
      <c r="F255" s="1643">
        <v>0</v>
      </c>
      <c r="G255" s="1639">
        <v>0</v>
      </c>
      <c r="H255" s="1567"/>
      <c r="I255" s="1567"/>
      <c r="J255" s="1567"/>
      <c r="K255" s="1567"/>
    </row>
    <row r="256" spans="1:11" ht="12.75" customHeight="1" thickTop="1" thickBot="1" x14ac:dyDescent="0.25">
      <c r="A256" s="427" t="s">
        <v>1437</v>
      </c>
      <c r="B256" s="429">
        <v>4909</v>
      </c>
      <c r="C256" s="1641">
        <v>0</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752</v>
      </c>
      <c r="B259" s="429">
        <v>4932</v>
      </c>
      <c r="C259" s="1641">
        <v>15476</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1893</v>
      </c>
      <c r="B261" s="429">
        <v>4981</v>
      </c>
      <c r="C261" s="1640">
        <v>0</v>
      </c>
      <c r="D261" s="1641">
        <v>0</v>
      </c>
      <c r="E261" s="1567"/>
      <c r="F261" s="1641">
        <v>0</v>
      </c>
      <c r="G261" s="1641">
        <v>0</v>
      </c>
      <c r="H261" s="1567"/>
      <c r="I261" s="1567"/>
      <c r="J261" s="1567"/>
      <c r="K261" s="1567"/>
    </row>
    <row r="262" spans="1:11" ht="12.75" customHeight="1" thickTop="1" thickBot="1" x14ac:dyDescent="0.25">
      <c r="A262" s="1533" t="s">
        <v>1894</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13015</v>
      </c>
      <c r="D263" s="1641">
        <v>0</v>
      </c>
      <c r="E263" s="1567"/>
      <c r="F263" s="1641">
        <v>0</v>
      </c>
      <c r="G263" s="1641">
        <v>0</v>
      </c>
      <c r="H263" s="1567"/>
      <c r="I263" s="1567"/>
      <c r="J263" s="1567"/>
      <c r="K263" s="1567"/>
    </row>
    <row r="264" spans="1:11" ht="12.75" customHeight="1" thickTop="1" thickBot="1" x14ac:dyDescent="0.25">
      <c r="A264" s="427" t="s">
        <v>374</v>
      </c>
      <c r="B264" s="429">
        <v>4992</v>
      </c>
      <c r="C264" s="1640">
        <v>0</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435810</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435810</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11738403</v>
      </c>
      <c r="D268" s="1631">
        <f t="shared" si="12"/>
        <v>1698094</v>
      </c>
      <c r="E268" s="1631">
        <f t="shared" si="12"/>
        <v>0</v>
      </c>
      <c r="F268" s="1631">
        <f t="shared" si="12"/>
        <v>628023</v>
      </c>
      <c r="G268" s="1631">
        <f t="shared" si="12"/>
        <v>575113</v>
      </c>
      <c r="H268" s="1631">
        <f t="shared" si="12"/>
        <v>61925</v>
      </c>
      <c r="I268" s="1631">
        <f t="shared" si="12"/>
        <v>51003</v>
      </c>
      <c r="J268" s="1631">
        <f t="shared" si="12"/>
        <v>190556</v>
      </c>
      <c r="K268" s="1619">
        <f t="shared" si="12"/>
        <v>4473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45" activePane="bottomLeft" state="frozen"/>
      <selection activeCell="C44" sqref="C44"/>
      <selection pane="bottomLeft" activeCell="L366" sqref="L36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5"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7"/>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73" t="s">
        <v>294</v>
      </c>
      <c r="B3" s="2274"/>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5505862</v>
      </c>
      <c r="D5" s="1565">
        <v>1503971</v>
      </c>
      <c r="E5" s="1565">
        <v>19696</v>
      </c>
      <c r="F5" s="1565">
        <v>123120</v>
      </c>
      <c r="G5" s="1565">
        <v>22987</v>
      </c>
      <c r="H5" s="1565">
        <v>0</v>
      </c>
      <c r="I5" s="1566">
        <v>7138</v>
      </c>
      <c r="J5" s="1566">
        <v>0</v>
      </c>
      <c r="K5" s="1662">
        <f>SUM(C5:J5)</f>
        <v>7182774</v>
      </c>
      <c r="L5" s="1565">
        <v>6634100</v>
      </c>
    </row>
    <row r="6" spans="1:14" x14ac:dyDescent="0.2">
      <c r="A6" s="1267" t="s">
        <v>1413</v>
      </c>
      <c r="B6" s="503" t="s">
        <v>1411</v>
      </c>
      <c r="C6" s="1573"/>
      <c r="D6" s="1573"/>
      <c r="E6" s="1565">
        <v>0</v>
      </c>
      <c r="F6" s="1573"/>
      <c r="G6" s="1573"/>
      <c r="H6" s="1573"/>
      <c r="I6" s="1573"/>
      <c r="J6" s="1573"/>
      <c r="K6" s="1662">
        <f>SUM(C6,E6)</f>
        <v>0</v>
      </c>
      <c r="L6" s="1565">
        <v>0</v>
      </c>
    </row>
    <row r="7" spans="1:14" x14ac:dyDescent="0.2">
      <c r="A7" s="1267" t="s">
        <v>162</v>
      </c>
      <c r="B7" s="503" t="s">
        <v>960</v>
      </c>
      <c r="C7" s="1566">
        <v>0</v>
      </c>
      <c r="D7" s="1566">
        <v>0</v>
      </c>
      <c r="E7" s="1566">
        <v>0</v>
      </c>
      <c r="F7" s="1566">
        <v>0</v>
      </c>
      <c r="G7" s="1566">
        <v>0</v>
      </c>
      <c r="H7" s="1566">
        <v>0</v>
      </c>
      <c r="I7" s="1566">
        <v>0</v>
      </c>
      <c r="J7" s="1566">
        <v>0</v>
      </c>
      <c r="K7" s="1662">
        <f t="shared" ref="K7:K32" si="0">SUM(C7:J7)</f>
        <v>0</v>
      </c>
      <c r="L7" s="1565">
        <v>0</v>
      </c>
    </row>
    <row r="8" spans="1:14" x14ac:dyDescent="0.2">
      <c r="A8" s="1267" t="s">
        <v>163</v>
      </c>
      <c r="B8" s="503">
        <v>1200</v>
      </c>
      <c r="C8" s="1565">
        <v>1623445</v>
      </c>
      <c r="D8" s="1565">
        <v>52896</v>
      </c>
      <c r="E8" s="1565">
        <v>99922</v>
      </c>
      <c r="F8" s="1565">
        <v>714</v>
      </c>
      <c r="G8" s="1565">
        <v>5206</v>
      </c>
      <c r="H8" s="1565">
        <v>0</v>
      </c>
      <c r="I8" s="1566">
        <v>0</v>
      </c>
      <c r="J8" s="1566">
        <v>0</v>
      </c>
      <c r="K8" s="1662">
        <f t="shared" si="0"/>
        <v>1782183</v>
      </c>
      <c r="L8" s="1565">
        <v>1561000</v>
      </c>
    </row>
    <row r="9" spans="1:14" x14ac:dyDescent="0.2">
      <c r="A9" s="1267" t="s">
        <v>715</v>
      </c>
      <c r="B9" s="503" t="s">
        <v>961</v>
      </c>
      <c r="C9" s="1566">
        <v>0</v>
      </c>
      <c r="D9" s="1566">
        <v>0</v>
      </c>
      <c r="E9" s="1566">
        <v>0</v>
      </c>
      <c r="F9" s="1566">
        <v>0</v>
      </c>
      <c r="G9" s="1566">
        <v>0</v>
      </c>
      <c r="H9" s="1566">
        <v>0</v>
      </c>
      <c r="I9" s="1566">
        <v>0</v>
      </c>
      <c r="J9" s="1566">
        <v>0</v>
      </c>
      <c r="K9" s="1662">
        <f t="shared" si="0"/>
        <v>0</v>
      </c>
      <c r="L9" s="1565">
        <v>0</v>
      </c>
    </row>
    <row r="10" spans="1:14" x14ac:dyDescent="0.2">
      <c r="A10" s="1267" t="s">
        <v>716</v>
      </c>
      <c r="B10" s="503">
        <v>1250</v>
      </c>
      <c r="C10" s="1565">
        <v>0</v>
      </c>
      <c r="D10" s="1565">
        <v>0</v>
      </c>
      <c r="E10" s="1565">
        <v>0</v>
      </c>
      <c r="F10" s="1565">
        <v>0</v>
      </c>
      <c r="G10" s="1565">
        <v>0</v>
      </c>
      <c r="H10" s="1565">
        <v>0</v>
      </c>
      <c r="I10" s="1566">
        <v>0</v>
      </c>
      <c r="J10" s="1566">
        <v>0</v>
      </c>
      <c r="K10" s="1662">
        <f t="shared" si="0"/>
        <v>0</v>
      </c>
      <c r="L10" s="1565">
        <v>0</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717</v>
      </c>
      <c r="B13" s="503">
        <v>1400</v>
      </c>
      <c r="C13" s="1565">
        <v>0</v>
      </c>
      <c r="D13" s="1565">
        <v>0</v>
      </c>
      <c r="E13" s="1565">
        <v>0</v>
      </c>
      <c r="F13" s="1565">
        <v>0</v>
      </c>
      <c r="G13" s="1565">
        <v>0</v>
      </c>
      <c r="H13" s="1565">
        <v>0</v>
      </c>
      <c r="I13" s="1566">
        <v>0</v>
      </c>
      <c r="J13" s="1566">
        <v>0</v>
      </c>
      <c r="K13" s="1662">
        <f t="shared" si="0"/>
        <v>0</v>
      </c>
      <c r="L13" s="1565">
        <v>0</v>
      </c>
    </row>
    <row r="14" spans="1:14" x14ac:dyDescent="0.2">
      <c r="A14" s="1267" t="s">
        <v>956</v>
      </c>
      <c r="B14" s="503">
        <v>1500</v>
      </c>
      <c r="C14" s="1565">
        <v>71620</v>
      </c>
      <c r="D14" s="1565">
        <v>1004</v>
      </c>
      <c r="E14" s="1565">
        <v>5362</v>
      </c>
      <c r="F14" s="1565">
        <v>0</v>
      </c>
      <c r="G14" s="1565">
        <v>0</v>
      </c>
      <c r="H14" s="1565">
        <v>750</v>
      </c>
      <c r="I14" s="1566">
        <v>0</v>
      </c>
      <c r="J14" s="1566">
        <v>0</v>
      </c>
      <c r="K14" s="1662">
        <f t="shared" si="0"/>
        <v>78736</v>
      </c>
      <c r="L14" s="1565">
        <v>89400</v>
      </c>
    </row>
    <row r="15" spans="1:14" x14ac:dyDescent="0.2">
      <c r="A15" s="1267" t="s">
        <v>957</v>
      </c>
      <c r="B15" s="503">
        <v>1600</v>
      </c>
      <c r="C15" s="1565">
        <v>48335</v>
      </c>
      <c r="D15" s="1565">
        <v>515</v>
      </c>
      <c r="E15" s="1565">
        <v>0</v>
      </c>
      <c r="F15" s="1565">
        <v>0</v>
      </c>
      <c r="G15" s="1565">
        <v>0</v>
      </c>
      <c r="H15" s="1565">
        <v>0</v>
      </c>
      <c r="I15" s="1566">
        <v>0</v>
      </c>
      <c r="J15" s="1566">
        <v>0</v>
      </c>
      <c r="K15" s="1662">
        <f t="shared" si="0"/>
        <v>48850</v>
      </c>
      <c r="L15" s="1565">
        <v>58250</v>
      </c>
    </row>
    <row r="16" spans="1:14" x14ac:dyDescent="0.2">
      <c r="A16" s="1267" t="s">
        <v>979</v>
      </c>
      <c r="B16" s="503" t="s">
        <v>421</v>
      </c>
      <c r="C16" s="1565">
        <v>64630</v>
      </c>
      <c r="D16" s="1565">
        <v>970</v>
      </c>
      <c r="E16" s="1565">
        <v>0</v>
      </c>
      <c r="F16" s="1565">
        <v>1252</v>
      </c>
      <c r="G16" s="1565">
        <v>0</v>
      </c>
      <c r="H16" s="1565">
        <v>639</v>
      </c>
      <c r="I16" s="1566">
        <v>0</v>
      </c>
      <c r="J16" s="1566">
        <v>0</v>
      </c>
      <c r="K16" s="1662">
        <f t="shared" si="0"/>
        <v>67491</v>
      </c>
      <c r="L16" s="1565">
        <v>66800</v>
      </c>
    </row>
    <row r="17" spans="1:12" x14ac:dyDescent="0.2">
      <c r="A17" s="1267" t="s">
        <v>718</v>
      </c>
      <c r="B17" s="503" t="s">
        <v>161</v>
      </c>
      <c r="C17" s="1566">
        <v>0</v>
      </c>
      <c r="D17" s="1566">
        <v>0</v>
      </c>
      <c r="E17" s="1566">
        <v>0</v>
      </c>
      <c r="F17" s="1566">
        <v>0</v>
      </c>
      <c r="G17" s="1566">
        <v>0</v>
      </c>
      <c r="H17" s="1566">
        <v>0</v>
      </c>
      <c r="I17" s="1566">
        <v>0</v>
      </c>
      <c r="J17" s="1566">
        <v>0</v>
      </c>
      <c r="K17" s="1662">
        <f t="shared" si="0"/>
        <v>0</v>
      </c>
      <c r="L17" s="1565">
        <v>0</v>
      </c>
    </row>
    <row r="18" spans="1:12" x14ac:dyDescent="0.2">
      <c r="A18" s="1267" t="s">
        <v>1077</v>
      </c>
      <c r="B18" s="503">
        <v>1800</v>
      </c>
      <c r="C18" s="1565">
        <v>0</v>
      </c>
      <c r="D18" s="1565">
        <v>0</v>
      </c>
      <c r="E18" s="1565">
        <v>0</v>
      </c>
      <c r="F18" s="1565">
        <v>0</v>
      </c>
      <c r="G18" s="1565">
        <v>0</v>
      </c>
      <c r="H18" s="1565">
        <v>0</v>
      </c>
      <c r="I18" s="1566">
        <v>0</v>
      </c>
      <c r="J18" s="1566">
        <v>0</v>
      </c>
      <c r="K18" s="1662">
        <f t="shared" si="0"/>
        <v>0</v>
      </c>
      <c r="L18" s="1565">
        <v>0</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1565">
        <v>0</v>
      </c>
    </row>
    <row r="20" spans="1:12" x14ac:dyDescent="0.2">
      <c r="A20" s="1268" t="s">
        <v>732</v>
      </c>
      <c r="B20" s="494" t="s">
        <v>719</v>
      </c>
      <c r="C20" s="1573"/>
      <c r="D20" s="1573"/>
      <c r="E20" s="1573"/>
      <c r="F20" s="1573"/>
      <c r="G20" s="1573"/>
      <c r="H20" s="1571">
        <v>0</v>
      </c>
      <c r="I20" s="1663"/>
      <c r="J20" s="1572"/>
      <c r="K20" s="1662">
        <f t="shared" si="0"/>
        <v>0</v>
      </c>
      <c r="L20" s="1569">
        <v>0</v>
      </c>
    </row>
    <row r="21" spans="1:12" x14ac:dyDescent="0.2">
      <c r="A21" s="1268" t="s">
        <v>733</v>
      </c>
      <c r="B21" s="494" t="s">
        <v>720</v>
      </c>
      <c r="C21" s="1573"/>
      <c r="D21" s="1573"/>
      <c r="E21" s="1573"/>
      <c r="F21" s="1573"/>
      <c r="G21" s="1573"/>
      <c r="H21" s="1571">
        <v>0</v>
      </c>
      <c r="I21" s="1663"/>
      <c r="J21" s="1573"/>
      <c r="K21" s="1662">
        <f t="shared" si="0"/>
        <v>0</v>
      </c>
      <c r="L21" s="1569">
        <v>0</v>
      </c>
    </row>
    <row r="22" spans="1:12" x14ac:dyDescent="0.2">
      <c r="A22" s="1268" t="s">
        <v>734</v>
      </c>
      <c r="B22" s="494" t="s">
        <v>721</v>
      </c>
      <c r="C22" s="1573"/>
      <c r="D22" s="1573"/>
      <c r="E22" s="1573"/>
      <c r="F22" s="1573"/>
      <c r="G22" s="1573"/>
      <c r="H22" s="1571">
        <v>0</v>
      </c>
      <c r="I22" s="1663"/>
      <c r="J22" s="1573"/>
      <c r="K22" s="1662">
        <f t="shared" si="0"/>
        <v>0</v>
      </c>
      <c r="L22" s="1569">
        <v>0</v>
      </c>
    </row>
    <row r="23" spans="1:12" x14ac:dyDescent="0.2">
      <c r="A23" s="1268" t="s">
        <v>735</v>
      </c>
      <c r="B23" s="494" t="s">
        <v>722</v>
      </c>
      <c r="C23" s="1573"/>
      <c r="D23" s="1573"/>
      <c r="E23" s="1573"/>
      <c r="F23" s="1573"/>
      <c r="G23" s="1573"/>
      <c r="H23" s="1571">
        <v>0</v>
      </c>
      <c r="I23" s="1663"/>
      <c r="J23" s="1573"/>
      <c r="K23" s="1662">
        <f t="shared" si="0"/>
        <v>0</v>
      </c>
      <c r="L23" s="1569">
        <v>0</v>
      </c>
    </row>
    <row r="24" spans="1:12" ht="12.75" customHeight="1" x14ac:dyDescent="0.2">
      <c r="A24" s="1268" t="s">
        <v>736</v>
      </c>
      <c r="B24" s="494" t="s">
        <v>723</v>
      </c>
      <c r="C24" s="1573"/>
      <c r="D24" s="1573"/>
      <c r="E24" s="1573"/>
      <c r="F24" s="1573"/>
      <c r="G24" s="1573"/>
      <c r="H24" s="1571">
        <v>0</v>
      </c>
      <c r="I24" s="1663"/>
      <c r="J24" s="1573"/>
      <c r="K24" s="1662">
        <f t="shared" si="0"/>
        <v>0</v>
      </c>
      <c r="L24" s="1569">
        <v>0</v>
      </c>
    </row>
    <row r="25" spans="1:12" ht="12.75" customHeight="1" x14ac:dyDescent="0.2">
      <c r="A25" s="1268" t="s">
        <v>796</v>
      </c>
      <c r="B25" s="494" t="s">
        <v>724</v>
      </c>
      <c r="C25" s="1573"/>
      <c r="D25" s="1573"/>
      <c r="E25" s="1573"/>
      <c r="F25" s="1573"/>
      <c r="G25" s="1573"/>
      <c r="H25" s="1571">
        <v>0</v>
      </c>
      <c r="I25" s="1663"/>
      <c r="J25" s="1573"/>
      <c r="K25" s="1662">
        <f t="shared" si="0"/>
        <v>0</v>
      </c>
      <c r="L25" s="1569">
        <v>0</v>
      </c>
    </row>
    <row r="26" spans="1:12" x14ac:dyDescent="0.2">
      <c r="A26" s="1268" t="s">
        <v>618</v>
      </c>
      <c r="B26" s="494" t="s">
        <v>725</v>
      </c>
      <c r="C26" s="1573"/>
      <c r="D26" s="1573"/>
      <c r="E26" s="1573"/>
      <c r="F26" s="1573"/>
      <c r="G26" s="1573"/>
      <c r="H26" s="1571">
        <v>0</v>
      </c>
      <c r="I26" s="1663"/>
      <c r="J26" s="1573"/>
      <c r="K26" s="1662">
        <f t="shared" si="0"/>
        <v>0</v>
      </c>
      <c r="L26" s="1569">
        <v>0</v>
      </c>
    </row>
    <row r="27" spans="1:12" x14ac:dyDescent="0.2">
      <c r="A27" s="1268" t="s">
        <v>619</v>
      </c>
      <c r="B27" s="494" t="s">
        <v>726</v>
      </c>
      <c r="C27" s="1573"/>
      <c r="D27" s="1573"/>
      <c r="E27" s="1573"/>
      <c r="F27" s="1573"/>
      <c r="G27" s="1573"/>
      <c r="H27" s="1571">
        <v>0</v>
      </c>
      <c r="I27" s="1663"/>
      <c r="J27" s="1573"/>
      <c r="K27" s="1662">
        <f t="shared" si="0"/>
        <v>0</v>
      </c>
      <c r="L27" s="1569">
        <v>0</v>
      </c>
    </row>
    <row r="28" spans="1:12" x14ac:dyDescent="0.2">
      <c r="A28" s="1268" t="s">
        <v>149</v>
      </c>
      <c r="B28" s="494" t="s">
        <v>727</v>
      </c>
      <c r="C28" s="1573"/>
      <c r="D28" s="1573"/>
      <c r="E28" s="1573"/>
      <c r="F28" s="1573"/>
      <c r="G28" s="1573"/>
      <c r="H28" s="1571">
        <v>0</v>
      </c>
      <c r="I28" s="1663"/>
      <c r="J28" s="1573"/>
      <c r="K28" s="1662">
        <f t="shared" si="0"/>
        <v>0</v>
      </c>
      <c r="L28" s="1569">
        <v>0</v>
      </c>
    </row>
    <row r="29" spans="1:12" x14ac:dyDescent="0.2">
      <c r="A29" s="1268" t="s">
        <v>150</v>
      </c>
      <c r="B29" s="494" t="s">
        <v>728</v>
      </c>
      <c r="C29" s="1573"/>
      <c r="D29" s="1573"/>
      <c r="E29" s="1573"/>
      <c r="F29" s="1573"/>
      <c r="G29" s="1573"/>
      <c r="H29" s="1571">
        <v>0</v>
      </c>
      <c r="I29" s="1663"/>
      <c r="J29" s="1573"/>
      <c r="K29" s="1662">
        <f t="shared" si="0"/>
        <v>0</v>
      </c>
      <c r="L29" s="1569">
        <v>0</v>
      </c>
    </row>
    <row r="30" spans="1:12" x14ac:dyDescent="0.2">
      <c r="A30" s="1268" t="s">
        <v>151</v>
      </c>
      <c r="B30" s="494" t="s">
        <v>729</v>
      </c>
      <c r="C30" s="1573"/>
      <c r="D30" s="1573"/>
      <c r="E30" s="1573"/>
      <c r="F30" s="1573"/>
      <c r="G30" s="1573"/>
      <c r="H30" s="1571">
        <v>0</v>
      </c>
      <c r="I30" s="1663"/>
      <c r="J30" s="1573"/>
      <c r="K30" s="1662">
        <f t="shared" si="0"/>
        <v>0</v>
      </c>
      <c r="L30" s="1569">
        <v>0</v>
      </c>
    </row>
    <row r="31" spans="1:12" x14ac:dyDescent="0.2">
      <c r="A31" s="1268" t="s">
        <v>152</v>
      </c>
      <c r="B31" s="494" t="s">
        <v>730</v>
      </c>
      <c r="C31" s="1573"/>
      <c r="D31" s="1573"/>
      <c r="E31" s="1573"/>
      <c r="F31" s="1573"/>
      <c r="G31" s="1573"/>
      <c r="H31" s="1571">
        <v>0</v>
      </c>
      <c r="I31" s="1663"/>
      <c r="J31" s="1573"/>
      <c r="K31" s="1662">
        <f t="shared" si="0"/>
        <v>0</v>
      </c>
      <c r="L31" s="1569">
        <v>0</v>
      </c>
    </row>
    <row r="32" spans="1:12" x14ac:dyDescent="0.2">
      <c r="A32" s="1269" t="s">
        <v>1118</v>
      </c>
      <c r="B32" s="503" t="s">
        <v>731</v>
      </c>
      <c r="C32" s="1573"/>
      <c r="D32" s="1573"/>
      <c r="E32" s="1573"/>
      <c r="F32" s="1573"/>
      <c r="G32" s="1573"/>
      <c r="H32" s="1571">
        <v>0</v>
      </c>
      <c r="I32" s="1663"/>
      <c r="J32" s="1576"/>
      <c r="K32" s="1662">
        <f t="shared" si="0"/>
        <v>0</v>
      </c>
      <c r="L32" s="1569">
        <v>0</v>
      </c>
    </row>
    <row r="33" spans="1:14" ht="12.75" customHeight="1" thickBot="1" x14ac:dyDescent="0.25">
      <c r="A33" s="1373" t="s">
        <v>1646</v>
      </c>
      <c r="B33" s="1374" t="s">
        <v>566</v>
      </c>
      <c r="C33" s="1664">
        <f>SUM(C5:C32)</f>
        <v>7313892</v>
      </c>
      <c r="D33" s="1664">
        <f t="shared" ref="D33:L33" si="1">SUM(D5:D32)</f>
        <v>1559356</v>
      </c>
      <c r="E33" s="1664">
        <f t="shared" si="1"/>
        <v>124980</v>
      </c>
      <c r="F33" s="1664">
        <f t="shared" si="1"/>
        <v>125086</v>
      </c>
      <c r="G33" s="1664">
        <f t="shared" si="1"/>
        <v>28193</v>
      </c>
      <c r="H33" s="1664">
        <f t="shared" si="1"/>
        <v>1389</v>
      </c>
      <c r="I33" s="1664">
        <f t="shared" si="1"/>
        <v>7138</v>
      </c>
      <c r="J33" s="1664">
        <f t="shared" si="1"/>
        <v>0</v>
      </c>
      <c r="K33" s="1664">
        <f t="shared" si="1"/>
        <v>9160034</v>
      </c>
      <c r="L33" s="1664">
        <f t="shared" si="1"/>
        <v>8409550</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259838</v>
      </c>
      <c r="D36" s="1577">
        <v>3898</v>
      </c>
      <c r="E36" s="1577">
        <v>0</v>
      </c>
      <c r="F36" s="1577">
        <v>0</v>
      </c>
      <c r="G36" s="1577">
        <v>0</v>
      </c>
      <c r="H36" s="1577">
        <v>0</v>
      </c>
      <c r="I36" s="1566">
        <v>0</v>
      </c>
      <c r="J36" s="1566">
        <v>0</v>
      </c>
      <c r="K36" s="1662">
        <f t="shared" ref="K36:K41" si="2">SUM(C36:J36)</f>
        <v>263736</v>
      </c>
      <c r="L36" s="1565">
        <v>225000</v>
      </c>
    </row>
    <row r="37" spans="1:14" x14ac:dyDescent="0.2">
      <c r="A37" s="1267" t="s">
        <v>1080</v>
      </c>
      <c r="B37" s="503">
        <v>2120</v>
      </c>
      <c r="C37" s="1565">
        <v>72644</v>
      </c>
      <c r="D37" s="1565">
        <v>1090</v>
      </c>
      <c r="E37" s="1565">
        <v>0</v>
      </c>
      <c r="F37" s="1565">
        <v>1744</v>
      </c>
      <c r="G37" s="1565">
        <v>0</v>
      </c>
      <c r="H37" s="1565">
        <v>0</v>
      </c>
      <c r="I37" s="1566">
        <v>0</v>
      </c>
      <c r="J37" s="1566">
        <v>0</v>
      </c>
      <c r="K37" s="1662">
        <f t="shared" si="2"/>
        <v>75478</v>
      </c>
      <c r="L37" s="1565">
        <v>73500</v>
      </c>
    </row>
    <row r="38" spans="1:14" x14ac:dyDescent="0.2">
      <c r="A38" s="1267" t="s">
        <v>196</v>
      </c>
      <c r="B38" s="503">
        <v>2130</v>
      </c>
      <c r="C38" s="1565">
        <v>130928</v>
      </c>
      <c r="D38" s="1565">
        <v>1383</v>
      </c>
      <c r="E38" s="1565">
        <v>0</v>
      </c>
      <c r="F38" s="1565">
        <v>6005</v>
      </c>
      <c r="G38" s="1565">
        <v>0</v>
      </c>
      <c r="H38" s="1565">
        <v>0</v>
      </c>
      <c r="I38" s="1566">
        <v>0</v>
      </c>
      <c r="J38" s="1566">
        <v>0</v>
      </c>
      <c r="K38" s="1662">
        <f t="shared" si="2"/>
        <v>138316</v>
      </c>
      <c r="L38" s="1565">
        <v>158000</v>
      </c>
    </row>
    <row r="39" spans="1:14" x14ac:dyDescent="0.2">
      <c r="A39" s="1267" t="s">
        <v>197</v>
      </c>
      <c r="B39" s="503">
        <v>2140</v>
      </c>
      <c r="C39" s="1565">
        <v>68330</v>
      </c>
      <c r="D39" s="1565">
        <v>1025</v>
      </c>
      <c r="E39" s="1565">
        <v>0</v>
      </c>
      <c r="F39" s="1565">
        <v>0</v>
      </c>
      <c r="G39" s="1565">
        <v>0</v>
      </c>
      <c r="H39" s="1565">
        <v>0</v>
      </c>
      <c r="I39" s="1566">
        <v>0</v>
      </c>
      <c r="J39" s="1566">
        <v>0</v>
      </c>
      <c r="K39" s="1662">
        <f t="shared" si="2"/>
        <v>69355</v>
      </c>
      <c r="L39" s="1565">
        <v>128000</v>
      </c>
    </row>
    <row r="40" spans="1:14" x14ac:dyDescent="0.2">
      <c r="A40" s="1267" t="s">
        <v>198</v>
      </c>
      <c r="B40" s="503">
        <v>2150</v>
      </c>
      <c r="C40" s="1565">
        <v>0</v>
      </c>
      <c r="D40" s="1565">
        <v>0</v>
      </c>
      <c r="E40" s="1565">
        <v>0</v>
      </c>
      <c r="F40" s="1565">
        <v>0</v>
      </c>
      <c r="G40" s="1565">
        <v>0</v>
      </c>
      <c r="H40" s="1565">
        <v>0</v>
      </c>
      <c r="I40" s="1566">
        <v>0</v>
      </c>
      <c r="J40" s="1566">
        <v>0</v>
      </c>
      <c r="K40" s="1662">
        <f t="shared" si="2"/>
        <v>0</v>
      </c>
      <c r="L40" s="1565">
        <v>0</v>
      </c>
    </row>
    <row r="41" spans="1:14" x14ac:dyDescent="0.2">
      <c r="A41" s="1267" t="s">
        <v>1647</v>
      </c>
      <c r="B41" s="503">
        <v>2190</v>
      </c>
      <c r="C41" s="1565">
        <v>214175</v>
      </c>
      <c r="D41" s="1565">
        <v>10092</v>
      </c>
      <c r="E41" s="1565">
        <v>0</v>
      </c>
      <c r="F41" s="1565">
        <v>0</v>
      </c>
      <c r="G41" s="1565">
        <v>0</v>
      </c>
      <c r="H41" s="1565">
        <v>0</v>
      </c>
      <c r="I41" s="1566">
        <v>0</v>
      </c>
      <c r="J41" s="1566">
        <v>0</v>
      </c>
      <c r="K41" s="1662">
        <f t="shared" si="2"/>
        <v>224267</v>
      </c>
      <c r="L41" s="1565">
        <v>221000</v>
      </c>
    </row>
    <row r="42" spans="1:14" ht="12.75" customHeight="1" thickBot="1" x14ac:dyDescent="0.25">
      <c r="A42" s="1373" t="s">
        <v>556</v>
      </c>
      <c r="B42" s="1374" t="s">
        <v>710</v>
      </c>
      <c r="C42" s="1664">
        <f>SUM(C36:C41)</f>
        <v>745915</v>
      </c>
      <c r="D42" s="1664">
        <f t="shared" ref="D42:L42" si="3">SUM(D36:D41)</f>
        <v>17488</v>
      </c>
      <c r="E42" s="1664">
        <f t="shared" si="3"/>
        <v>0</v>
      </c>
      <c r="F42" s="1664">
        <f t="shared" si="3"/>
        <v>7749</v>
      </c>
      <c r="G42" s="1664">
        <f t="shared" si="3"/>
        <v>0</v>
      </c>
      <c r="H42" s="1664">
        <f t="shared" si="3"/>
        <v>0</v>
      </c>
      <c r="I42" s="1664">
        <f t="shared" si="3"/>
        <v>0</v>
      </c>
      <c r="J42" s="1664">
        <f t="shared" si="3"/>
        <v>0</v>
      </c>
      <c r="K42" s="1664">
        <f t="shared" si="3"/>
        <v>771152</v>
      </c>
      <c r="L42" s="1664">
        <f t="shared" si="3"/>
        <v>805500</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137974</v>
      </c>
      <c r="D44" s="1577">
        <v>15407</v>
      </c>
      <c r="E44" s="1577">
        <v>456625</v>
      </c>
      <c r="F44" s="1577">
        <v>18551</v>
      </c>
      <c r="G44" s="1577">
        <v>0</v>
      </c>
      <c r="H44" s="1577">
        <v>0</v>
      </c>
      <c r="I44" s="1566">
        <v>0</v>
      </c>
      <c r="J44" s="1566">
        <v>0</v>
      </c>
      <c r="K44" s="1668">
        <f>SUM(C44:J44)</f>
        <v>628557</v>
      </c>
      <c r="L44" s="1577">
        <v>390750</v>
      </c>
    </row>
    <row r="45" spans="1:14" x14ac:dyDescent="0.2">
      <c r="A45" s="1267" t="s">
        <v>809</v>
      </c>
      <c r="B45" s="503">
        <v>2220</v>
      </c>
      <c r="C45" s="1565">
        <v>208127</v>
      </c>
      <c r="D45" s="1565">
        <v>5308</v>
      </c>
      <c r="E45" s="1565">
        <v>0</v>
      </c>
      <c r="F45" s="1565">
        <v>7694</v>
      </c>
      <c r="G45" s="1565">
        <v>0</v>
      </c>
      <c r="H45" s="1565">
        <v>0</v>
      </c>
      <c r="I45" s="1566">
        <v>0</v>
      </c>
      <c r="J45" s="1566">
        <v>0</v>
      </c>
      <c r="K45" s="1668">
        <f>SUM(C45:J45)</f>
        <v>221129</v>
      </c>
      <c r="L45" s="1565">
        <v>218500</v>
      </c>
    </row>
    <row r="46" spans="1:14" x14ac:dyDescent="0.2">
      <c r="A46" s="1267" t="s">
        <v>810</v>
      </c>
      <c r="B46" s="503">
        <v>2230</v>
      </c>
      <c r="C46" s="1565">
        <v>0</v>
      </c>
      <c r="D46" s="1565">
        <v>0</v>
      </c>
      <c r="E46" s="1565">
        <v>0</v>
      </c>
      <c r="F46" s="1565">
        <v>0</v>
      </c>
      <c r="G46" s="1565">
        <v>0</v>
      </c>
      <c r="H46" s="1565">
        <v>0</v>
      </c>
      <c r="I46" s="1566">
        <v>0</v>
      </c>
      <c r="J46" s="1566">
        <v>0</v>
      </c>
      <c r="K46" s="1668">
        <f>SUM(C46:J46)</f>
        <v>0</v>
      </c>
      <c r="L46" s="1565">
        <v>0</v>
      </c>
    </row>
    <row r="47" spans="1:14" ht="12.75" customHeight="1" thickBot="1" x14ac:dyDescent="0.25">
      <c r="A47" s="1373" t="s">
        <v>557</v>
      </c>
      <c r="B47" s="1374" t="s">
        <v>32</v>
      </c>
      <c r="C47" s="1664">
        <f>SUM(C44:C46)</f>
        <v>346101</v>
      </c>
      <c r="D47" s="1664">
        <f t="shared" ref="D47:K47" si="4">SUM(D44:D46)</f>
        <v>20715</v>
      </c>
      <c r="E47" s="1664">
        <f t="shared" si="4"/>
        <v>456625</v>
      </c>
      <c r="F47" s="1664">
        <f t="shared" si="4"/>
        <v>26245</v>
      </c>
      <c r="G47" s="1664">
        <f t="shared" si="4"/>
        <v>0</v>
      </c>
      <c r="H47" s="1664">
        <f t="shared" si="4"/>
        <v>0</v>
      </c>
      <c r="I47" s="1664">
        <f t="shared" si="4"/>
        <v>0</v>
      </c>
      <c r="J47" s="1664">
        <f t="shared" si="4"/>
        <v>0</v>
      </c>
      <c r="K47" s="1664">
        <f t="shared" si="4"/>
        <v>849686</v>
      </c>
      <c r="L47" s="1664">
        <f>SUM(L44:L46)</f>
        <v>609250</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0</v>
      </c>
      <c r="D49" s="1577">
        <v>0</v>
      </c>
      <c r="E49" s="1577">
        <v>141862</v>
      </c>
      <c r="F49" s="1577">
        <v>3679</v>
      </c>
      <c r="G49" s="1577">
        <v>0</v>
      </c>
      <c r="H49" s="1577">
        <v>40442</v>
      </c>
      <c r="I49" s="1566">
        <v>0</v>
      </c>
      <c r="J49" s="1566">
        <v>0</v>
      </c>
      <c r="K49" s="1668">
        <f>SUM(C49:J49)</f>
        <v>185983</v>
      </c>
      <c r="L49" s="1577">
        <v>146000</v>
      </c>
    </row>
    <row r="50" spans="1:14" x14ac:dyDescent="0.2">
      <c r="A50" s="1267" t="s">
        <v>812</v>
      </c>
      <c r="B50" s="503">
        <v>2320</v>
      </c>
      <c r="C50" s="1565">
        <v>166030</v>
      </c>
      <c r="D50" s="1565">
        <v>6022</v>
      </c>
      <c r="E50" s="1565">
        <v>454654</v>
      </c>
      <c r="F50" s="1565">
        <v>1373</v>
      </c>
      <c r="G50" s="1565">
        <v>0</v>
      </c>
      <c r="H50" s="1565">
        <v>3133</v>
      </c>
      <c r="I50" s="1566">
        <v>0</v>
      </c>
      <c r="J50" s="1566">
        <v>0</v>
      </c>
      <c r="K50" s="1668">
        <f>SUM(C50:J50)</f>
        <v>631212</v>
      </c>
      <c r="L50" s="1565">
        <v>345000</v>
      </c>
    </row>
    <row r="51" spans="1:14" x14ac:dyDescent="0.2">
      <c r="A51" s="1267" t="s">
        <v>42</v>
      </c>
      <c r="B51" s="503">
        <v>2330</v>
      </c>
      <c r="C51" s="1565">
        <v>0</v>
      </c>
      <c r="D51" s="1565">
        <v>0</v>
      </c>
      <c r="E51" s="1565">
        <v>0</v>
      </c>
      <c r="F51" s="1565">
        <v>0</v>
      </c>
      <c r="G51" s="1565">
        <v>0</v>
      </c>
      <c r="H51" s="1565">
        <v>0</v>
      </c>
      <c r="I51" s="1566">
        <v>0</v>
      </c>
      <c r="J51" s="1566">
        <v>0</v>
      </c>
      <c r="K51" s="1668">
        <f>SUM(C51:J51)</f>
        <v>0</v>
      </c>
      <c r="L51" s="1565">
        <v>0</v>
      </c>
    </row>
    <row r="52" spans="1:14" ht="22.5" x14ac:dyDescent="0.2">
      <c r="A52" s="1268" t="s">
        <v>295</v>
      </c>
      <c r="B52" s="511" t="s">
        <v>363</v>
      </c>
      <c r="C52" s="1571">
        <v>0</v>
      </c>
      <c r="D52" s="1571">
        <v>0</v>
      </c>
      <c r="E52" s="1571">
        <v>790</v>
      </c>
      <c r="F52" s="1571">
        <v>0</v>
      </c>
      <c r="G52" s="1571">
        <v>0</v>
      </c>
      <c r="H52" s="1571">
        <v>0</v>
      </c>
      <c r="I52" s="1571">
        <v>0</v>
      </c>
      <c r="J52" s="1571">
        <v>0</v>
      </c>
      <c r="K52" s="1668">
        <f>SUM(C52:J52)</f>
        <v>790</v>
      </c>
      <c r="L52" s="1571">
        <v>0</v>
      </c>
    </row>
    <row r="53" spans="1:14" ht="12.75" customHeight="1" thickBot="1" x14ac:dyDescent="0.25">
      <c r="A53" s="1373" t="s">
        <v>711</v>
      </c>
      <c r="B53" s="1374" t="s">
        <v>33</v>
      </c>
      <c r="C53" s="1664">
        <f>SUM(C49:C52)</f>
        <v>166030</v>
      </c>
      <c r="D53" s="1664">
        <f t="shared" ref="D53:L53" si="5">SUM(D49:D52)</f>
        <v>6022</v>
      </c>
      <c r="E53" s="1664">
        <f t="shared" si="5"/>
        <v>597306</v>
      </c>
      <c r="F53" s="1664">
        <f t="shared" si="5"/>
        <v>5052</v>
      </c>
      <c r="G53" s="1664">
        <f t="shared" si="5"/>
        <v>0</v>
      </c>
      <c r="H53" s="1664">
        <f t="shared" si="5"/>
        <v>43575</v>
      </c>
      <c r="I53" s="1664">
        <f t="shared" si="5"/>
        <v>0</v>
      </c>
      <c r="J53" s="1664">
        <f t="shared" si="5"/>
        <v>0</v>
      </c>
      <c r="K53" s="1664">
        <f t="shared" si="5"/>
        <v>817985</v>
      </c>
      <c r="L53" s="1664">
        <f t="shared" si="5"/>
        <v>491000</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577379</v>
      </c>
      <c r="D55" s="1577">
        <v>56115</v>
      </c>
      <c r="E55" s="1577">
        <v>3798</v>
      </c>
      <c r="F55" s="1577">
        <v>40556</v>
      </c>
      <c r="G55" s="1577">
        <v>4838</v>
      </c>
      <c r="H55" s="1577">
        <v>4325</v>
      </c>
      <c r="I55" s="1566">
        <v>0</v>
      </c>
      <c r="J55" s="1566">
        <v>0</v>
      </c>
      <c r="K55" s="1668">
        <f>SUM(C55:J55)</f>
        <v>687011</v>
      </c>
      <c r="L55" s="1577">
        <v>723500</v>
      </c>
    </row>
    <row r="56" spans="1:14" ht="12.75" customHeight="1" x14ac:dyDescent="0.2">
      <c r="A56" s="1271" t="s">
        <v>373</v>
      </c>
      <c r="B56" s="512">
        <v>2490</v>
      </c>
      <c r="C56" s="1565">
        <v>64986</v>
      </c>
      <c r="D56" s="1565">
        <v>10747</v>
      </c>
      <c r="E56" s="1565">
        <v>10665</v>
      </c>
      <c r="F56" s="1565">
        <v>885</v>
      </c>
      <c r="G56" s="1565">
        <v>0</v>
      </c>
      <c r="H56" s="1565">
        <v>0</v>
      </c>
      <c r="I56" s="1566">
        <v>0</v>
      </c>
      <c r="J56" s="1566">
        <v>0</v>
      </c>
      <c r="K56" s="1668">
        <f>SUM(C56:J56)</f>
        <v>87283</v>
      </c>
      <c r="L56" s="1565">
        <v>83750</v>
      </c>
    </row>
    <row r="57" spans="1:14" s="321" customFormat="1" ht="12.75" customHeight="1" thickBot="1" x14ac:dyDescent="0.25">
      <c r="A57" s="1373" t="s">
        <v>261</v>
      </c>
      <c r="B57" s="1375" t="s">
        <v>34</v>
      </c>
      <c r="C57" s="1669">
        <f>SUM(C55:C56)</f>
        <v>642365</v>
      </c>
      <c r="D57" s="1669">
        <f t="shared" ref="D57:K57" si="6">SUM(D55:D56)</f>
        <v>66862</v>
      </c>
      <c r="E57" s="1669">
        <f t="shared" si="6"/>
        <v>14463</v>
      </c>
      <c r="F57" s="1669">
        <f t="shared" si="6"/>
        <v>41441</v>
      </c>
      <c r="G57" s="1669">
        <f t="shared" si="6"/>
        <v>4838</v>
      </c>
      <c r="H57" s="1669">
        <f t="shared" si="6"/>
        <v>4325</v>
      </c>
      <c r="I57" s="1669">
        <f t="shared" si="6"/>
        <v>0</v>
      </c>
      <c r="J57" s="1669">
        <f t="shared" si="6"/>
        <v>0</v>
      </c>
      <c r="K57" s="1669">
        <f t="shared" si="6"/>
        <v>774294</v>
      </c>
      <c r="L57" s="1664">
        <f>SUM(L55:L56)</f>
        <v>807250</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0</v>
      </c>
      <c r="D59" s="1577">
        <v>0</v>
      </c>
      <c r="E59" s="1577">
        <v>0</v>
      </c>
      <c r="F59" s="1577">
        <v>0</v>
      </c>
      <c r="G59" s="1577">
        <v>0</v>
      </c>
      <c r="H59" s="1577">
        <v>0</v>
      </c>
      <c r="I59" s="1566">
        <v>0</v>
      </c>
      <c r="J59" s="1566">
        <v>0</v>
      </c>
      <c r="K59" s="1668">
        <f t="shared" ref="K59:K64" si="7">SUM(C59:J59)</f>
        <v>0</v>
      </c>
      <c r="L59" s="1577">
        <v>0</v>
      </c>
      <c r="M59" s="501"/>
      <c r="N59" s="501"/>
    </row>
    <row r="60" spans="1:14" s="321" customFormat="1" x14ac:dyDescent="0.2">
      <c r="A60" s="1267" t="s">
        <v>460</v>
      </c>
      <c r="B60" s="503">
        <v>2520</v>
      </c>
      <c r="C60" s="1565">
        <v>59982</v>
      </c>
      <c r="D60" s="1565">
        <v>5250</v>
      </c>
      <c r="E60" s="1565">
        <v>2770</v>
      </c>
      <c r="F60" s="1565">
        <v>6149</v>
      </c>
      <c r="G60" s="1565">
        <v>0</v>
      </c>
      <c r="H60" s="1565">
        <v>0</v>
      </c>
      <c r="I60" s="1566">
        <v>0</v>
      </c>
      <c r="J60" s="1566">
        <v>0</v>
      </c>
      <c r="K60" s="1668">
        <f t="shared" si="7"/>
        <v>74151</v>
      </c>
      <c r="L60" s="1565">
        <v>126000</v>
      </c>
      <c r="M60" s="501"/>
      <c r="N60" s="501"/>
    </row>
    <row r="61" spans="1:14" s="321" customFormat="1" x14ac:dyDescent="0.2">
      <c r="A61" s="1267" t="s">
        <v>195</v>
      </c>
      <c r="B61" s="503">
        <v>2540</v>
      </c>
      <c r="C61" s="1565">
        <v>0</v>
      </c>
      <c r="D61" s="1565">
        <v>0</v>
      </c>
      <c r="E61" s="1565">
        <v>0</v>
      </c>
      <c r="F61" s="1565">
        <v>0</v>
      </c>
      <c r="G61" s="1565">
        <v>0</v>
      </c>
      <c r="H61" s="1565">
        <v>0</v>
      </c>
      <c r="I61" s="1566">
        <v>0</v>
      </c>
      <c r="J61" s="1566">
        <v>0</v>
      </c>
      <c r="K61" s="1668">
        <f t="shared" si="7"/>
        <v>0</v>
      </c>
      <c r="L61" s="1565">
        <v>0</v>
      </c>
      <c r="M61" s="501"/>
      <c r="N61" s="501"/>
    </row>
    <row r="62" spans="1:14" s="321" customFormat="1" x14ac:dyDescent="0.2">
      <c r="A62" s="1267" t="s">
        <v>946</v>
      </c>
      <c r="B62" s="503">
        <v>2550</v>
      </c>
      <c r="C62" s="1565">
        <v>0</v>
      </c>
      <c r="D62" s="1565">
        <v>0</v>
      </c>
      <c r="E62" s="1565">
        <v>0</v>
      </c>
      <c r="F62" s="1565">
        <v>0</v>
      </c>
      <c r="G62" s="1565">
        <v>0</v>
      </c>
      <c r="H62" s="1565">
        <v>0</v>
      </c>
      <c r="I62" s="1566">
        <v>0</v>
      </c>
      <c r="J62" s="1566">
        <v>0</v>
      </c>
      <c r="K62" s="1668">
        <f t="shared" si="7"/>
        <v>0</v>
      </c>
      <c r="L62" s="1565">
        <v>0</v>
      </c>
      <c r="M62" s="501"/>
      <c r="N62" s="501"/>
    </row>
    <row r="63" spans="1:14" s="501" customFormat="1" x14ac:dyDescent="0.2">
      <c r="A63" s="1267" t="s">
        <v>100</v>
      </c>
      <c r="B63" s="503">
        <v>2560</v>
      </c>
      <c r="C63" s="1565">
        <v>130013</v>
      </c>
      <c r="D63" s="1565">
        <v>23854</v>
      </c>
      <c r="E63" s="1565">
        <v>541</v>
      </c>
      <c r="F63" s="1565">
        <v>124170</v>
      </c>
      <c r="G63" s="1565">
        <v>0</v>
      </c>
      <c r="H63" s="1565">
        <v>600</v>
      </c>
      <c r="I63" s="1566">
        <v>0</v>
      </c>
      <c r="J63" s="1566">
        <v>0</v>
      </c>
      <c r="K63" s="1668">
        <f t="shared" si="7"/>
        <v>279178</v>
      </c>
      <c r="L63" s="1565">
        <v>0</v>
      </c>
    </row>
    <row r="64" spans="1:14" s="501" customFormat="1" x14ac:dyDescent="0.2">
      <c r="A64" s="1272" t="s">
        <v>101</v>
      </c>
      <c r="B64" s="513">
        <v>2570</v>
      </c>
      <c r="C64" s="1577">
        <v>0</v>
      </c>
      <c r="D64" s="1577">
        <v>0</v>
      </c>
      <c r="E64" s="1577">
        <v>0</v>
      </c>
      <c r="F64" s="1577">
        <v>0</v>
      </c>
      <c r="G64" s="1577">
        <v>0</v>
      </c>
      <c r="H64" s="1577">
        <v>0</v>
      </c>
      <c r="I64" s="1566">
        <v>0</v>
      </c>
      <c r="J64" s="1566">
        <v>0</v>
      </c>
      <c r="K64" s="1668">
        <f t="shared" si="7"/>
        <v>0</v>
      </c>
      <c r="L64" s="1577">
        <v>0</v>
      </c>
    </row>
    <row r="65" spans="1:14" s="321" customFormat="1" ht="12.75" customHeight="1" thickBot="1" x14ac:dyDescent="0.25">
      <c r="A65" s="1373" t="s">
        <v>713</v>
      </c>
      <c r="B65" s="1374" t="s">
        <v>35</v>
      </c>
      <c r="C65" s="1664">
        <f>SUM(C59:C64)</f>
        <v>189995</v>
      </c>
      <c r="D65" s="1664">
        <f t="shared" ref="D65:L65" si="8">SUM(D59:D64)</f>
        <v>29104</v>
      </c>
      <c r="E65" s="1664">
        <f t="shared" si="8"/>
        <v>3311</v>
      </c>
      <c r="F65" s="1664">
        <f t="shared" si="8"/>
        <v>130319</v>
      </c>
      <c r="G65" s="1664">
        <f t="shared" si="8"/>
        <v>0</v>
      </c>
      <c r="H65" s="1664">
        <f t="shared" si="8"/>
        <v>600</v>
      </c>
      <c r="I65" s="1664">
        <f t="shared" si="8"/>
        <v>0</v>
      </c>
      <c r="J65" s="1664">
        <f t="shared" si="8"/>
        <v>0</v>
      </c>
      <c r="K65" s="1664">
        <f t="shared" si="8"/>
        <v>353329</v>
      </c>
      <c r="L65" s="1664">
        <f t="shared" si="8"/>
        <v>126000</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603</v>
      </c>
      <c r="B68" s="503">
        <v>2620</v>
      </c>
      <c r="C68" s="1565">
        <v>0</v>
      </c>
      <c r="D68" s="1565">
        <v>0</v>
      </c>
      <c r="E68" s="1565">
        <v>0</v>
      </c>
      <c r="F68" s="1565">
        <v>0</v>
      </c>
      <c r="G68" s="1565">
        <v>0</v>
      </c>
      <c r="H68" s="1565">
        <v>0</v>
      </c>
      <c r="I68" s="1566">
        <v>0</v>
      </c>
      <c r="J68" s="1566">
        <v>0</v>
      </c>
      <c r="K68" s="1668">
        <f>SUM(C68:J68)</f>
        <v>0</v>
      </c>
      <c r="L68" s="1565">
        <v>0</v>
      </c>
      <c r="M68" s="501"/>
      <c r="N68" s="501"/>
    </row>
    <row r="69" spans="1:14" s="321" customFormat="1" x14ac:dyDescent="0.2">
      <c r="A69" s="1267" t="s">
        <v>1051</v>
      </c>
      <c r="B69" s="503">
        <v>2630</v>
      </c>
      <c r="C69" s="1565">
        <v>0</v>
      </c>
      <c r="D69" s="1565">
        <v>0</v>
      </c>
      <c r="E69" s="1565">
        <v>0</v>
      </c>
      <c r="F69" s="1565">
        <v>0</v>
      </c>
      <c r="G69" s="1565">
        <v>0</v>
      </c>
      <c r="H69" s="1565">
        <v>0</v>
      </c>
      <c r="I69" s="1566">
        <v>0</v>
      </c>
      <c r="J69" s="1566">
        <v>0</v>
      </c>
      <c r="K69" s="1668">
        <f>SUM(C69:J69)</f>
        <v>0</v>
      </c>
      <c r="L69" s="1565">
        <v>0</v>
      </c>
      <c r="M69" s="501"/>
      <c r="N69" s="501"/>
    </row>
    <row r="70" spans="1:14" s="321" customFormat="1" x14ac:dyDescent="0.2">
      <c r="A70" s="1267" t="s">
        <v>400</v>
      </c>
      <c r="B70" s="503">
        <v>2640</v>
      </c>
      <c r="C70" s="1565">
        <v>0</v>
      </c>
      <c r="D70" s="1565">
        <v>0</v>
      </c>
      <c r="E70" s="1565">
        <v>0</v>
      </c>
      <c r="F70" s="1565">
        <v>0</v>
      </c>
      <c r="G70" s="1565">
        <v>0</v>
      </c>
      <c r="H70" s="1565">
        <v>0</v>
      </c>
      <c r="I70" s="1566">
        <v>0</v>
      </c>
      <c r="J70" s="1566">
        <v>0</v>
      </c>
      <c r="K70" s="1668">
        <f>SUM(C70:J70)</f>
        <v>0</v>
      </c>
      <c r="L70" s="1565">
        <v>0</v>
      </c>
      <c r="M70" s="501"/>
      <c r="N70" s="501"/>
    </row>
    <row r="71" spans="1:14" s="321" customFormat="1" x14ac:dyDescent="0.2">
      <c r="A71" s="1267" t="s">
        <v>401</v>
      </c>
      <c r="B71" s="503">
        <v>2660</v>
      </c>
      <c r="C71" s="1565">
        <v>261770</v>
      </c>
      <c r="D71" s="1565">
        <v>12335</v>
      </c>
      <c r="E71" s="1565">
        <v>161392</v>
      </c>
      <c r="F71" s="1565">
        <v>62838</v>
      </c>
      <c r="G71" s="1565">
        <v>87944</v>
      </c>
      <c r="H71" s="1565">
        <v>0</v>
      </c>
      <c r="I71" s="1566">
        <v>0</v>
      </c>
      <c r="J71" s="1566">
        <v>0</v>
      </c>
      <c r="K71" s="1668">
        <f>SUM(C71:J71)</f>
        <v>586279</v>
      </c>
      <c r="L71" s="1565">
        <v>669546</v>
      </c>
      <c r="M71" s="501"/>
      <c r="N71" s="501"/>
    </row>
    <row r="72" spans="1:14" s="321" customFormat="1" ht="12.75" customHeight="1" thickBot="1" x14ac:dyDescent="0.25">
      <c r="A72" s="1373" t="s">
        <v>37</v>
      </c>
      <c r="B72" s="1376" t="s">
        <v>36</v>
      </c>
      <c r="C72" s="1664">
        <f>SUM(C67:C71)</f>
        <v>261770</v>
      </c>
      <c r="D72" s="1664">
        <f t="shared" ref="D72:K72" si="9">SUM(D67:D71)</f>
        <v>12335</v>
      </c>
      <c r="E72" s="1664">
        <f t="shared" si="9"/>
        <v>161392</v>
      </c>
      <c r="F72" s="1664">
        <f t="shared" si="9"/>
        <v>62838</v>
      </c>
      <c r="G72" s="1664">
        <f t="shared" si="9"/>
        <v>87944</v>
      </c>
      <c r="H72" s="1664">
        <f t="shared" si="9"/>
        <v>0</v>
      </c>
      <c r="I72" s="1664">
        <f t="shared" si="9"/>
        <v>0</v>
      </c>
      <c r="J72" s="1664">
        <f t="shared" si="9"/>
        <v>0</v>
      </c>
      <c r="K72" s="1664">
        <f t="shared" si="9"/>
        <v>586279</v>
      </c>
      <c r="L72" s="1664">
        <f>SUM(L67:L71)</f>
        <v>669546</v>
      </c>
      <c r="M72" s="501"/>
      <c r="N72" s="501"/>
    </row>
    <row r="73" spans="1:14" s="321" customFormat="1" ht="14.25" thickTop="1" thickBot="1" x14ac:dyDescent="0.25">
      <c r="A73" s="1273" t="s">
        <v>972</v>
      </c>
      <c r="B73" s="515" t="s">
        <v>570</v>
      </c>
      <c r="C73" s="1639">
        <v>0</v>
      </c>
      <c r="D73" s="1639">
        <v>0</v>
      </c>
      <c r="E73" s="1639">
        <v>13773</v>
      </c>
      <c r="F73" s="1639">
        <v>0</v>
      </c>
      <c r="G73" s="1639">
        <v>0</v>
      </c>
      <c r="H73" s="1639">
        <v>0</v>
      </c>
      <c r="I73" s="1617">
        <v>0</v>
      </c>
      <c r="J73" s="1617">
        <v>0</v>
      </c>
      <c r="K73" s="1664">
        <f>SUM(C73:J73)</f>
        <v>13773</v>
      </c>
      <c r="L73" s="1641">
        <v>0</v>
      </c>
      <c r="M73" s="501"/>
      <c r="N73" s="501"/>
    </row>
    <row r="74" spans="1:14" ht="12.75" customHeight="1" thickTop="1" thickBot="1" x14ac:dyDescent="0.25">
      <c r="A74" s="1373" t="s">
        <v>805</v>
      </c>
      <c r="B74" s="1377">
        <v>2000</v>
      </c>
      <c r="C74" s="1671">
        <f>SUM(C42,C47,C53,C57,C65,C72,C73)</f>
        <v>2352176</v>
      </c>
      <c r="D74" s="1671">
        <f t="shared" ref="D74:K74" si="10">SUM(D42,D47,D53,D57,D65,D72,D73)</f>
        <v>152526</v>
      </c>
      <c r="E74" s="1671">
        <f t="shared" si="10"/>
        <v>1246870</v>
      </c>
      <c r="F74" s="1671">
        <f t="shared" si="10"/>
        <v>273644</v>
      </c>
      <c r="G74" s="1671">
        <f t="shared" si="10"/>
        <v>92782</v>
      </c>
      <c r="H74" s="1671">
        <f t="shared" si="10"/>
        <v>48500</v>
      </c>
      <c r="I74" s="1671">
        <f t="shared" si="10"/>
        <v>0</v>
      </c>
      <c r="J74" s="1671">
        <f t="shared" si="10"/>
        <v>0</v>
      </c>
      <c r="K74" s="1671">
        <f t="shared" si="10"/>
        <v>4166498</v>
      </c>
      <c r="L74" s="1671">
        <f>SUM(L42,L47,L53,L57,L65,L72,L73)</f>
        <v>3508546</v>
      </c>
    </row>
    <row r="75" spans="1:14" s="254" customFormat="1" ht="15.75" customHeight="1" thickTop="1" thickBot="1" x14ac:dyDescent="0.25">
      <c r="A75" s="1341" t="s">
        <v>47</v>
      </c>
      <c r="B75" s="1342" t="s">
        <v>571</v>
      </c>
      <c r="C75" s="1639">
        <v>0</v>
      </c>
      <c r="D75" s="1639">
        <v>0</v>
      </c>
      <c r="E75" s="1639">
        <v>0</v>
      </c>
      <c r="F75" s="1639">
        <v>0</v>
      </c>
      <c r="G75" s="1639">
        <v>0</v>
      </c>
      <c r="H75" s="1639">
        <v>0</v>
      </c>
      <c r="I75" s="1617">
        <v>0</v>
      </c>
      <c r="J75" s="1617">
        <v>0</v>
      </c>
      <c r="K75" s="1664">
        <f>SUM(C75:J75)</f>
        <v>0</v>
      </c>
      <c r="L75" s="1641">
        <v>0</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0</v>
      </c>
      <c r="I78" s="1573"/>
      <c r="J78" s="1573"/>
      <c r="K78" s="1662">
        <f t="shared" ref="K78:K83" si="11">SUM(C78:J78)</f>
        <v>0</v>
      </c>
      <c r="L78" s="1577">
        <v>0</v>
      </c>
    </row>
    <row r="79" spans="1:14" x14ac:dyDescent="0.2">
      <c r="A79" s="1267" t="s">
        <v>301</v>
      </c>
      <c r="B79" s="503">
        <v>4120</v>
      </c>
      <c r="C79" s="1663"/>
      <c r="D79" s="1663"/>
      <c r="E79" s="1565">
        <v>1380</v>
      </c>
      <c r="F79" s="1663"/>
      <c r="G79" s="1663"/>
      <c r="H79" s="1565">
        <v>331344</v>
      </c>
      <c r="I79" s="1573"/>
      <c r="J79" s="1573"/>
      <c r="K79" s="1662">
        <f t="shared" si="11"/>
        <v>332724</v>
      </c>
      <c r="L79" s="1565">
        <v>300000</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691</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0</v>
      </c>
      <c r="F83" s="1663"/>
      <c r="G83" s="1663"/>
      <c r="H83" s="1565">
        <v>0</v>
      </c>
      <c r="I83" s="1573"/>
      <c r="J83" s="1573"/>
      <c r="K83" s="1662">
        <f t="shared" si="11"/>
        <v>0</v>
      </c>
      <c r="L83" s="1565">
        <v>0</v>
      </c>
    </row>
    <row r="84" spans="1:12" ht="13.5" thickBot="1" x14ac:dyDescent="0.25">
      <c r="A84" s="1373" t="s">
        <v>1465</v>
      </c>
      <c r="B84" s="1378">
        <v>4100</v>
      </c>
      <c r="C84" s="1663"/>
      <c r="D84" s="1663"/>
      <c r="E84" s="1664">
        <f>SUM(E78:E83)</f>
        <v>1380</v>
      </c>
      <c r="F84" s="1663"/>
      <c r="G84" s="1663"/>
      <c r="H84" s="1664">
        <f>SUM(H78:H83)</f>
        <v>331344</v>
      </c>
      <c r="I84" s="1573"/>
      <c r="J84" s="1573"/>
      <c r="K84" s="1664">
        <f>SUM(K78:K83)</f>
        <v>332724</v>
      </c>
      <c r="L84" s="1664">
        <f>SUM(L78:L83)</f>
        <v>300000</v>
      </c>
    </row>
    <row r="85" spans="1:12" ht="12.75" customHeight="1" thickTop="1" thickBot="1" x14ac:dyDescent="0.25">
      <c r="A85" s="1274" t="s">
        <v>253</v>
      </c>
      <c r="B85" s="517">
        <v>4210</v>
      </c>
      <c r="C85" s="1663"/>
      <c r="D85" s="1663"/>
      <c r="E85" s="1673"/>
      <c r="F85" s="1663"/>
      <c r="G85" s="1663"/>
      <c r="H85" s="1620">
        <v>0</v>
      </c>
      <c r="I85" s="1573"/>
      <c r="J85" s="1573"/>
      <c r="K85" s="1671">
        <f>H85</f>
        <v>0</v>
      </c>
      <c r="L85" s="1616">
        <v>0</v>
      </c>
    </row>
    <row r="86" spans="1:12" ht="12.75" customHeight="1" thickTop="1" thickBot="1" x14ac:dyDescent="0.25">
      <c r="A86" s="1275" t="s">
        <v>693</v>
      </c>
      <c r="B86" s="518">
        <v>4220</v>
      </c>
      <c r="C86" s="1663"/>
      <c r="D86" s="1663"/>
      <c r="E86" s="1674"/>
      <c r="F86" s="1663"/>
      <c r="G86" s="1663"/>
      <c r="H86" s="1566">
        <v>0</v>
      </c>
      <c r="I86" s="1573"/>
      <c r="J86" s="1573"/>
      <c r="K86" s="1671">
        <f t="shared" ref="K86:K98" si="12">H86</f>
        <v>0</v>
      </c>
      <c r="L86" s="1616">
        <v>0</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0</v>
      </c>
      <c r="I88" s="1573"/>
      <c r="J88" s="1573"/>
      <c r="K88" s="1671">
        <f t="shared" si="12"/>
        <v>0</v>
      </c>
      <c r="L88" s="1616">
        <v>0</v>
      </c>
    </row>
    <row r="89" spans="1:12" ht="12.75" customHeight="1" thickTop="1" thickBot="1" x14ac:dyDescent="0.25">
      <c r="A89" s="1276" t="s">
        <v>695</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681</v>
      </c>
      <c r="B91" s="519">
        <v>4290</v>
      </c>
      <c r="C91" s="1663"/>
      <c r="D91" s="1663"/>
      <c r="E91" s="1674"/>
      <c r="F91" s="1663"/>
      <c r="G91" s="1663"/>
      <c r="H91" s="1566">
        <v>0</v>
      </c>
      <c r="I91" s="1573"/>
      <c r="J91" s="1573"/>
      <c r="K91" s="1671">
        <f t="shared" si="12"/>
        <v>0</v>
      </c>
      <c r="L91" s="1616">
        <v>0</v>
      </c>
    </row>
    <row r="92" spans="1:12" ht="14.25" thickTop="1" thickBot="1" x14ac:dyDescent="0.25">
      <c r="A92" s="1379" t="s">
        <v>1540</v>
      </c>
      <c r="B92" s="1378">
        <v>4200</v>
      </c>
      <c r="C92" s="1663"/>
      <c r="D92" s="1663"/>
      <c r="E92" s="1674"/>
      <c r="F92" s="1663"/>
      <c r="G92" s="1663"/>
      <c r="H92" s="1664">
        <f>SUM(H85:H91)</f>
        <v>0</v>
      </c>
      <c r="I92" s="1573"/>
      <c r="J92" s="1573"/>
      <c r="K92" s="1671">
        <f t="shared" si="12"/>
        <v>0</v>
      </c>
      <c r="L92" s="1664">
        <f>SUM(L85:L91)</f>
        <v>0</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1467</v>
      </c>
      <c r="B102" s="1378">
        <v>4000</v>
      </c>
      <c r="C102" s="1663"/>
      <c r="D102" s="1663"/>
      <c r="E102" s="1671">
        <f>SUM(E84,E92,E100,E101)</f>
        <v>1380</v>
      </c>
      <c r="F102" s="1663"/>
      <c r="G102" s="1663"/>
      <c r="H102" s="1671">
        <f>SUM(H84,H92,H100,H101)</f>
        <v>331344</v>
      </c>
      <c r="I102" s="1573"/>
      <c r="J102" s="1573"/>
      <c r="K102" s="1671">
        <f>SUM(K84,K92,K100,K101)</f>
        <v>332724</v>
      </c>
      <c r="L102" s="1671">
        <f>SUM(L84,L92,L100,L101)</f>
        <v>300000</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0</v>
      </c>
      <c r="M113" s="502"/>
      <c r="N113" s="502"/>
    </row>
    <row r="114" spans="1:14" ht="12.75" customHeight="1" thickTop="1" thickBot="1" x14ac:dyDescent="0.25">
      <c r="A114" s="1373" t="s">
        <v>48</v>
      </c>
      <c r="B114" s="1381"/>
      <c r="C114" s="1664">
        <f>SUM(C33,C74,C75,C102,C112,C113)</f>
        <v>9666068</v>
      </c>
      <c r="D114" s="1664">
        <f t="shared" ref="D114:K114" si="13">SUM(D33,D74,D75,D102,D112,D113)</f>
        <v>1711882</v>
      </c>
      <c r="E114" s="1664">
        <f t="shared" si="13"/>
        <v>1373230</v>
      </c>
      <c r="F114" s="1664">
        <f t="shared" si="13"/>
        <v>398730</v>
      </c>
      <c r="G114" s="1664">
        <f t="shared" si="13"/>
        <v>120975</v>
      </c>
      <c r="H114" s="1664">
        <f>SUM(H33,H74,H75,H102,H112,H113)</f>
        <v>381233</v>
      </c>
      <c r="I114" s="1664">
        <f t="shared" si="13"/>
        <v>7138</v>
      </c>
      <c r="J114" s="1664">
        <f t="shared" si="13"/>
        <v>0</v>
      </c>
      <c r="K114" s="1664">
        <f t="shared" si="13"/>
        <v>13659256</v>
      </c>
      <c r="L114" s="1664">
        <f>SUM(L33,L74,L75,L102,L112,L113)</f>
        <v>12218096</v>
      </c>
    </row>
    <row r="115" spans="1:14" ht="13.5" thickTop="1" x14ac:dyDescent="0.2">
      <c r="A115" s="2292" t="s">
        <v>988</v>
      </c>
      <c r="B115" s="2293"/>
      <c r="C115" s="1665"/>
      <c r="D115" s="1665"/>
      <c r="E115" s="1665"/>
      <c r="F115" s="1665"/>
      <c r="G115" s="1665"/>
      <c r="H115" s="1665"/>
      <c r="I115" s="1665"/>
      <c r="J115" s="1665"/>
      <c r="K115" s="1679">
        <f>'Revenues 9-14'!C268-'Expenditures 15-22'!K114</f>
        <v>-1920853</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70" t="s">
        <v>293</v>
      </c>
      <c r="B117" s="2271"/>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1960</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0</v>
      </c>
      <c r="F123" s="1565">
        <v>0</v>
      </c>
      <c r="G123" s="1565">
        <v>0</v>
      </c>
      <c r="H123" s="1565">
        <v>0</v>
      </c>
      <c r="I123" s="1566">
        <v>0</v>
      </c>
      <c r="J123" s="1566">
        <v>0</v>
      </c>
      <c r="K123" s="1664">
        <f>SUM(C123:J123)</f>
        <v>0</v>
      </c>
      <c r="L123" s="1565">
        <v>0</v>
      </c>
    </row>
    <row r="124" spans="1:14" ht="14.25" thickTop="1" thickBot="1" x14ac:dyDescent="0.25">
      <c r="A124" s="1267" t="s">
        <v>195</v>
      </c>
      <c r="B124" s="503">
        <v>2540</v>
      </c>
      <c r="C124" s="1565">
        <v>317250</v>
      </c>
      <c r="D124" s="1565">
        <v>61317</v>
      </c>
      <c r="E124" s="1565">
        <v>161556</v>
      </c>
      <c r="F124" s="1565">
        <v>814059</v>
      </c>
      <c r="G124" s="1565">
        <v>17846</v>
      </c>
      <c r="H124" s="1565">
        <v>0</v>
      </c>
      <c r="I124" s="1566">
        <v>0</v>
      </c>
      <c r="J124" s="1566">
        <v>0</v>
      </c>
      <c r="K124" s="1664">
        <f>SUM(C124:J124)</f>
        <v>1372028</v>
      </c>
      <c r="L124" s="1565">
        <v>1828500</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317250</v>
      </c>
      <c r="D127" s="1664">
        <f t="shared" ref="D127:L127" si="14">SUM(D122:D126)</f>
        <v>61317</v>
      </c>
      <c r="E127" s="1664">
        <f t="shared" si="14"/>
        <v>161556</v>
      </c>
      <c r="F127" s="1664">
        <f t="shared" si="14"/>
        <v>814059</v>
      </c>
      <c r="G127" s="1664">
        <f t="shared" si="14"/>
        <v>17846</v>
      </c>
      <c r="H127" s="1664">
        <f t="shared" si="14"/>
        <v>0</v>
      </c>
      <c r="I127" s="1664">
        <f t="shared" si="14"/>
        <v>0</v>
      </c>
      <c r="J127" s="1664">
        <f t="shared" si="14"/>
        <v>0</v>
      </c>
      <c r="K127" s="1664">
        <f t="shared" si="14"/>
        <v>1372028</v>
      </c>
      <c r="L127" s="1664">
        <f t="shared" si="14"/>
        <v>1828500</v>
      </c>
    </row>
    <row r="128" spans="1:14" ht="12.75" customHeight="1" thickTop="1" x14ac:dyDescent="0.2">
      <c r="A128" s="1274" t="s">
        <v>972</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805</v>
      </c>
      <c r="B129" s="1383" t="s">
        <v>565</v>
      </c>
      <c r="C129" s="1671">
        <f>SUM(C120,C127,C128)</f>
        <v>317250</v>
      </c>
      <c r="D129" s="1671">
        <f t="shared" ref="D129:L129" si="15">SUM(D120,D127,D128)</f>
        <v>61317</v>
      </c>
      <c r="E129" s="1671">
        <f t="shared" si="15"/>
        <v>161556</v>
      </c>
      <c r="F129" s="1671">
        <f t="shared" si="15"/>
        <v>814059</v>
      </c>
      <c r="G129" s="1671">
        <f t="shared" si="15"/>
        <v>17846</v>
      </c>
      <c r="H129" s="1671">
        <f t="shared" si="15"/>
        <v>0</v>
      </c>
      <c r="I129" s="1671">
        <f t="shared" si="15"/>
        <v>0</v>
      </c>
      <c r="J129" s="1671">
        <f t="shared" si="15"/>
        <v>0</v>
      </c>
      <c r="K129" s="1671">
        <f t="shared" si="15"/>
        <v>1372028</v>
      </c>
      <c r="L129" s="1671">
        <f t="shared" si="15"/>
        <v>1828500</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1813</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0</v>
      </c>
      <c r="F134" s="1663"/>
      <c r="G134" s="1663"/>
      <c r="H134" s="1577">
        <v>0</v>
      </c>
      <c r="I134" s="1573"/>
      <c r="J134" s="1663"/>
      <c r="K134" s="1668">
        <f>SUM(E134,H134)</f>
        <v>0</v>
      </c>
      <c r="L134" s="1577">
        <v>0</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0</v>
      </c>
      <c r="F137" s="1663"/>
      <c r="G137" s="1663"/>
      <c r="H137" s="1664">
        <f>SUM(H133:H136)</f>
        <v>0</v>
      </c>
      <c r="I137" s="1573"/>
      <c r="J137" s="1663"/>
      <c r="K137" s="1664">
        <f>SUM(K133:K136)</f>
        <v>0</v>
      </c>
      <c r="L137" s="1664">
        <f>SUM(L133:L136)</f>
        <v>0</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0</v>
      </c>
      <c r="F139" s="1663"/>
      <c r="G139" s="1663"/>
      <c r="H139" s="1677">
        <f>SUM(H137:H138)</f>
        <v>0</v>
      </c>
      <c r="I139" s="1573"/>
      <c r="J139" s="1663"/>
      <c r="K139" s="1668">
        <f>SUM(K137,K138)</f>
        <v>0</v>
      </c>
      <c r="L139" s="1677">
        <f>SUM(L137,L138)</f>
        <v>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0</v>
      </c>
    </row>
    <row r="151" spans="1:14" ht="12.75" customHeight="1" thickTop="1" thickBot="1" x14ac:dyDescent="0.25">
      <c r="A151" s="2282" t="s">
        <v>616</v>
      </c>
      <c r="B151" s="2264"/>
      <c r="C151" s="1664">
        <f>SUM(C129,C130,C139,C149,C150)</f>
        <v>317250</v>
      </c>
      <c r="D151" s="1664">
        <f t="shared" ref="D151:K151" si="16">SUM(D129,D130,D139,D149,D150)</f>
        <v>61317</v>
      </c>
      <c r="E151" s="1664">
        <f t="shared" si="16"/>
        <v>161556</v>
      </c>
      <c r="F151" s="1664">
        <f t="shared" si="16"/>
        <v>814059</v>
      </c>
      <c r="G151" s="1664">
        <f t="shared" si="16"/>
        <v>17846</v>
      </c>
      <c r="H151" s="1664">
        <f t="shared" si="16"/>
        <v>0</v>
      </c>
      <c r="I151" s="1664">
        <f t="shared" si="16"/>
        <v>0</v>
      </c>
      <c r="J151" s="1664">
        <f t="shared" si="16"/>
        <v>0</v>
      </c>
      <c r="K151" s="1664">
        <f t="shared" si="16"/>
        <v>1372028</v>
      </c>
      <c r="L151" s="1664">
        <f>SUM(L129,L130,L139,L149,L150)</f>
        <v>1828500</v>
      </c>
    </row>
    <row r="152" spans="1:14" ht="12.75" customHeight="1" thickTop="1" x14ac:dyDescent="0.2">
      <c r="A152" s="2285" t="s">
        <v>1167</v>
      </c>
      <c r="B152" s="2286"/>
      <c r="C152" s="1665"/>
      <c r="D152" s="1665"/>
      <c r="E152" s="1665"/>
      <c r="F152" s="1665"/>
      <c r="G152" s="1665"/>
      <c r="H152" s="1665"/>
      <c r="I152" s="1665"/>
      <c r="J152" s="1663"/>
      <c r="K152" s="1679">
        <f>'Revenues 9-14'!D268-'Expenditures 15-22'!K151</f>
        <v>326066</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70" t="s">
        <v>617</v>
      </c>
      <c r="B154" s="2272"/>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1814</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1813</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1815</v>
      </c>
      <c r="C158" s="1663"/>
      <c r="D158" s="1663"/>
      <c r="E158" s="1663"/>
      <c r="F158" s="1663"/>
      <c r="G158" s="1663"/>
      <c r="H158" s="1566">
        <v>0</v>
      </c>
      <c r="I158" s="1663"/>
      <c r="J158" s="1663"/>
      <c r="K158" s="1662">
        <f>H158</f>
        <v>0</v>
      </c>
      <c r="L158" s="1566">
        <v>0</v>
      </c>
      <c r="M158" s="505"/>
      <c r="N158" s="505"/>
    </row>
    <row r="159" spans="1:14" s="506" customFormat="1" ht="12" x14ac:dyDescent="0.2">
      <c r="A159" s="1455" t="s">
        <v>1816</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1817</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0</v>
      </c>
      <c r="I169" s="1663"/>
      <c r="J169" s="1663"/>
      <c r="K169" s="1662">
        <f>SUM(C169:H169)</f>
        <v>0</v>
      </c>
      <c r="L169" s="1685">
        <v>0</v>
      </c>
    </row>
    <row r="170" spans="1:14" ht="33.75" customHeight="1" x14ac:dyDescent="0.2">
      <c r="A170" s="543" t="s">
        <v>1648</v>
      </c>
      <c r="B170" s="545" t="s">
        <v>31</v>
      </c>
      <c r="C170" s="1663"/>
      <c r="D170" s="1663"/>
      <c r="E170" s="1663"/>
      <c r="F170" s="1663"/>
      <c r="G170" s="1663"/>
      <c r="H170" s="1636">
        <v>13898</v>
      </c>
      <c r="I170" s="1663"/>
      <c r="J170" s="1663"/>
      <c r="K170" s="1662">
        <f>SUM(C170:J170)</f>
        <v>13898</v>
      </c>
      <c r="L170" s="1636">
        <v>0</v>
      </c>
    </row>
    <row r="171" spans="1:14" ht="15.75" customHeight="1" x14ac:dyDescent="0.2">
      <c r="A171" s="507" t="s">
        <v>760</v>
      </c>
      <c r="B171" s="546" t="s">
        <v>84</v>
      </c>
      <c r="C171" s="1663"/>
      <c r="D171" s="1663"/>
      <c r="E171" s="1565">
        <v>0</v>
      </c>
      <c r="F171" s="1663"/>
      <c r="G171" s="1663"/>
      <c r="H171" s="1636">
        <v>0</v>
      </c>
      <c r="I171" s="1573"/>
      <c r="J171" s="1663"/>
      <c r="K171" s="1662">
        <f>SUM(C171:J171)</f>
        <v>0</v>
      </c>
      <c r="L171" s="1636">
        <v>135000</v>
      </c>
    </row>
    <row r="172" spans="1:14" ht="12.75" customHeight="1" thickBot="1" x14ac:dyDescent="0.25">
      <c r="A172" s="1373" t="s">
        <v>633</v>
      </c>
      <c r="B172" s="1374" t="s">
        <v>489</v>
      </c>
      <c r="C172" s="1663"/>
      <c r="D172" s="1663"/>
      <c r="E172" s="1671">
        <f>SUM(E168,E169,E170,E171)</f>
        <v>0</v>
      </c>
      <c r="F172" s="1663"/>
      <c r="G172" s="1663"/>
      <c r="H172" s="1671">
        <f>SUM(H168,H169,H170,H171)</f>
        <v>13898</v>
      </c>
      <c r="I172" s="1674"/>
      <c r="J172" s="1663"/>
      <c r="K172" s="1671">
        <f>SUM(K168,K169,K170,K171)</f>
        <v>13898</v>
      </c>
      <c r="L172" s="1671">
        <f>SUM(L168,L169,L170,L171)</f>
        <v>135000</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0</v>
      </c>
      <c r="F174" s="1663"/>
      <c r="G174" s="1663"/>
      <c r="H174" s="1671">
        <f>SUM(H160,H172,H173)</f>
        <v>13898</v>
      </c>
      <c r="I174" s="1674"/>
      <c r="J174" s="1663"/>
      <c r="K174" s="1671">
        <f>SUM(K160,K172,K173)</f>
        <v>13898</v>
      </c>
      <c r="L174" s="1671">
        <f>SUM(L160,L172,L173)</f>
        <v>135000</v>
      </c>
    </row>
    <row r="175" spans="1:14" ht="13.5" thickTop="1" x14ac:dyDescent="0.2">
      <c r="A175" s="2292" t="s">
        <v>988</v>
      </c>
      <c r="B175" s="2293"/>
      <c r="C175" s="1663"/>
      <c r="D175" s="1663"/>
      <c r="E175" s="1663"/>
      <c r="F175" s="1663"/>
      <c r="G175" s="1663"/>
      <c r="H175" s="1665"/>
      <c r="I175" s="1663"/>
      <c r="J175" s="1663"/>
      <c r="K175" s="1679">
        <f>'Revenues 9-14'!E268-'Expenditures 15-22'!K174</f>
        <v>-13898</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1960</v>
      </c>
      <c r="B180" s="503" t="s">
        <v>710</v>
      </c>
      <c r="C180" s="1565">
        <v>0</v>
      </c>
      <c r="D180" s="1565">
        <v>0</v>
      </c>
      <c r="E180" s="1565">
        <v>0</v>
      </c>
      <c r="F180" s="1565">
        <v>0</v>
      </c>
      <c r="G180" s="1565">
        <v>0</v>
      </c>
      <c r="H180" s="1565">
        <v>0</v>
      </c>
      <c r="I180" s="1566">
        <v>0</v>
      </c>
      <c r="J180" s="1566">
        <v>0</v>
      </c>
      <c r="K180" s="1662">
        <f>SUM(C180:J180)</f>
        <v>0</v>
      </c>
      <c r="L180" s="1565">
        <v>675000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0</v>
      </c>
      <c r="D182" s="1565">
        <v>0</v>
      </c>
      <c r="E182" s="1565">
        <v>470129</v>
      </c>
      <c r="F182" s="1565">
        <v>0</v>
      </c>
      <c r="G182" s="1565">
        <v>0</v>
      </c>
      <c r="H182" s="1565">
        <v>0</v>
      </c>
      <c r="I182" s="1566">
        <v>0</v>
      </c>
      <c r="J182" s="1566">
        <v>0</v>
      </c>
      <c r="K182" s="1662">
        <f>SUM(C182:J182)</f>
        <v>470129</v>
      </c>
      <c r="L182" s="1565">
        <v>0</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805</v>
      </c>
      <c r="B184" s="1374" t="s">
        <v>565</v>
      </c>
      <c r="C184" s="1671">
        <f>SUM(C180,C182,C183)</f>
        <v>0</v>
      </c>
      <c r="D184" s="1671">
        <f t="shared" ref="D184:J184" si="17">SUM(D180,D182,D183)</f>
        <v>0</v>
      </c>
      <c r="E184" s="1671">
        <f t="shared" si="17"/>
        <v>470129</v>
      </c>
      <c r="F184" s="1671">
        <f t="shared" si="17"/>
        <v>0</v>
      </c>
      <c r="G184" s="1671">
        <f t="shared" si="17"/>
        <v>0</v>
      </c>
      <c r="H184" s="1671">
        <f t="shared" si="17"/>
        <v>0</v>
      </c>
      <c r="I184" s="1671">
        <f t="shared" si="17"/>
        <v>0</v>
      </c>
      <c r="J184" s="1671">
        <f t="shared" si="17"/>
        <v>0</v>
      </c>
      <c r="K184" s="1671">
        <f>SUM(K180,K182,K183)</f>
        <v>470129</v>
      </c>
      <c r="L184" s="1671">
        <f>SUM(L180, L182:L183)</f>
        <v>675000</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1159</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1649</v>
      </c>
      <c r="B206" s="546" t="s">
        <v>31</v>
      </c>
      <c r="C206" s="1663"/>
      <c r="D206" s="1663"/>
      <c r="E206" s="1663"/>
      <c r="F206" s="1663"/>
      <c r="G206" s="1663"/>
      <c r="H206" s="1565">
        <v>0</v>
      </c>
      <c r="I206" s="1663"/>
      <c r="J206" s="1663"/>
      <c r="K206" s="1662">
        <f>SUM(H206)</f>
        <v>0</v>
      </c>
      <c r="L206" s="1565">
        <v>0</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866</v>
      </c>
      <c r="B209" s="1344" t="s">
        <v>855</v>
      </c>
      <c r="C209" s="1666"/>
      <c r="D209" s="1666"/>
      <c r="E209" s="1666"/>
      <c r="F209" s="1666"/>
      <c r="G209" s="1666"/>
      <c r="H209" s="1666"/>
      <c r="I209" s="1663"/>
      <c r="J209" s="1663"/>
      <c r="K209" s="1666"/>
      <c r="L209" s="1641">
        <v>0</v>
      </c>
    </row>
    <row r="210" spans="1:14" ht="12.75" customHeight="1" thickTop="1" thickBot="1" x14ac:dyDescent="0.25">
      <c r="A210" s="1387" t="s">
        <v>275</v>
      </c>
      <c r="B210" s="1388"/>
      <c r="C210" s="1664">
        <f>SUM(C184,C185)</f>
        <v>0</v>
      </c>
      <c r="D210" s="1664">
        <f>SUM(D184,D185)</f>
        <v>0</v>
      </c>
      <c r="E210" s="1664">
        <f>SUM(E184,E185,E196)</f>
        <v>470129</v>
      </c>
      <c r="F210" s="1664">
        <f>SUM(F184,F185)</f>
        <v>0</v>
      </c>
      <c r="G210" s="1664">
        <f>SUM(G184,G185)</f>
        <v>0</v>
      </c>
      <c r="H210" s="1664">
        <f>SUM(H184,H185,H196,H208,H209)</f>
        <v>0</v>
      </c>
      <c r="I210" s="1664">
        <f>SUM(I184,I185)</f>
        <v>0</v>
      </c>
      <c r="J210" s="1664">
        <f>SUM(J184,J185)</f>
        <v>0</v>
      </c>
      <c r="K210" s="1662">
        <f>SUM(K184,K185,K196,K208,K209)</f>
        <v>470129</v>
      </c>
      <c r="L210" s="1664">
        <f>SUM(L184,L185,L196,L208,L209)</f>
        <v>675000</v>
      </c>
    </row>
    <row r="211" spans="1:14" ht="13.5" thickTop="1" x14ac:dyDescent="0.2">
      <c r="A211" s="2292" t="s">
        <v>988</v>
      </c>
      <c r="B211" s="2293"/>
      <c r="C211" s="1665"/>
      <c r="D211" s="1665"/>
      <c r="E211" s="1665"/>
      <c r="F211" s="1665"/>
      <c r="G211" s="1665"/>
      <c r="H211" s="1665"/>
      <c r="I211" s="1663"/>
      <c r="J211" s="1663"/>
      <c r="K211" s="1679">
        <f>'Revenues 9-14'!F268-'Expenditures 15-22'!K210</f>
        <v>157894</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287" t="s">
        <v>958</v>
      </c>
      <c r="B213" s="2288"/>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106014</v>
      </c>
      <c r="E215" s="1663"/>
      <c r="F215" s="1663"/>
      <c r="G215" s="1663"/>
      <c r="H215" s="1663"/>
      <c r="I215" s="1663"/>
      <c r="J215" s="1663"/>
      <c r="K215" s="1662">
        <f>D215</f>
        <v>106014</v>
      </c>
      <c r="L215" s="1565">
        <v>95000</v>
      </c>
    </row>
    <row r="216" spans="1:14" x14ac:dyDescent="0.2">
      <c r="A216" s="1267" t="s">
        <v>162</v>
      </c>
      <c r="B216" s="503" t="s">
        <v>960</v>
      </c>
      <c r="C216" s="1663"/>
      <c r="D216" s="1566">
        <v>0</v>
      </c>
      <c r="E216" s="1663"/>
      <c r="F216" s="1663"/>
      <c r="G216" s="1663"/>
      <c r="H216" s="1663"/>
      <c r="I216" s="1663"/>
      <c r="J216" s="1663"/>
      <c r="K216" s="1662">
        <f t="shared" ref="K216:K228" si="19">D216</f>
        <v>0</v>
      </c>
      <c r="L216" s="1565">
        <v>0</v>
      </c>
    </row>
    <row r="217" spans="1:14" x14ac:dyDescent="0.2">
      <c r="A217" s="1267" t="s">
        <v>163</v>
      </c>
      <c r="B217" s="503">
        <v>1200</v>
      </c>
      <c r="C217" s="1663"/>
      <c r="D217" s="1565">
        <v>94059</v>
      </c>
      <c r="E217" s="1663"/>
      <c r="F217" s="1663"/>
      <c r="G217" s="1663"/>
      <c r="H217" s="1663"/>
      <c r="I217" s="1663"/>
      <c r="J217" s="1663"/>
      <c r="K217" s="1662">
        <f t="shared" si="19"/>
        <v>94059</v>
      </c>
      <c r="L217" s="1565">
        <v>85000</v>
      </c>
    </row>
    <row r="218" spans="1:14" x14ac:dyDescent="0.2">
      <c r="A218" s="1267" t="s">
        <v>276</v>
      </c>
      <c r="B218" s="503" t="s">
        <v>961</v>
      </c>
      <c r="C218" s="1663"/>
      <c r="D218" s="1566">
        <v>0</v>
      </c>
      <c r="E218" s="1663"/>
      <c r="F218" s="1663"/>
      <c r="G218" s="1663"/>
      <c r="H218" s="1663"/>
      <c r="I218" s="1663"/>
      <c r="J218" s="1663"/>
      <c r="K218" s="1662">
        <f t="shared" si="19"/>
        <v>0</v>
      </c>
      <c r="L218" s="1565">
        <v>0</v>
      </c>
    </row>
    <row r="219" spans="1:14" x14ac:dyDescent="0.2">
      <c r="A219" s="1267" t="s">
        <v>277</v>
      </c>
      <c r="B219" s="503">
        <v>1250</v>
      </c>
      <c r="C219" s="1663"/>
      <c r="D219" s="1565">
        <v>0</v>
      </c>
      <c r="E219" s="1663"/>
      <c r="F219" s="1663"/>
      <c r="G219" s="1663"/>
      <c r="H219" s="1663"/>
      <c r="I219" s="1663"/>
      <c r="J219" s="1663"/>
      <c r="K219" s="1662">
        <f t="shared" si="19"/>
        <v>0</v>
      </c>
      <c r="L219" s="1565">
        <v>0</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0</v>
      </c>
      <c r="E222" s="1663"/>
      <c r="F222" s="1663"/>
      <c r="G222" s="1663"/>
      <c r="H222" s="1663"/>
      <c r="I222" s="1663"/>
      <c r="J222" s="1663"/>
      <c r="K222" s="1662">
        <f t="shared" si="19"/>
        <v>0</v>
      </c>
      <c r="L222" s="1565">
        <v>0</v>
      </c>
    </row>
    <row r="223" spans="1:14" x14ac:dyDescent="0.2">
      <c r="A223" s="1267" t="s">
        <v>956</v>
      </c>
      <c r="B223" s="503">
        <v>1500</v>
      </c>
      <c r="C223" s="1663"/>
      <c r="D223" s="1565">
        <v>1863</v>
      </c>
      <c r="E223" s="1663"/>
      <c r="F223" s="1663"/>
      <c r="G223" s="1663"/>
      <c r="H223" s="1663"/>
      <c r="I223" s="1663"/>
      <c r="J223" s="1663"/>
      <c r="K223" s="1662">
        <f t="shared" si="19"/>
        <v>1863</v>
      </c>
      <c r="L223" s="1565">
        <v>2000</v>
      </c>
    </row>
    <row r="224" spans="1:14" x14ac:dyDescent="0.2">
      <c r="A224" s="1267" t="s">
        <v>957</v>
      </c>
      <c r="B224" s="503">
        <v>1600</v>
      </c>
      <c r="C224" s="1663"/>
      <c r="D224" s="1565">
        <v>2687</v>
      </c>
      <c r="E224" s="1663"/>
      <c r="F224" s="1663"/>
      <c r="G224" s="1663"/>
      <c r="H224" s="1663"/>
      <c r="I224" s="1663"/>
      <c r="J224" s="1663"/>
      <c r="K224" s="1662">
        <f t="shared" si="19"/>
        <v>2687</v>
      </c>
      <c r="L224" s="1565">
        <v>2000</v>
      </c>
    </row>
    <row r="225" spans="1:12" x14ac:dyDescent="0.2">
      <c r="A225" s="1267" t="s">
        <v>979</v>
      </c>
      <c r="B225" s="503">
        <v>1650</v>
      </c>
      <c r="C225" s="1663"/>
      <c r="D225" s="1565">
        <v>937</v>
      </c>
      <c r="E225" s="1663"/>
      <c r="F225" s="1663"/>
      <c r="G225" s="1663"/>
      <c r="H225" s="1663"/>
      <c r="I225" s="1663"/>
      <c r="J225" s="1663"/>
      <c r="K225" s="1662">
        <f t="shared" si="19"/>
        <v>937</v>
      </c>
      <c r="L225" s="1565">
        <v>850</v>
      </c>
    </row>
    <row r="226" spans="1:12" x14ac:dyDescent="0.2">
      <c r="A226" s="1267" t="s">
        <v>718</v>
      </c>
      <c r="B226" s="503" t="s">
        <v>161</v>
      </c>
      <c r="C226" s="1663"/>
      <c r="D226" s="1566">
        <v>0</v>
      </c>
      <c r="E226" s="1663"/>
      <c r="F226" s="1663"/>
      <c r="G226" s="1663"/>
      <c r="H226" s="1663"/>
      <c r="I226" s="1663"/>
      <c r="J226" s="1663"/>
      <c r="K226" s="1662">
        <f t="shared" si="19"/>
        <v>0</v>
      </c>
      <c r="L226" s="1565">
        <v>0</v>
      </c>
    </row>
    <row r="227" spans="1:12" x14ac:dyDescent="0.2">
      <c r="A227" s="1267" t="s">
        <v>1077</v>
      </c>
      <c r="B227" s="503">
        <v>1800</v>
      </c>
      <c r="C227" s="1663"/>
      <c r="D227" s="1565">
        <v>0</v>
      </c>
      <c r="E227" s="1663"/>
      <c r="F227" s="1663"/>
      <c r="G227" s="1663"/>
      <c r="H227" s="1663"/>
      <c r="I227" s="1663"/>
      <c r="J227" s="1663"/>
      <c r="K227" s="1662">
        <f t="shared" si="19"/>
        <v>0</v>
      </c>
      <c r="L227" s="1565">
        <v>0</v>
      </c>
    </row>
    <row r="228" spans="1:12" x14ac:dyDescent="0.2">
      <c r="A228" s="1267" t="s">
        <v>1078</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709</v>
      </c>
      <c r="B229" s="1376" t="s">
        <v>566</v>
      </c>
      <c r="C229" s="1663"/>
      <c r="D229" s="1664">
        <f>SUM(D215:D228)</f>
        <v>205560</v>
      </c>
      <c r="E229" s="1663"/>
      <c r="F229" s="1663"/>
      <c r="G229" s="1663"/>
      <c r="H229" s="1663"/>
      <c r="I229" s="1663"/>
      <c r="J229" s="1663"/>
      <c r="K229" s="1664">
        <f>SUM(K215:K228)</f>
        <v>205560</v>
      </c>
      <c r="L229" s="1664">
        <f>SUM(L215:L228)</f>
        <v>184850</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3768</v>
      </c>
      <c r="E232" s="1663"/>
      <c r="F232" s="1663"/>
      <c r="G232" s="1663"/>
      <c r="H232" s="1663"/>
      <c r="I232" s="1663"/>
      <c r="J232" s="1663"/>
      <c r="K232" s="1662">
        <f t="shared" ref="K232:K237" si="20">D232</f>
        <v>3768</v>
      </c>
      <c r="L232" s="1565">
        <v>2500</v>
      </c>
    </row>
    <row r="233" spans="1:12" x14ac:dyDescent="0.2">
      <c r="A233" s="1267" t="s">
        <v>1080</v>
      </c>
      <c r="B233" s="503">
        <v>2120</v>
      </c>
      <c r="C233" s="1663"/>
      <c r="D233" s="1565">
        <v>1053</v>
      </c>
      <c r="E233" s="1663"/>
      <c r="F233" s="1663"/>
      <c r="G233" s="1663"/>
      <c r="H233" s="1663"/>
      <c r="I233" s="1663"/>
      <c r="J233" s="1663"/>
      <c r="K233" s="1662">
        <f t="shared" si="20"/>
        <v>1053</v>
      </c>
      <c r="L233" s="1565">
        <v>1000</v>
      </c>
    </row>
    <row r="234" spans="1:12" x14ac:dyDescent="0.2">
      <c r="A234" s="1267" t="s">
        <v>196</v>
      </c>
      <c r="B234" s="503">
        <v>2130</v>
      </c>
      <c r="C234" s="1663"/>
      <c r="D234" s="1565">
        <v>7180</v>
      </c>
      <c r="E234" s="1663"/>
      <c r="F234" s="1663"/>
      <c r="G234" s="1663"/>
      <c r="H234" s="1663"/>
      <c r="I234" s="1663"/>
      <c r="J234" s="1663"/>
      <c r="K234" s="1662">
        <f t="shared" si="20"/>
        <v>7180</v>
      </c>
      <c r="L234" s="1565">
        <v>13500</v>
      </c>
    </row>
    <row r="235" spans="1:12" x14ac:dyDescent="0.2">
      <c r="A235" s="1267" t="s">
        <v>197</v>
      </c>
      <c r="B235" s="503">
        <v>2140</v>
      </c>
      <c r="C235" s="1663"/>
      <c r="D235" s="1565">
        <v>991</v>
      </c>
      <c r="E235" s="1663"/>
      <c r="F235" s="1663"/>
      <c r="G235" s="1663"/>
      <c r="H235" s="1663"/>
      <c r="I235" s="1663"/>
      <c r="J235" s="1663"/>
      <c r="K235" s="1662">
        <f t="shared" si="20"/>
        <v>991</v>
      </c>
      <c r="L235" s="1565">
        <v>1825</v>
      </c>
    </row>
    <row r="236" spans="1:12" x14ac:dyDescent="0.2">
      <c r="A236" s="1267" t="s">
        <v>198</v>
      </c>
      <c r="B236" s="503">
        <v>2150</v>
      </c>
      <c r="C236" s="1663"/>
      <c r="D236" s="1565">
        <v>0</v>
      </c>
      <c r="E236" s="1663"/>
      <c r="F236" s="1663"/>
      <c r="G236" s="1663"/>
      <c r="H236" s="1663"/>
      <c r="I236" s="1663"/>
      <c r="J236" s="1663"/>
      <c r="K236" s="1662">
        <f t="shared" si="20"/>
        <v>0</v>
      </c>
      <c r="L236" s="1565">
        <v>0</v>
      </c>
    </row>
    <row r="237" spans="1:12" x14ac:dyDescent="0.2">
      <c r="A237" s="1267" t="s">
        <v>164</v>
      </c>
      <c r="B237" s="503">
        <v>2190</v>
      </c>
      <c r="C237" s="1663"/>
      <c r="D237" s="1565">
        <v>34552</v>
      </c>
      <c r="E237" s="1663"/>
      <c r="F237" s="1663"/>
      <c r="G237" s="1663"/>
      <c r="H237" s="1663"/>
      <c r="I237" s="1663"/>
      <c r="J237" s="1663"/>
      <c r="K237" s="1662">
        <f t="shared" si="20"/>
        <v>34552</v>
      </c>
      <c r="L237" s="1565">
        <v>34000</v>
      </c>
    </row>
    <row r="238" spans="1:12" ht="12.75" customHeight="1" thickBot="1" x14ac:dyDescent="0.25">
      <c r="A238" s="1373" t="s">
        <v>556</v>
      </c>
      <c r="B238" s="1376" t="s">
        <v>710</v>
      </c>
      <c r="C238" s="1663"/>
      <c r="D238" s="1664">
        <f>SUM(D232:D237)</f>
        <v>47544</v>
      </c>
      <c r="E238" s="1663"/>
      <c r="F238" s="1663"/>
      <c r="G238" s="1663"/>
      <c r="H238" s="1663"/>
      <c r="I238" s="1663"/>
      <c r="J238" s="1663"/>
      <c r="K238" s="1664">
        <f>SUM(K232:K237)</f>
        <v>47544</v>
      </c>
      <c r="L238" s="1664">
        <f>SUM(L232:L237)</f>
        <v>52825</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3564</v>
      </c>
      <c r="E240" s="1663"/>
      <c r="F240" s="1663"/>
      <c r="G240" s="1663"/>
      <c r="H240" s="1663"/>
      <c r="I240" s="1663"/>
      <c r="J240" s="1663"/>
      <c r="K240" s="1668">
        <f>D240</f>
        <v>3564</v>
      </c>
      <c r="L240" s="1577">
        <v>3250</v>
      </c>
    </row>
    <row r="241" spans="1:12" x14ac:dyDescent="0.2">
      <c r="A241" s="1267" t="s">
        <v>809</v>
      </c>
      <c r="B241" s="503">
        <v>2220</v>
      </c>
      <c r="C241" s="1663"/>
      <c r="D241" s="1565">
        <v>13058</v>
      </c>
      <c r="E241" s="1663"/>
      <c r="F241" s="1663"/>
      <c r="G241" s="1663"/>
      <c r="H241" s="1663"/>
      <c r="I241" s="1663"/>
      <c r="J241" s="1663"/>
      <c r="K241" s="1668">
        <f>D241</f>
        <v>13058</v>
      </c>
      <c r="L241" s="1565">
        <v>13500</v>
      </c>
    </row>
    <row r="242" spans="1:12" x14ac:dyDescent="0.2">
      <c r="A242" s="1267" t="s">
        <v>810</v>
      </c>
      <c r="B242" s="503">
        <v>2230</v>
      </c>
      <c r="C242" s="1663"/>
      <c r="D242" s="1565">
        <v>0</v>
      </c>
      <c r="E242" s="1663"/>
      <c r="F242" s="1663"/>
      <c r="G242" s="1663"/>
      <c r="H242" s="1663"/>
      <c r="I242" s="1663"/>
      <c r="J242" s="1663"/>
      <c r="K242" s="1668">
        <f>D242</f>
        <v>0</v>
      </c>
      <c r="L242" s="1565">
        <v>0</v>
      </c>
    </row>
    <row r="243" spans="1:12" ht="12.75" customHeight="1" thickBot="1" x14ac:dyDescent="0.25">
      <c r="A243" s="1389" t="s">
        <v>557</v>
      </c>
      <c r="B243" s="1390">
        <v>2200</v>
      </c>
      <c r="C243" s="1663"/>
      <c r="D243" s="1664">
        <f>SUM(D240:D242)</f>
        <v>16622</v>
      </c>
      <c r="E243" s="1663"/>
      <c r="F243" s="1663"/>
      <c r="G243" s="1663"/>
      <c r="H243" s="1663"/>
      <c r="I243" s="1663"/>
      <c r="J243" s="1663"/>
      <c r="K243" s="1664">
        <f>SUM(K240:K242)</f>
        <v>16622</v>
      </c>
      <c r="L243" s="1664">
        <f>SUM(L240:L242)</f>
        <v>16750</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0</v>
      </c>
      <c r="E245" s="1663"/>
      <c r="F245" s="1663"/>
      <c r="G245" s="1663"/>
      <c r="H245" s="1663"/>
      <c r="I245" s="1663"/>
      <c r="J245" s="1663"/>
      <c r="K245" s="1668">
        <f>D245</f>
        <v>0</v>
      </c>
      <c r="L245" s="1577">
        <v>0</v>
      </c>
    </row>
    <row r="246" spans="1:12" x14ac:dyDescent="0.2">
      <c r="A246" s="1267" t="s">
        <v>812</v>
      </c>
      <c r="B246" s="503">
        <v>2320</v>
      </c>
      <c r="C246" s="1663"/>
      <c r="D246" s="1565">
        <v>12470</v>
      </c>
      <c r="E246" s="1663"/>
      <c r="F246" s="1663"/>
      <c r="G246" s="1663"/>
      <c r="H246" s="1663"/>
      <c r="I246" s="1663"/>
      <c r="J246" s="1663"/>
      <c r="K246" s="1668">
        <f t="shared" ref="K246:K256" si="21">D246</f>
        <v>12470</v>
      </c>
      <c r="L246" s="1565">
        <v>12775</v>
      </c>
    </row>
    <row r="247" spans="1:12" x14ac:dyDescent="0.2">
      <c r="A247" s="1267" t="s">
        <v>813</v>
      </c>
      <c r="B247" s="503">
        <v>2330</v>
      </c>
      <c r="C247" s="1663"/>
      <c r="D247" s="1565">
        <v>0</v>
      </c>
      <c r="E247" s="1663"/>
      <c r="F247" s="1663"/>
      <c r="G247" s="1663"/>
      <c r="H247" s="1663"/>
      <c r="I247" s="1663"/>
      <c r="J247" s="1663"/>
      <c r="K247" s="1668">
        <f t="shared" si="21"/>
        <v>0</v>
      </c>
      <c r="L247" s="1565">
        <v>0</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1779</v>
      </c>
      <c r="B249" s="557" t="s">
        <v>280</v>
      </c>
      <c r="C249" s="1663"/>
      <c r="D249" s="1571">
        <v>0</v>
      </c>
      <c r="E249" s="1663"/>
      <c r="F249" s="1663"/>
      <c r="G249" s="1663"/>
      <c r="H249" s="1663"/>
      <c r="I249" s="1663"/>
      <c r="J249" s="1663"/>
      <c r="K249" s="1668">
        <f t="shared" si="21"/>
        <v>0</v>
      </c>
      <c r="L249" s="1565">
        <v>0</v>
      </c>
    </row>
    <row r="250" spans="1:12" x14ac:dyDescent="0.2">
      <c r="A250" s="1268" t="s">
        <v>1780</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12470</v>
      </c>
      <c r="E257" s="1663"/>
      <c r="F257" s="1663"/>
      <c r="G257" s="1663"/>
      <c r="H257" s="1663"/>
      <c r="I257" s="1663"/>
      <c r="J257" s="1663"/>
      <c r="K257" s="1664">
        <f>SUM(K245:K256)</f>
        <v>12470</v>
      </c>
      <c r="L257" s="1664">
        <f>SUM(L245:L256)</f>
        <v>12775</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31963</v>
      </c>
      <c r="E259" s="1663"/>
      <c r="F259" s="1663"/>
      <c r="G259" s="1663"/>
      <c r="H259" s="1663"/>
      <c r="I259" s="1663"/>
      <c r="J259" s="1663"/>
      <c r="K259" s="1668">
        <f>D259</f>
        <v>31963</v>
      </c>
      <c r="L259" s="1577">
        <v>35000</v>
      </c>
    </row>
    <row r="260" spans="1:14" s="493" customFormat="1" x14ac:dyDescent="0.2">
      <c r="A260" s="1285" t="s">
        <v>1778</v>
      </c>
      <c r="B260" s="512">
        <v>2490</v>
      </c>
      <c r="C260" s="1663"/>
      <c r="D260" s="1565">
        <v>5345</v>
      </c>
      <c r="E260" s="1663"/>
      <c r="F260" s="1663"/>
      <c r="G260" s="1663"/>
      <c r="H260" s="1663"/>
      <c r="I260" s="1663"/>
      <c r="J260" s="1663"/>
      <c r="K260" s="1668">
        <f>D260</f>
        <v>5345</v>
      </c>
      <c r="L260" s="1565">
        <v>5000</v>
      </c>
      <c r="M260" s="205"/>
      <c r="N260" s="205"/>
    </row>
    <row r="261" spans="1:14" ht="12.75" customHeight="1" thickBot="1" x14ac:dyDescent="0.25">
      <c r="A261" s="1387" t="s">
        <v>261</v>
      </c>
      <c r="B261" s="1392" t="s">
        <v>34</v>
      </c>
      <c r="C261" s="1663"/>
      <c r="D261" s="1664">
        <f>SUM(D259:D260)</f>
        <v>37308</v>
      </c>
      <c r="E261" s="1663"/>
      <c r="F261" s="1663"/>
      <c r="G261" s="1663"/>
      <c r="H261" s="1663"/>
      <c r="I261" s="1663"/>
      <c r="J261" s="1663"/>
      <c r="K261" s="1664">
        <f>SUM(K259:K260)</f>
        <v>37308</v>
      </c>
      <c r="L261" s="1664">
        <f>SUM(L259:L260)</f>
        <v>40000</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0</v>
      </c>
      <c r="E263" s="1663"/>
      <c r="F263" s="1663"/>
      <c r="G263" s="1663"/>
      <c r="H263" s="1663"/>
      <c r="I263" s="1663"/>
      <c r="J263" s="1663"/>
      <c r="K263" s="1668">
        <f>D263</f>
        <v>0</v>
      </c>
      <c r="L263" s="1577">
        <v>0</v>
      </c>
    </row>
    <row r="264" spans="1:14" x14ac:dyDescent="0.2">
      <c r="A264" s="1267" t="s">
        <v>460</v>
      </c>
      <c r="B264" s="559">
        <v>2520</v>
      </c>
      <c r="C264" s="1663"/>
      <c r="D264" s="1565">
        <v>17944</v>
      </c>
      <c r="E264" s="1663"/>
      <c r="F264" s="1663"/>
      <c r="G264" s="1663"/>
      <c r="H264" s="1663"/>
      <c r="I264" s="1663"/>
      <c r="J264" s="1663"/>
      <c r="K264" s="1668">
        <f t="shared" ref="K264:K269" si="22">D264</f>
        <v>17944</v>
      </c>
      <c r="L264" s="1565">
        <v>15750</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49793</v>
      </c>
      <c r="E266" s="1663"/>
      <c r="F266" s="1663"/>
      <c r="G266" s="1663"/>
      <c r="H266" s="1663"/>
      <c r="I266" s="1663"/>
      <c r="J266" s="1663"/>
      <c r="K266" s="1668">
        <f t="shared" si="22"/>
        <v>49793</v>
      </c>
      <c r="L266" s="1565">
        <v>74000</v>
      </c>
    </row>
    <row r="267" spans="1:14" x14ac:dyDescent="0.2">
      <c r="A267" s="1267" t="s">
        <v>946</v>
      </c>
      <c r="B267" s="503">
        <v>2550</v>
      </c>
      <c r="C267" s="1663"/>
      <c r="D267" s="1565">
        <v>0</v>
      </c>
      <c r="E267" s="1663"/>
      <c r="F267" s="1663"/>
      <c r="G267" s="1663"/>
      <c r="H267" s="1663"/>
      <c r="I267" s="1663"/>
      <c r="J267" s="1663"/>
      <c r="K267" s="1668">
        <f t="shared" si="22"/>
        <v>0</v>
      </c>
      <c r="L267" s="1565">
        <v>0</v>
      </c>
    </row>
    <row r="268" spans="1:14" x14ac:dyDescent="0.2">
      <c r="A268" s="1267" t="s">
        <v>100</v>
      </c>
      <c r="B268" s="503">
        <v>2560</v>
      </c>
      <c r="C268" s="1663"/>
      <c r="D268" s="1565">
        <v>20078</v>
      </c>
      <c r="E268" s="1663"/>
      <c r="F268" s="1663"/>
      <c r="G268" s="1663"/>
      <c r="H268" s="1663"/>
      <c r="I268" s="1663"/>
      <c r="J268" s="1663"/>
      <c r="K268" s="1668">
        <f t="shared" si="22"/>
        <v>20078</v>
      </c>
      <c r="L268" s="1565">
        <v>24000</v>
      </c>
    </row>
    <row r="269" spans="1:14" x14ac:dyDescent="0.2">
      <c r="A269" s="1267" t="s">
        <v>101</v>
      </c>
      <c r="B269" s="503">
        <v>2570</v>
      </c>
      <c r="C269" s="1663"/>
      <c r="D269" s="1565">
        <v>0</v>
      </c>
      <c r="E269" s="1663"/>
      <c r="F269" s="1663"/>
      <c r="G269" s="1663"/>
      <c r="H269" s="1663"/>
      <c r="I269" s="1663"/>
      <c r="J269" s="1663"/>
      <c r="K269" s="1668">
        <f t="shared" si="22"/>
        <v>0</v>
      </c>
      <c r="L269" s="1565">
        <v>0</v>
      </c>
    </row>
    <row r="270" spans="1:14" ht="12.75" customHeight="1" thickBot="1" x14ac:dyDescent="0.25">
      <c r="A270" s="1373" t="s">
        <v>713</v>
      </c>
      <c r="B270" s="1376" t="s">
        <v>35</v>
      </c>
      <c r="C270" s="1663"/>
      <c r="D270" s="1664">
        <f>SUM(D263:D269)</f>
        <v>87815</v>
      </c>
      <c r="E270" s="1663"/>
      <c r="F270" s="1663"/>
      <c r="G270" s="1663"/>
      <c r="H270" s="1663"/>
      <c r="I270" s="1663"/>
      <c r="J270" s="1663"/>
      <c r="K270" s="1664">
        <f>SUM(K263:K269)</f>
        <v>87815</v>
      </c>
      <c r="L270" s="1664">
        <f>SUM(L263:L269)</f>
        <v>113750</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0</v>
      </c>
      <c r="E272" s="1663"/>
      <c r="F272" s="1663"/>
      <c r="G272" s="1663"/>
      <c r="H272" s="1663"/>
      <c r="I272" s="1663"/>
      <c r="J272" s="1663"/>
      <c r="K272" s="1668">
        <f>D272</f>
        <v>0</v>
      </c>
      <c r="L272" s="1577">
        <v>0</v>
      </c>
    </row>
    <row r="273" spans="1:12" x14ac:dyDescent="0.2">
      <c r="A273" s="1267" t="s">
        <v>603</v>
      </c>
      <c r="B273" s="512">
        <v>2620</v>
      </c>
      <c r="C273" s="1663"/>
      <c r="D273" s="1565">
        <v>0</v>
      </c>
      <c r="E273" s="1663"/>
      <c r="F273" s="1663"/>
      <c r="G273" s="1663"/>
      <c r="H273" s="1663"/>
      <c r="I273" s="1663"/>
      <c r="J273" s="1663"/>
      <c r="K273" s="1668">
        <f>D273</f>
        <v>0</v>
      </c>
      <c r="L273" s="1565">
        <v>0</v>
      </c>
    </row>
    <row r="274" spans="1:12" ht="12" customHeight="1" x14ac:dyDescent="0.2">
      <c r="A274" s="1267" t="s">
        <v>1051</v>
      </c>
      <c r="B274" s="503">
        <v>2630</v>
      </c>
      <c r="C274" s="1663"/>
      <c r="D274" s="1565">
        <v>0</v>
      </c>
      <c r="E274" s="1663"/>
      <c r="F274" s="1663"/>
      <c r="G274" s="1663"/>
      <c r="H274" s="1663"/>
      <c r="I274" s="1663"/>
      <c r="J274" s="1663"/>
      <c r="K274" s="1668">
        <f>D274</f>
        <v>0</v>
      </c>
      <c r="L274" s="1565">
        <v>0</v>
      </c>
    </row>
    <row r="275" spans="1:12" x14ac:dyDescent="0.2">
      <c r="A275" s="1267" t="s">
        <v>400</v>
      </c>
      <c r="B275" s="503">
        <v>2640</v>
      </c>
      <c r="C275" s="1663"/>
      <c r="D275" s="1565">
        <v>0</v>
      </c>
      <c r="E275" s="1663"/>
      <c r="F275" s="1663"/>
      <c r="G275" s="1663"/>
      <c r="H275" s="1663"/>
      <c r="I275" s="1663"/>
      <c r="J275" s="1663"/>
      <c r="K275" s="1668">
        <f>D275</f>
        <v>0</v>
      </c>
      <c r="L275" s="1565">
        <v>0</v>
      </c>
    </row>
    <row r="276" spans="1:12" x14ac:dyDescent="0.2">
      <c r="A276" s="1267" t="s">
        <v>401</v>
      </c>
      <c r="B276" s="503">
        <v>2660</v>
      </c>
      <c r="C276" s="1663"/>
      <c r="D276" s="1565">
        <v>42104</v>
      </c>
      <c r="E276" s="1663"/>
      <c r="F276" s="1663"/>
      <c r="G276" s="1663"/>
      <c r="H276" s="1663"/>
      <c r="I276" s="1663"/>
      <c r="J276" s="1663"/>
      <c r="K276" s="1668">
        <f>D276</f>
        <v>42104</v>
      </c>
      <c r="L276" s="1565">
        <v>43000</v>
      </c>
    </row>
    <row r="277" spans="1:12" ht="12.75" customHeight="1" thickBot="1" x14ac:dyDescent="0.25">
      <c r="A277" s="1386" t="s">
        <v>37</v>
      </c>
      <c r="B277" s="1374" t="s">
        <v>36</v>
      </c>
      <c r="C277" s="1663"/>
      <c r="D277" s="1664">
        <f>SUM(D272:D276)</f>
        <v>42104</v>
      </c>
      <c r="E277" s="1663"/>
      <c r="F277" s="1663"/>
      <c r="G277" s="1663"/>
      <c r="H277" s="1663"/>
      <c r="I277" s="1663"/>
      <c r="J277" s="1663"/>
      <c r="K277" s="1664">
        <f>SUM(K272:K276)</f>
        <v>42104</v>
      </c>
      <c r="L277" s="1664">
        <f>SUM(L272:L276)</f>
        <v>43000</v>
      </c>
    </row>
    <row r="278" spans="1:12" ht="13.5" customHeight="1" thickTop="1" x14ac:dyDescent="0.2">
      <c r="A278" s="1273" t="s">
        <v>972</v>
      </c>
      <c r="B278" s="531" t="s">
        <v>570</v>
      </c>
      <c r="C278" s="1663"/>
      <c r="D278" s="1685">
        <v>0</v>
      </c>
      <c r="E278" s="1663"/>
      <c r="F278" s="1663"/>
      <c r="G278" s="1663"/>
      <c r="H278" s="1663"/>
      <c r="I278" s="1663"/>
      <c r="J278" s="1663"/>
      <c r="K278" s="1686">
        <f>D278</f>
        <v>0</v>
      </c>
      <c r="L278" s="1685">
        <v>0</v>
      </c>
    </row>
    <row r="279" spans="1:12" ht="12.75" customHeight="1" thickBot="1" x14ac:dyDescent="0.25">
      <c r="A279" s="1393" t="s">
        <v>805</v>
      </c>
      <c r="B279" s="1380">
        <v>2000</v>
      </c>
      <c r="C279" s="1663"/>
      <c r="D279" s="1671">
        <f>SUM(D238,D243,D257,D261,D270,D277,D278)</f>
        <v>243863</v>
      </c>
      <c r="E279" s="1663"/>
      <c r="F279" s="1663"/>
      <c r="G279" s="1663"/>
      <c r="H279" s="1663"/>
      <c r="I279" s="1663"/>
      <c r="J279" s="1663"/>
      <c r="K279" s="1671">
        <f>SUM(K238,K243,K257,K261,K270,K277,K278)</f>
        <v>243863</v>
      </c>
      <c r="L279" s="1671">
        <f>SUM(L238,L243,L257,L261,L270,L277,L278)</f>
        <v>279100</v>
      </c>
    </row>
    <row r="280" spans="1:12" ht="15.75" customHeight="1" thickTop="1" thickBot="1" x14ac:dyDescent="0.25">
      <c r="A280" s="1355" t="s">
        <v>869</v>
      </c>
      <c r="B280" s="1344">
        <v>3000</v>
      </c>
      <c r="C280" s="1663"/>
      <c r="D280" s="1641">
        <v>0</v>
      </c>
      <c r="E280" s="1663"/>
      <c r="F280" s="1663"/>
      <c r="G280" s="1663"/>
      <c r="H280" s="1663"/>
      <c r="I280" s="1663"/>
      <c r="J280" s="1663"/>
      <c r="K280" s="1677">
        <f>D280</f>
        <v>0</v>
      </c>
      <c r="L280" s="1641">
        <v>0</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1813</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0</v>
      </c>
      <c r="E283" s="1663"/>
      <c r="F283" s="1663"/>
      <c r="G283" s="1663"/>
      <c r="H283" s="1663"/>
      <c r="I283" s="1663"/>
      <c r="J283" s="1663"/>
      <c r="K283" s="1662">
        <f>D283</f>
        <v>0</v>
      </c>
      <c r="L283" s="1565">
        <v>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v>0</v>
      </c>
    </row>
    <row r="295" spans="1:14" ht="12.75" customHeight="1" thickTop="1" thickBot="1" x14ac:dyDescent="0.25">
      <c r="A295" s="2283" t="s">
        <v>502</v>
      </c>
      <c r="B295" s="2284"/>
      <c r="C295" s="1663"/>
      <c r="D295" s="1664">
        <f>SUM(D229,D279,D280,D285)</f>
        <v>449423</v>
      </c>
      <c r="E295" s="1663"/>
      <c r="F295" s="1663"/>
      <c r="G295" s="1663"/>
      <c r="H295" s="1664">
        <f>H293</f>
        <v>0</v>
      </c>
      <c r="I295" s="1663"/>
      <c r="J295" s="1663"/>
      <c r="K295" s="1664">
        <f>SUM(K229,K279,K280,K285,K293,K294)</f>
        <v>449423</v>
      </c>
      <c r="L295" s="1664">
        <f>SUM(L229,L279,L280,L285,L293,L294)</f>
        <v>463950</v>
      </c>
    </row>
    <row r="296" spans="1:14" ht="13.5" thickTop="1" x14ac:dyDescent="0.2">
      <c r="A296" s="2292" t="s">
        <v>988</v>
      </c>
      <c r="B296" s="2293"/>
      <c r="C296" s="1663"/>
      <c r="D296" s="1665"/>
      <c r="E296" s="1663"/>
      <c r="F296" s="1663"/>
      <c r="G296" s="1663"/>
      <c r="H296" s="1697"/>
      <c r="I296" s="1663"/>
      <c r="J296" s="1663"/>
      <c r="K296" s="1679">
        <f>'Revenues 9-14'!G268-'Expenditures 15-22'!K295</f>
        <v>125690</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75" t="s">
        <v>142</v>
      </c>
      <c r="B298" s="2269"/>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0</v>
      </c>
      <c r="F301" s="1565">
        <v>0</v>
      </c>
      <c r="G301" s="1565">
        <v>0</v>
      </c>
      <c r="H301" s="1565">
        <v>0</v>
      </c>
      <c r="I301" s="1566">
        <v>0</v>
      </c>
      <c r="J301" s="1566">
        <v>0</v>
      </c>
      <c r="K301" s="1662">
        <f>SUM(C301:J301)</f>
        <v>0</v>
      </c>
      <c r="L301" s="1566">
        <v>300000</v>
      </c>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0</v>
      </c>
      <c r="F303" s="1671">
        <f t="shared" si="23"/>
        <v>0</v>
      </c>
      <c r="G303" s="1671">
        <f t="shared" si="23"/>
        <v>0</v>
      </c>
      <c r="H303" s="1671">
        <f t="shared" si="23"/>
        <v>0</v>
      </c>
      <c r="I303" s="1671">
        <f t="shared" si="23"/>
        <v>0</v>
      </c>
      <c r="J303" s="1671">
        <f t="shared" si="23"/>
        <v>0</v>
      </c>
      <c r="K303" s="1671">
        <f t="shared" si="23"/>
        <v>0</v>
      </c>
      <c r="L303" s="1671">
        <f t="shared" si="23"/>
        <v>300000</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1818</v>
      </c>
      <c r="B306" s="562" t="s">
        <v>1813</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280" t="s">
        <v>275</v>
      </c>
      <c r="B312" s="2281"/>
      <c r="C312" s="1664">
        <f>SUM(C303)</f>
        <v>0</v>
      </c>
      <c r="D312" s="1664">
        <f>SUM(D303)</f>
        <v>0</v>
      </c>
      <c r="E312" s="1664">
        <f>SUM(E303,E310)</f>
        <v>0</v>
      </c>
      <c r="F312" s="1664">
        <f>SUM(F303)</f>
        <v>0</v>
      </c>
      <c r="G312" s="1664">
        <f>SUM(G303)</f>
        <v>0</v>
      </c>
      <c r="H312" s="1664">
        <f>SUM(H303,H310)</f>
        <v>0</v>
      </c>
      <c r="I312" s="1664">
        <f>SUM(I303)</f>
        <v>0</v>
      </c>
      <c r="J312" s="1664">
        <f>SUM(J303)</f>
        <v>0</v>
      </c>
      <c r="K312" s="1664">
        <f>SUM(K303,K310,K311)</f>
        <v>0</v>
      </c>
      <c r="L312" s="1664">
        <f>SUM(L303,L310,L311)</f>
        <v>300000</v>
      </c>
      <c r="M312" s="539"/>
      <c r="N312" s="539"/>
    </row>
    <row r="313" spans="1:14" ht="13.5" thickTop="1" x14ac:dyDescent="0.2">
      <c r="A313" s="2276" t="s">
        <v>988</v>
      </c>
      <c r="B313" s="2277"/>
      <c r="C313" s="1667"/>
      <c r="D313" s="1667"/>
      <c r="E313" s="1667"/>
      <c r="F313" s="1667"/>
      <c r="G313" s="1667"/>
      <c r="H313" s="1667"/>
      <c r="I313" s="1667"/>
      <c r="J313" s="1667"/>
      <c r="K313" s="1686">
        <f>'Revenues 9-14'!H268-'Expenditures 15-22'!K312</f>
        <v>61925</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289" t="s">
        <v>148</v>
      </c>
      <c r="B315" s="2290"/>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291" t="s">
        <v>891</v>
      </c>
      <c r="B317" s="2290"/>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1779</v>
      </c>
      <c r="B320" s="568" t="s">
        <v>280</v>
      </c>
      <c r="C320" s="1566">
        <v>0</v>
      </c>
      <c r="D320" s="1566">
        <v>0</v>
      </c>
      <c r="E320" s="1566">
        <v>116130</v>
      </c>
      <c r="F320" s="1566">
        <v>0</v>
      </c>
      <c r="G320" s="1566">
        <v>0</v>
      </c>
      <c r="H320" s="1566">
        <v>0</v>
      </c>
      <c r="I320" s="1566">
        <v>0</v>
      </c>
      <c r="J320" s="1566">
        <v>0</v>
      </c>
      <c r="K320" s="1662">
        <f t="shared" ref="K320:K327" si="24">SUM(C320:J320)</f>
        <v>116130</v>
      </c>
      <c r="L320" s="1566">
        <v>75000</v>
      </c>
      <c r="M320" s="539"/>
      <c r="N320" s="539"/>
    </row>
    <row r="321" spans="1:14" s="548" customFormat="1" x14ac:dyDescent="0.2">
      <c r="A321" s="1282" t="s">
        <v>297</v>
      </c>
      <c r="B321" s="567" t="s">
        <v>281</v>
      </c>
      <c r="C321" s="1566">
        <v>0</v>
      </c>
      <c r="D321" s="1566">
        <v>0</v>
      </c>
      <c r="E321" s="1566">
        <v>0</v>
      </c>
      <c r="F321" s="1566">
        <v>0</v>
      </c>
      <c r="G321" s="1566">
        <v>0</v>
      </c>
      <c r="H321" s="1566">
        <v>0</v>
      </c>
      <c r="I321" s="1566">
        <v>0</v>
      </c>
      <c r="J321" s="1566">
        <v>0</v>
      </c>
      <c r="K321" s="1662">
        <f t="shared" si="24"/>
        <v>0</v>
      </c>
      <c r="L321" s="1566">
        <v>55000</v>
      </c>
      <c r="M321" s="539"/>
      <c r="N321" s="539"/>
    </row>
    <row r="322" spans="1:14" s="548" customFormat="1" x14ac:dyDescent="0.2">
      <c r="A322" s="1282" t="s">
        <v>236</v>
      </c>
      <c r="B322" s="567" t="s">
        <v>282</v>
      </c>
      <c r="C322" s="1566">
        <v>0</v>
      </c>
      <c r="D322" s="1566">
        <v>0</v>
      </c>
      <c r="E322" s="1566">
        <v>0</v>
      </c>
      <c r="F322" s="1566">
        <v>0</v>
      </c>
      <c r="G322" s="1566">
        <v>0</v>
      </c>
      <c r="H322" s="1566">
        <v>0</v>
      </c>
      <c r="I322" s="1566">
        <v>0</v>
      </c>
      <c r="J322" s="1566">
        <v>0</v>
      </c>
      <c r="K322" s="1662">
        <f t="shared" si="24"/>
        <v>0</v>
      </c>
      <c r="L322" s="1566">
        <v>52000</v>
      </c>
      <c r="M322" s="539"/>
      <c r="N322" s="539"/>
    </row>
    <row r="323" spans="1:14" s="548" customFormat="1" x14ac:dyDescent="0.2">
      <c r="A323" s="1282" t="s">
        <v>696</v>
      </c>
      <c r="B323" s="567" t="s">
        <v>283</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0</v>
      </c>
      <c r="F327" s="1566">
        <v>0</v>
      </c>
      <c r="G327" s="1566">
        <v>0</v>
      </c>
      <c r="H327" s="1566">
        <v>0</v>
      </c>
      <c r="I327" s="1566">
        <v>0</v>
      </c>
      <c r="J327" s="1566">
        <v>0</v>
      </c>
      <c r="K327" s="1662">
        <f t="shared" si="24"/>
        <v>0</v>
      </c>
      <c r="L327" s="1566">
        <v>0</v>
      </c>
      <c r="M327" s="539"/>
      <c r="N327" s="539"/>
    </row>
    <row r="328" spans="1:14" s="548" customFormat="1" x14ac:dyDescent="0.2">
      <c r="A328" s="1283" t="s">
        <v>469</v>
      </c>
      <c r="B328" s="562" t="s">
        <v>1121</v>
      </c>
      <c r="C328" s="1571">
        <v>0</v>
      </c>
      <c r="D328" s="1571">
        <v>0</v>
      </c>
      <c r="E328" s="1571">
        <v>0</v>
      </c>
      <c r="F328" s="1571">
        <v>0</v>
      </c>
      <c r="G328" s="1571">
        <v>0</v>
      </c>
      <c r="H328" s="1571">
        <v>0</v>
      </c>
      <c r="I328" s="1571">
        <v>0</v>
      </c>
      <c r="J328" s="1571">
        <v>0</v>
      </c>
      <c r="K328" s="1703">
        <f>SUM(C328:J328)</f>
        <v>0</v>
      </c>
      <c r="L328" s="1571">
        <v>0</v>
      </c>
      <c r="M328" s="539"/>
      <c r="N328" s="539"/>
    </row>
    <row r="329" spans="1:14" s="548" customFormat="1" x14ac:dyDescent="0.2">
      <c r="A329" s="1283" t="s">
        <v>1122</v>
      </c>
      <c r="B329" s="562" t="s">
        <v>1123</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116130</v>
      </c>
      <c r="F330" s="1664">
        <f t="shared" si="25"/>
        <v>0</v>
      </c>
      <c r="G330" s="1664">
        <f t="shared" si="25"/>
        <v>0</v>
      </c>
      <c r="H330" s="1664">
        <f t="shared" si="25"/>
        <v>0</v>
      </c>
      <c r="I330" s="1664">
        <f t="shared" si="25"/>
        <v>0</v>
      </c>
      <c r="J330" s="1664">
        <f t="shared" si="25"/>
        <v>0</v>
      </c>
      <c r="K330" s="1664">
        <f>SUM(K319:K329)</f>
        <v>116130</v>
      </c>
      <c r="L330" s="1664">
        <f>SUM(L319:L329)</f>
        <v>182000</v>
      </c>
      <c r="M330" s="539"/>
      <c r="N330" s="539"/>
    </row>
    <row r="331" spans="1:14" s="548" customFormat="1" ht="12.75" customHeight="1" thickTop="1" x14ac:dyDescent="0.2">
      <c r="A331" s="1460" t="s">
        <v>1819</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1813</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1815</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1820</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116130</v>
      </c>
      <c r="F342" s="1664">
        <f>SUM(F330)</f>
        <v>0</v>
      </c>
      <c r="G342" s="1664">
        <f>SUM(G330)</f>
        <v>0</v>
      </c>
      <c r="H342" s="1664">
        <f>SUM(H330,H334,H340)</f>
        <v>0</v>
      </c>
      <c r="I342" s="1664">
        <f>SUM(I330)</f>
        <v>0</v>
      </c>
      <c r="J342" s="1664">
        <f>SUM(J330)</f>
        <v>0</v>
      </c>
      <c r="K342" s="1664">
        <f>SUM(K330,K334,K340)</f>
        <v>116130</v>
      </c>
      <c r="L342" s="1671">
        <f>SUM(L330,L334,L340,L341)</f>
        <v>182000</v>
      </c>
    </row>
    <row r="343" spans="1:14" ht="12.75" customHeight="1" thickTop="1" x14ac:dyDescent="0.2">
      <c r="A343" s="2278" t="s">
        <v>988</v>
      </c>
      <c r="B343" s="2279"/>
      <c r="C343" s="1663"/>
      <c r="D343" s="1663"/>
      <c r="E343" s="1663"/>
      <c r="F343" s="1663"/>
      <c r="G343" s="1663"/>
      <c r="H343" s="1663"/>
      <c r="I343" s="1663"/>
      <c r="J343" s="1663"/>
      <c r="K343" s="1679">
        <f>'Revenues 9-14'!J268-'Expenditures 15-22'!K342</f>
        <v>74426</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68" t="s">
        <v>959</v>
      </c>
      <c r="B345" s="2269"/>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0</v>
      </c>
      <c r="H348" s="1565">
        <v>0</v>
      </c>
      <c r="I348" s="1566">
        <v>0</v>
      </c>
      <c r="J348" s="1566">
        <v>0</v>
      </c>
      <c r="K348" s="1662">
        <f>SUM(C348:J348)</f>
        <v>0</v>
      </c>
      <c r="L348" s="1565">
        <v>100000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0</v>
      </c>
    </row>
    <row r="350" spans="1:14" ht="12.75" customHeight="1" thickBot="1" x14ac:dyDescent="0.25">
      <c r="A350" s="1373" t="s">
        <v>713</v>
      </c>
      <c r="B350" s="1374"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100000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100000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1821</v>
      </c>
      <c r="B354" s="557" t="s">
        <v>1813</v>
      </c>
      <c r="C354" s="1663"/>
      <c r="D354" s="1663"/>
      <c r="E354" s="1663"/>
      <c r="F354" s="1663"/>
      <c r="G354" s="1663"/>
      <c r="H354" s="1571">
        <v>0</v>
      </c>
      <c r="I354" s="1706"/>
      <c r="J354" s="1663"/>
      <c r="K354" s="1703">
        <f>H354</f>
        <v>0</v>
      </c>
      <c r="L354" s="1569">
        <v>0</v>
      </c>
    </row>
    <row r="355" spans="1:14" ht="12.75" customHeight="1" x14ac:dyDescent="0.2">
      <c r="A355" s="1276" t="s">
        <v>1822</v>
      </c>
      <c r="B355" s="562" t="s">
        <v>1815</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100000</v>
      </c>
    </row>
    <row r="368" spans="1:14" ht="13.5" thickTop="1" x14ac:dyDescent="0.2">
      <c r="A368" s="2292" t="s">
        <v>988</v>
      </c>
      <c r="B368" s="2293"/>
      <c r="C368" s="1684"/>
      <c r="D368" s="1684"/>
      <c r="E368" s="1667"/>
      <c r="F368" s="1667"/>
      <c r="G368" s="1667"/>
      <c r="H368" s="1667"/>
      <c r="I368" s="1667"/>
      <c r="J368" s="1666"/>
      <c r="K368" s="1662">
        <f>'Revenues 9-14'!K268-'Expenditures 15-22'!K367</f>
        <v>4473</v>
      </c>
      <c r="L368" s="168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6ce3111e-7420-4802-b50a-75d4e9a0b980"/>
    <ds:schemaRef ds:uri="http://purl.org/dc/dcmitype/"/>
    <ds:schemaRef ds:uri="http://schemas.microsoft.com/office/infopath/2007/PartnerControls"/>
    <ds:schemaRef ds:uri="http://www.w3.org/XML/1998/namespace"/>
    <ds:schemaRef ds:uri="http://schemas.microsoft.com/sharepoint/v3"/>
    <ds:schemaRef ds:uri="http://schemas.microsoft.com/office/2006/documentManagement/types"/>
    <ds:schemaRef ds:uri="http://schemas.openxmlformats.org/package/2006/metadata/core-properties"/>
    <ds:schemaRef ds:uri="4d435f69-8686-490b-bd6d-b153bf22ab50"/>
    <ds:schemaRef ds:uri="d21dc803-237d-4c68-8692-8d731fd29118"/>
    <ds:schemaRef ds:uri="http://schemas.microsoft.com/office/2006/metadata/properties"/>
    <ds:schemaRef ds:uri="http://purl.org/dc/terms/"/>
    <ds:schemaRef ds:uri="http://purl.org/dc/elements/1.1/"/>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2020-12-23T18:18:53Z</cp:lastPrinted>
  <dcterms:created xsi:type="dcterms:W3CDTF">2003-10-29T19:06:34Z</dcterms:created>
  <dcterms:modified xsi:type="dcterms:W3CDTF">2020-12-28T19:28:24Z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AFR</vt:lpwstr>
  </property>
  <property fmtid="{D5CDD505-2E9C-101B-9397-08002B2CF9AE}" pid="5" name="tabIndex">
    <vt:lpwstr>1050.02</vt:lpwstr>
  </property>
  <property fmtid="{D5CDD505-2E9C-101B-9397-08002B2CF9AE}" pid="6" name="workpaperIndex">
    <vt:lpwstr>1050.40</vt:lpwstr>
  </property>
</Properties>
</file>